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E025C4E3-1968-4B2F-BC4D-E811B0CE1396}" xr6:coauthVersionLast="46" xr6:coauthVersionMax="46" xr10:uidLastSave="{00000000-0000-0000-0000-000000000000}"/>
  <bookViews>
    <workbookView xWindow="-1155" yWindow="1215" windowWidth="28770" windowHeight="15600" firstSheet="4" activeTab="6" xr2:uid="{00000000-000D-0000-FFFF-FFFF00000000}"/>
  </bookViews>
  <sheets>
    <sheet name="PV &amp; Wind Costs and Learning" sheetId="10" r:id="rId1"/>
    <sheet name="REIPPPPs PPAs" sheetId="8" r:id="rId2"/>
    <sheet name="Solar PV Learning (data)" sheetId="13" r:id="rId3"/>
    <sheet name="Wind Costs &amp; Learning" sheetId="11" r:id="rId4"/>
    <sheet name="Wind Costs &amp; Learning (data)" sheetId="7" r:id="rId5"/>
    <sheet name="Utility PV - Global Projections" sheetId="6" r:id="rId6"/>
    <sheet name="Li-Ion System Costs &amp; Learning" sheetId="12" r:id="rId7"/>
    <sheet name="Li-Ion Battery Pack Projections" sheetId="1" r:id="rId8"/>
  </sheets>
  <definedNames>
    <definedName name="_Hlk496009520" localSheetId="7">'Li-Ion Battery Pack Projections'!$A$34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2" i="12" l="1"/>
  <c r="AO13" i="12"/>
  <c r="AO15" i="12"/>
  <c r="AO21" i="12"/>
  <c r="AO23" i="12"/>
  <c r="AO24" i="12"/>
  <c r="AO25" i="12"/>
  <c r="AO11" i="12"/>
  <c r="AO4" i="12"/>
  <c r="AN12" i="12"/>
  <c r="AN13" i="12"/>
  <c r="AN14" i="12"/>
  <c r="AO14" i="12" s="1"/>
  <c r="AN15" i="12"/>
  <c r="AN16" i="12"/>
  <c r="AO16" i="12" s="1"/>
  <c r="AN17" i="12"/>
  <c r="AO17" i="12" s="1"/>
  <c r="AN18" i="12"/>
  <c r="AO18" i="12" s="1"/>
  <c r="AN19" i="12"/>
  <c r="AO19" i="12" s="1"/>
  <c r="AN20" i="12"/>
  <c r="AO20" i="12" s="1"/>
  <c r="AN21" i="12"/>
  <c r="AN22" i="12"/>
  <c r="AO22" i="12" s="1"/>
  <c r="AN23" i="12"/>
  <c r="AN24" i="12"/>
  <c r="AN25" i="12"/>
  <c r="AN26" i="12"/>
  <c r="AO26" i="12" s="1"/>
  <c r="AN11" i="12"/>
  <c r="O23" i="1" l="1"/>
  <c r="I20" i="1"/>
  <c r="I12" i="1"/>
  <c r="H12" i="1"/>
  <c r="H14" i="1" s="1"/>
  <c r="I11" i="1"/>
  <c r="I10" i="1"/>
  <c r="H10" i="1"/>
  <c r="I9" i="1"/>
  <c r="H8" i="1"/>
  <c r="I7" i="1"/>
  <c r="I6" i="1"/>
  <c r="H6" i="1"/>
  <c r="I5" i="1"/>
  <c r="H4" i="1"/>
  <c r="I4" i="1" s="1"/>
  <c r="U26" i="12"/>
  <c r="U24" i="12"/>
  <c r="U23" i="12"/>
  <c r="U22" i="12"/>
  <c r="AA20" i="12"/>
  <c r="Z20" i="12"/>
  <c r="Y20" i="12"/>
  <c r="X20" i="12"/>
  <c r="U20" i="12"/>
  <c r="U19" i="12"/>
  <c r="U18" i="12"/>
  <c r="U17" i="12"/>
  <c r="X16" i="12"/>
  <c r="X9" i="12" s="1"/>
  <c r="U16" i="12"/>
  <c r="H16" i="12"/>
  <c r="AA16" i="12" s="1"/>
  <c r="AA9" i="12" s="1"/>
  <c r="G16" i="12"/>
  <c r="G17" i="12" s="1"/>
  <c r="G26" i="12" s="1"/>
  <c r="Z19" i="12" s="1"/>
  <c r="F16" i="12"/>
  <c r="Y16" i="12" s="1"/>
  <c r="Y9" i="12" s="1"/>
  <c r="AA15" i="12"/>
  <c r="AA8" i="12" s="1"/>
  <c r="Z15" i="12"/>
  <c r="Z8" i="12" s="1"/>
  <c r="Y15" i="12"/>
  <c r="Y8" i="12" s="1"/>
  <c r="X15" i="12"/>
  <c r="X8" i="12" s="1"/>
  <c r="U15" i="12"/>
  <c r="U14" i="12"/>
  <c r="H14" i="12"/>
  <c r="G14" i="12"/>
  <c r="Z14" i="12" s="1"/>
  <c r="Z7" i="12" s="1"/>
  <c r="F14" i="12"/>
  <c r="E14" i="12"/>
  <c r="X14" i="12" s="1"/>
  <c r="X7" i="12" s="1"/>
  <c r="U13" i="12"/>
  <c r="U11" i="12"/>
  <c r="U10" i="12"/>
  <c r="U9" i="12"/>
  <c r="U8" i="12"/>
  <c r="U12" i="12"/>
  <c r="U7" i="12"/>
  <c r="U6" i="12"/>
  <c r="I38" i="6"/>
  <c r="D30" i="6"/>
  <c r="I29" i="6"/>
  <c r="E29" i="6"/>
  <c r="E30" i="6" s="1"/>
  <c r="E31" i="6" s="1"/>
  <c r="E32" i="6" s="1"/>
  <c r="E33" i="6" s="1"/>
  <c r="E34" i="6" s="1"/>
  <c r="E35" i="6" s="1"/>
  <c r="E36" i="6" s="1"/>
  <c r="E37" i="6" s="1"/>
  <c r="D29" i="6"/>
  <c r="I28" i="6"/>
  <c r="D20" i="6"/>
  <c r="D21" i="6" s="1"/>
  <c r="E19" i="6"/>
  <c r="E20" i="6" s="1"/>
  <c r="E21" i="6" s="1"/>
  <c r="E22" i="6" s="1"/>
  <c r="E23" i="6" s="1"/>
  <c r="E24" i="6" s="1"/>
  <c r="E25" i="6" s="1"/>
  <c r="E26" i="6" s="1"/>
  <c r="E27" i="6" s="1"/>
  <c r="D19" i="6"/>
  <c r="I18" i="6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D4" i="6"/>
  <c r="D5" i="6" s="1"/>
  <c r="I3" i="6"/>
  <c r="P28" i="7"/>
  <c r="P27" i="7"/>
  <c r="P26" i="7"/>
  <c r="P25" i="7"/>
  <c r="AM19" i="7"/>
  <c r="AM20" i="7" s="1"/>
  <c r="AH19" i="7"/>
  <c r="AH20" i="7" s="1"/>
  <c r="AM18" i="7"/>
  <c r="AL18" i="7"/>
  <c r="AK18" i="7"/>
  <c r="AJ18" i="7"/>
  <c r="AJ19" i="7" s="1"/>
  <c r="AJ20" i="7" s="1"/>
  <c r="AI18" i="7"/>
  <c r="AH18" i="7"/>
  <c r="AG18" i="7"/>
  <c r="AF18" i="7"/>
  <c r="AE18" i="7"/>
  <c r="AE19" i="7" s="1"/>
  <c r="AE20" i="7" s="1"/>
  <c r="AD18" i="7"/>
  <c r="AC18" i="7"/>
  <c r="AB18" i="7"/>
  <c r="AA18" i="7"/>
  <c r="Z18" i="7"/>
  <c r="Y18" i="7"/>
  <c r="X18" i="7"/>
  <c r="X19" i="7" s="1"/>
  <c r="X20" i="7" s="1"/>
  <c r="W18" i="7"/>
  <c r="V18" i="7"/>
  <c r="U18" i="7"/>
  <c r="T18" i="7"/>
  <c r="S18" i="7"/>
  <c r="R18" i="7"/>
  <c r="Q18" i="7"/>
  <c r="P18" i="7"/>
  <c r="O18" i="7"/>
  <c r="N18" i="7"/>
  <c r="M18" i="7"/>
  <c r="L18" i="7"/>
  <c r="L19" i="7" s="1"/>
  <c r="L20" i="7" s="1"/>
  <c r="K18" i="7"/>
  <c r="J18" i="7"/>
  <c r="I18" i="7"/>
  <c r="H18" i="7"/>
  <c r="G18" i="7"/>
  <c r="G19" i="7" s="1"/>
  <c r="G20" i="7" s="1"/>
  <c r="F18" i="7"/>
  <c r="E18" i="7"/>
  <c r="D18" i="7"/>
  <c r="C18" i="7"/>
  <c r="AM14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P60" i="11"/>
  <c r="P59" i="11"/>
  <c r="P58" i="11"/>
  <c r="P57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28" i="11"/>
  <c r="B29" i="11" s="1"/>
  <c r="E24" i="11"/>
  <c r="E52" i="11" s="1"/>
  <c r="D24" i="11"/>
  <c r="C24" i="11"/>
  <c r="C52" i="11" s="1"/>
  <c r="E23" i="11"/>
  <c r="D23" i="11"/>
  <c r="C23" i="11"/>
  <c r="F51" i="11" s="1"/>
  <c r="D22" i="11"/>
  <c r="C22" i="11"/>
  <c r="F17" i="11"/>
  <c r="F24" i="11" s="1"/>
  <c r="F52" i="11" s="1"/>
  <c r="F16" i="11"/>
  <c r="F23" i="11" s="1"/>
  <c r="F15" i="11"/>
  <c r="D15" i="11"/>
  <c r="E15" i="11" s="1"/>
  <c r="E22" i="11" s="1"/>
  <c r="I11" i="11"/>
  <c r="J11" i="11" s="1"/>
  <c r="I10" i="11"/>
  <c r="AM9" i="11"/>
  <c r="I9" i="11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C33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29" i="13"/>
  <c r="C28" i="13"/>
  <c r="B28" i="13"/>
  <c r="C24" i="13"/>
  <c r="C42" i="13" s="1"/>
  <c r="D23" i="13"/>
  <c r="D41" i="13" s="1"/>
  <c r="C23" i="13"/>
  <c r="C41" i="13" s="1"/>
  <c r="D22" i="13"/>
  <c r="C22" i="13"/>
  <c r="C40" i="13" s="1"/>
  <c r="D17" i="13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AJ17" i="13" s="1"/>
  <c r="AK17" i="13" s="1"/>
  <c r="AL17" i="13" s="1"/>
  <c r="J16" i="13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AB16" i="13" s="1"/>
  <c r="AC16" i="13" s="1"/>
  <c r="AD16" i="13" s="1"/>
  <c r="AE16" i="13" s="1"/>
  <c r="AF16" i="13" s="1"/>
  <c r="AG16" i="13" s="1"/>
  <c r="AH16" i="13" s="1"/>
  <c r="AI16" i="13" s="1"/>
  <c r="AJ16" i="13" s="1"/>
  <c r="AK16" i="13" s="1"/>
  <c r="AL16" i="13" s="1"/>
  <c r="I16" i="13"/>
  <c r="D11" i="13"/>
  <c r="E11" i="13" s="1"/>
  <c r="A11" i="13"/>
  <c r="D10" i="13"/>
  <c r="E10" i="13" s="1"/>
  <c r="E23" i="13" s="1"/>
  <c r="E9" i="13"/>
  <c r="E22" i="13" s="1"/>
  <c r="D9" i="13"/>
  <c r="AH8" i="13"/>
  <c r="AJ36" i="13" s="1"/>
  <c r="AK7" i="13"/>
  <c r="AL7" i="13" s="1"/>
  <c r="AK6" i="13"/>
  <c r="AL6" i="13" s="1"/>
  <c r="D5" i="13"/>
  <c r="D33" i="13" s="1"/>
  <c r="U53" i="8"/>
  <c r="T53" i="8"/>
  <c r="Q53" i="8"/>
  <c r="I53" i="8"/>
  <c r="H53" i="8"/>
  <c r="K51" i="8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S53" i="8" s="1"/>
  <c r="R47" i="8"/>
  <c r="R53" i="8" s="1"/>
  <c r="Q47" i="8"/>
  <c r="P47" i="8"/>
  <c r="P53" i="8" s="1"/>
  <c r="O47" i="8"/>
  <c r="O53" i="8" s="1"/>
  <c r="N47" i="8"/>
  <c r="N53" i="8" s="1"/>
  <c r="M47" i="8"/>
  <c r="M53" i="8" s="1"/>
  <c r="L47" i="8"/>
  <c r="L53" i="8" s="1"/>
  <c r="K47" i="8"/>
  <c r="K53" i="8" s="1"/>
  <c r="J47" i="8"/>
  <c r="J53" i="8" s="1"/>
  <c r="I47" i="8"/>
  <c r="H47" i="8"/>
  <c r="G47" i="8"/>
  <c r="G53" i="8" s="1"/>
  <c r="F47" i="8"/>
  <c r="E47" i="8"/>
  <c r="D47" i="8"/>
  <c r="F17" i="12" l="1"/>
  <c r="F26" i="12" s="1"/>
  <c r="Y19" i="12" s="1"/>
  <c r="AR6" i="12" s="1"/>
  <c r="AS6" i="12" s="1"/>
  <c r="H17" i="12"/>
  <c r="H26" i="12" s="1"/>
  <c r="AA19" i="12" s="1"/>
  <c r="AT6" i="12" s="1"/>
  <c r="E17" i="12"/>
  <c r="E26" i="12" s="1"/>
  <c r="X19" i="12" s="1"/>
  <c r="AQ6" i="12" s="1"/>
  <c r="AK14" i="7"/>
  <c r="AK15" i="7" s="1"/>
  <c r="X10" i="12"/>
  <c r="AD17" i="12" s="1"/>
  <c r="AJ17" i="12" s="1"/>
  <c r="E19" i="7"/>
  <c r="E20" i="7" s="1"/>
  <c r="Q19" i="7"/>
  <c r="Q20" i="7" s="1"/>
  <c r="AC19" i="7"/>
  <c r="AC20" i="7" s="1"/>
  <c r="I19" i="6"/>
  <c r="G16" i="11"/>
  <c r="S14" i="7"/>
  <c r="S15" i="7" s="1"/>
  <c r="D40" i="13"/>
  <c r="AI8" i="13"/>
  <c r="AJ8" i="13" s="1"/>
  <c r="G17" i="11"/>
  <c r="AM15" i="7"/>
  <c r="V14" i="7" s="1"/>
  <c r="V15" i="7" s="1"/>
  <c r="K19" i="7"/>
  <c r="K20" i="7" s="1"/>
  <c r="W19" i="7"/>
  <c r="W20" i="7" s="1"/>
  <c r="AI19" i="7"/>
  <c r="AI20" i="7" s="1"/>
  <c r="Y14" i="12"/>
  <c r="Y7" i="12" s="1"/>
  <c r="Y10" i="12" s="1"/>
  <c r="Z16" i="12"/>
  <c r="N19" i="7"/>
  <c r="N20" i="7" s="1"/>
  <c r="Z19" i="7"/>
  <c r="Z20" i="7" s="1"/>
  <c r="AL19" i="7"/>
  <c r="AL20" i="7" s="1"/>
  <c r="D19" i="7"/>
  <c r="D20" i="7" s="1"/>
  <c r="P19" i="7"/>
  <c r="P20" i="7" s="1"/>
  <c r="AB19" i="7"/>
  <c r="AB20" i="7" s="1"/>
  <c r="U21" i="12"/>
  <c r="U25" i="12"/>
  <c r="E27" i="13"/>
  <c r="E41" i="13"/>
  <c r="Y17" i="12"/>
  <c r="F10" i="13"/>
  <c r="AK8" i="13"/>
  <c r="AL8" i="13" s="1"/>
  <c r="AL36" i="13"/>
  <c r="F9" i="13"/>
  <c r="E26" i="11"/>
  <c r="E50" i="11"/>
  <c r="E40" i="13"/>
  <c r="E26" i="13"/>
  <c r="F11" i="13"/>
  <c r="K11" i="11"/>
  <c r="D27" i="11"/>
  <c r="C28" i="11"/>
  <c r="AD13" i="12"/>
  <c r="AJ13" i="12" s="1"/>
  <c r="AD7" i="12"/>
  <c r="AJ7" i="12" s="1"/>
  <c r="AD20" i="12"/>
  <c r="AJ20" i="12" s="1"/>
  <c r="AD15" i="12"/>
  <c r="AJ15" i="12" s="1"/>
  <c r="AD19" i="12"/>
  <c r="AJ19" i="12" s="1"/>
  <c r="AD6" i="12"/>
  <c r="AJ6" i="12" s="1"/>
  <c r="AJ31" i="12" s="1"/>
  <c r="AD18" i="12"/>
  <c r="AJ18" i="12" s="1"/>
  <c r="AD11" i="12"/>
  <c r="AJ11" i="12" s="1"/>
  <c r="AK31" i="12" s="1"/>
  <c r="AD9" i="12"/>
  <c r="AJ9" i="12" s="1"/>
  <c r="AD26" i="12"/>
  <c r="AJ26" i="12" s="1"/>
  <c r="AN31" i="12" s="1"/>
  <c r="AD24" i="12"/>
  <c r="AJ24" i="12" s="1"/>
  <c r="AD16" i="12"/>
  <c r="AJ16" i="12" s="1"/>
  <c r="AL31" i="12" s="1"/>
  <c r="AD8" i="12"/>
  <c r="AJ8" i="12" s="1"/>
  <c r="AD12" i="12"/>
  <c r="AJ12" i="12" s="1"/>
  <c r="C26" i="13"/>
  <c r="C27" i="13"/>
  <c r="AK36" i="13"/>
  <c r="D51" i="11"/>
  <c r="AD19" i="7"/>
  <c r="AD20" i="7" s="1"/>
  <c r="R19" i="7"/>
  <c r="R20" i="7" s="1"/>
  <c r="F19" i="7"/>
  <c r="F20" i="7" s="1"/>
  <c r="AA19" i="7"/>
  <c r="AA20" i="7" s="1"/>
  <c r="O19" i="7"/>
  <c r="O20" i="7" s="1"/>
  <c r="AK19" i="7"/>
  <c r="AK20" i="7" s="1"/>
  <c r="Y19" i="7"/>
  <c r="Y20" i="7" s="1"/>
  <c r="M19" i="7"/>
  <c r="M20" i="7" s="1"/>
  <c r="AG19" i="7"/>
  <c r="AG20" i="7" s="1"/>
  <c r="U19" i="7"/>
  <c r="U20" i="7" s="1"/>
  <c r="I19" i="7"/>
  <c r="I20" i="7" s="1"/>
  <c r="D31" i="6"/>
  <c r="I30" i="6"/>
  <c r="D24" i="13"/>
  <c r="D26" i="13"/>
  <c r="G15" i="11"/>
  <c r="F22" i="11"/>
  <c r="E27" i="11"/>
  <c r="E5" i="13"/>
  <c r="F28" i="11"/>
  <c r="D6" i="6"/>
  <c r="I5" i="6"/>
  <c r="I20" i="6"/>
  <c r="H15" i="1"/>
  <c r="I14" i="1"/>
  <c r="C51" i="11"/>
  <c r="C27" i="11"/>
  <c r="C19" i="7"/>
  <c r="AC14" i="7"/>
  <c r="AC15" i="7" s="1"/>
  <c r="Q14" i="7"/>
  <c r="Q15" i="7" s="1"/>
  <c r="E14" i="7"/>
  <c r="E15" i="7" s="1"/>
  <c r="J19" i="7"/>
  <c r="J20" i="7" s="1"/>
  <c r="D22" i="6"/>
  <c r="I21" i="6"/>
  <c r="D27" i="13"/>
  <c r="C50" i="11"/>
  <c r="C26" i="11"/>
  <c r="I4" i="6"/>
  <c r="D50" i="11"/>
  <c r="D28" i="11"/>
  <c r="D52" i="11"/>
  <c r="D26" i="11"/>
  <c r="S19" i="7"/>
  <c r="S20" i="7" s="1"/>
  <c r="F27" i="11"/>
  <c r="E28" i="11"/>
  <c r="I14" i="7"/>
  <c r="I15" i="7" s="1"/>
  <c r="H19" i="7"/>
  <c r="H20" i="7" s="1"/>
  <c r="T19" i="7"/>
  <c r="T20" i="7" s="1"/>
  <c r="AF19" i="7"/>
  <c r="AF20" i="7" s="1"/>
  <c r="V19" i="7"/>
  <c r="V20" i="7" s="1"/>
  <c r="X17" i="12"/>
  <c r="E51" i="11"/>
  <c r="AA14" i="12"/>
  <c r="H3" i="1"/>
  <c r="AD22" i="12" l="1"/>
  <c r="AJ22" i="12" s="1"/>
  <c r="AD10" i="12"/>
  <c r="AJ10" i="12" s="1"/>
  <c r="AD14" i="12"/>
  <c r="AJ14" i="12" s="1"/>
  <c r="AD25" i="12"/>
  <c r="AJ25" i="12" s="1"/>
  <c r="AD21" i="12"/>
  <c r="AJ21" i="12" s="1"/>
  <c r="AM31" i="12" s="1"/>
  <c r="AD23" i="12"/>
  <c r="AJ23" i="12" s="1"/>
  <c r="G14" i="7"/>
  <c r="G15" i="7" s="1"/>
  <c r="T14" i="7"/>
  <c r="T15" i="7" s="1"/>
  <c r="AJ14" i="7"/>
  <c r="AJ15" i="7" s="1"/>
  <c r="U14" i="7"/>
  <c r="U15" i="7" s="1"/>
  <c r="AG14" i="7"/>
  <c r="AG15" i="7" s="1"/>
  <c r="M14" i="7"/>
  <c r="M15" i="7" s="1"/>
  <c r="H14" i="7"/>
  <c r="H15" i="7" s="1"/>
  <c r="R14" i="7"/>
  <c r="R15" i="7" s="1"/>
  <c r="AL14" i="7"/>
  <c r="AL15" i="7" s="1"/>
  <c r="D14" i="7"/>
  <c r="D15" i="7" s="1"/>
  <c r="Z14" i="7"/>
  <c r="Z15" i="7" s="1"/>
  <c r="K14" i="7"/>
  <c r="K15" i="7" s="1"/>
  <c r="AF14" i="7"/>
  <c r="AF15" i="7" s="1"/>
  <c r="J14" i="7"/>
  <c r="J15" i="7" s="1"/>
  <c r="F14" i="7"/>
  <c r="F15" i="7" s="1"/>
  <c r="H16" i="11"/>
  <c r="G23" i="11"/>
  <c r="AB14" i="7"/>
  <c r="AB15" i="7" s="1"/>
  <c r="AI14" i="7"/>
  <c r="AI15" i="7" s="1"/>
  <c r="H17" i="11"/>
  <c r="G24" i="11"/>
  <c r="AH14" i="7"/>
  <c r="AH15" i="7" s="1"/>
  <c r="P14" i="7"/>
  <c r="P15" i="7" s="1"/>
  <c r="N14" i="7"/>
  <c r="N15" i="7" s="1"/>
  <c r="W14" i="7"/>
  <c r="W15" i="7" s="1"/>
  <c r="C14" i="7"/>
  <c r="Y14" i="7"/>
  <c r="Y15" i="7" s="1"/>
  <c r="X14" i="7"/>
  <c r="X15" i="7" s="1"/>
  <c r="O14" i="7"/>
  <c r="O15" i="7" s="1"/>
  <c r="Z17" i="12"/>
  <c r="Z9" i="12"/>
  <c r="Z10" i="12" s="1"/>
  <c r="AD14" i="7"/>
  <c r="AD15" i="7" s="1"/>
  <c r="L14" i="7"/>
  <c r="L15" i="7" s="1"/>
  <c r="AA14" i="7"/>
  <c r="AA15" i="7" s="1"/>
  <c r="AE14" i="7"/>
  <c r="AE15" i="7" s="1"/>
  <c r="D23" i="6"/>
  <c r="I22" i="6"/>
  <c r="D32" i="6"/>
  <c r="I31" i="6"/>
  <c r="F22" i="13"/>
  <c r="G9" i="13"/>
  <c r="L11" i="11"/>
  <c r="F26" i="11"/>
  <c r="F50" i="11"/>
  <c r="F23" i="13"/>
  <c r="G10" i="13"/>
  <c r="H15" i="11"/>
  <c r="G22" i="11"/>
  <c r="G11" i="13"/>
  <c r="H16" i="1"/>
  <c r="I15" i="1"/>
  <c r="AE25" i="12"/>
  <c r="AK25" i="12" s="1"/>
  <c r="AL25" i="12" s="1"/>
  <c r="AE20" i="12"/>
  <c r="AK20" i="12" s="1"/>
  <c r="AL20" i="12" s="1"/>
  <c r="AE15" i="12"/>
  <c r="AK15" i="12" s="1"/>
  <c r="AL15" i="12" s="1"/>
  <c r="AE21" i="12"/>
  <c r="AK21" i="12" s="1"/>
  <c r="AL21" i="12" s="1"/>
  <c r="AE19" i="12"/>
  <c r="AK19" i="12" s="1"/>
  <c r="AL19" i="12" s="1"/>
  <c r="AE17" i="12"/>
  <c r="AK17" i="12" s="1"/>
  <c r="AL17" i="12" s="1"/>
  <c r="AE14" i="12"/>
  <c r="AK14" i="12" s="1"/>
  <c r="AL14" i="12" s="1"/>
  <c r="AE10" i="12"/>
  <c r="AK10" i="12" s="1"/>
  <c r="AL10" i="12" s="1"/>
  <c r="AE6" i="12"/>
  <c r="AK6" i="12" s="1"/>
  <c r="AL6" i="12" s="1"/>
  <c r="AE22" i="12"/>
  <c r="AK22" i="12" s="1"/>
  <c r="AL22" i="12" s="1"/>
  <c r="AE18" i="12"/>
  <c r="AK18" i="12" s="1"/>
  <c r="AL18" i="12" s="1"/>
  <c r="AE11" i="12"/>
  <c r="AK11" i="12" s="1"/>
  <c r="AL11" i="12" s="1"/>
  <c r="AE9" i="12"/>
  <c r="AK9" i="12" s="1"/>
  <c r="AL9" i="12" s="1"/>
  <c r="AE23" i="12"/>
  <c r="AK23" i="12" s="1"/>
  <c r="AL23" i="12" s="1"/>
  <c r="AE13" i="12"/>
  <c r="AK13" i="12" s="1"/>
  <c r="AL13" i="12" s="1"/>
  <c r="AE7" i="12"/>
  <c r="AK7" i="12" s="1"/>
  <c r="AL7" i="12" s="1"/>
  <c r="AE8" i="12"/>
  <c r="AK8" i="12" s="1"/>
  <c r="AL8" i="12" s="1"/>
  <c r="AE26" i="12"/>
  <c r="AK26" i="12" s="1"/>
  <c r="AL26" i="12" s="1"/>
  <c r="AE24" i="12"/>
  <c r="AK24" i="12" s="1"/>
  <c r="AL24" i="12" s="1"/>
  <c r="AE16" i="12"/>
  <c r="AK16" i="12" s="1"/>
  <c r="AL16" i="12" s="1"/>
  <c r="AE12" i="12"/>
  <c r="AK12" i="12" s="1"/>
  <c r="AL12" i="12" s="1"/>
  <c r="AA7" i="12"/>
  <c r="AA10" i="12" s="1"/>
  <c r="AA17" i="12"/>
  <c r="E33" i="13"/>
  <c r="F5" i="13"/>
  <c r="F24" i="13" s="1"/>
  <c r="D7" i="6"/>
  <c r="I6" i="6"/>
  <c r="D42" i="13"/>
  <c r="D28" i="13"/>
  <c r="E24" i="13"/>
  <c r="H23" i="11" l="1"/>
  <c r="I16" i="11"/>
  <c r="G27" i="11"/>
  <c r="G51" i="11"/>
  <c r="G52" i="11"/>
  <c r="G28" i="11"/>
  <c r="H24" i="11"/>
  <c r="I17" i="11"/>
  <c r="AF8" i="12"/>
  <c r="AF19" i="12"/>
  <c r="AF25" i="12"/>
  <c r="AF17" i="12"/>
  <c r="AF14" i="12"/>
  <c r="AF10" i="12"/>
  <c r="AF13" i="12"/>
  <c r="AF20" i="12"/>
  <c r="AF12" i="12"/>
  <c r="AF6" i="12"/>
  <c r="AF11" i="12"/>
  <c r="AF9" i="12"/>
  <c r="AF23" i="12"/>
  <c r="AF15" i="12"/>
  <c r="AF21" i="12"/>
  <c r="AF26" i="12"/>
  <c r="AF22" i="12"/>
  <c r="AF24" i="12"/>
  <c r="AF18" i="12"/>
  <c r="AF7" i="12"/>
  <c r="AF16" i="12"/>
  <c r="F42" i="13"/>
  <c r="F28" i="13"/>
  <c r="H11" i="13"/>
  <c r="E42" i="13"/>
  <c r="E28" i="13"/>
  <c r="H9" i="13"/>
  <c r="G22" i="13"/>
  <c r="F40" i="13"/>
  <c r="F26" i="13"/>
  <c r="G50" i="11"/>
  <c r="G26" i="11"/>
  <c r="AN33" i="12"/>
  <c r="AN32" i="12"/>
  <c r="I15" i="11"/>
  <c r="H22" i="11"/>
  <c r="I16" i="1"/>
  <c r="H17" i="1"/>
  <c r="AJ33" i="12"/>
  <c r="AJ32" i="12"/>
  <c r="G23" i="13"/>
  <c r="H10" i="13"/>
  <c r="D33" i="6"/>
  <c r="I32" i="6"/>
  <c r="AK33" i="12"/>
  <c r="AK32" i="12"/>
  <c r="I7" i="6"/>
  <c r="D8" i="6"/>
  <c r="AM33" i="12"/>
  <c r="AM32" i="12"/>
  <c r="F27" i="13"/>
  <c r="F41" i="13"/>
  <c r="F33" i="13"/>
  <c r="G5" i="13"/>
  <c r="M11" i="11"/>
  <c r="AG20" i="12"/>
  <c r="AM20" i="12" s="1"/>
  <c r="AG15" i="12"/>
  <c r="AM15" i="12" s="1"/>
  <c r="AG21" i="12"/>
  <c r="AM21" i="12" s="1"/>
  <c r="AM34" i="12" s="1"/>
  <c r="AG19" i="12"/>
  <c r="AM19" i="12" s="1"/>
  <c r="AG17" i="12"/>
  <c r="AM17" i="12" s="1"/>
  <c r="AG14" i="12"/>
  <c r="AM14" i="12" s="1"/>
  <c r="AG10" i="12"/>
  <c r="AM10" i="12" s="1"/>
  <c r="AG6" i="12"/>
  <c r="AM6" i="12" s="1"/>
  <c r="AJ34" i="12" s="1"/>
  <c r="AG22" i="12"/>
  <c r="AM22" i="12" s="1"/>
  <c r="AG18" i="12"/>
  <c r="AM18" i="12" s="1"/>
  <c r="AG11" i="12"/>
  <c r="AM11" i="12" s="1"/>
  <c r="AK34" i="12" s="1"/>
  <c r="AG9" i="12"/>
  <c r="AM9" i="12" s="1"/>
  <c r="AG23" i="12"/>
  <c r="AM23" i="12" s="1"/>
  <c r="AG12" i="12"/>
  <c r="AM12" i="12" s="1"/>
  <c r="AG8" i="12"/>
  <c r="AM8" i="12" s="1"/>
  <c r="AG26" i="12"/>
  <c r="AM26" i="12" s="1"/>
  <c r="AN34" i="12" s="1"/>
  <c r="AG24" i="12"/>
  <c r="AM24" i="12" s="1"/>
  <c r="AG16" i="12"/>
  <c r="AM16" i="12" s="1"/>
  <c r="AL34" i="12" s="1"/>
  <c r="AG25" i="12"/>
  <c r="AM25" i="12" s="1"/>
  <c r="AG13" i="12"/>
  <c r="AM13" i="12" s="1"/>
  <c r="AG7" i="12"/>
  <c r="AM7" i="12" s="1"/>
  <c r="AL33" i="12"/>
  <c r="AL32" i="12"/>
  <c r="D24" i="6"/>
  <c r="I23" i="6"/>
  <c r="H51" i="11" l="1"/>
  <c r="H27" i="11"/>
  <c r="J17" i="11"/>
  <c r="I24" i="11"/>
  <c r="H52" i="11"/>
  <c r="H28" i="11"/>
  <c r="J16" i="11"/>
  <c r="I23" i="11"/>
  <c r="G40" i="13"/>
  <c r="G26" i="13"/>
  <c r="H50" i="11"/>
  <c r="H26" i="11"/>
  <c r="J15" i="11"/>
  <c r="I22" i="11"/>
  <c r="N11" i="11"/>
  <c r="D9" i="6"/>
  <c r="I8" i="6"/>
  <c r="H22" i="13"/>
  <c r="I9" i="13"/>
  <c r="G33" i="13"/>
  <c r="H5" i="13"/>
  <c r="H24" i="13"/>
  <c r="I11" i="13"/>
  <c r="D34" i="6"/>
  <c r="I33" i="6"/>
  <c r="G24" i="13"/>
  <c r="H18" i="1"/>
  <c r="H19" i="1" s="1"/>
  <c r="I17" i="1"/>
  <c r="I10" i="13"/>
  <c r="H23" i="13"/>
  <c r="G27" i="13"/>
  <c r="G41" i="13"/>
  <c r="I24" i="6"/>
  <c r="D25" i="6"/>
  <c r="I27" i="11" l="1"/>
  <c r="I51" i="11"/>
  <c r="K16" i="11"/>
  <c r="J23" i="11"/>
  <c r="I28" i="11"/>
  <c r="I52" i="11"/>
  <c r="K17" i="11"/>
  <c r="J24" i="11"/>
  <c r="H21" i="1"/>
  <c r="I19" i="1"/>
  <c r="D35" i="6"/>
  <c r="I34" i="6"/>
  <c r="D26" i="6"/>
  <c r="I25" i="6"/>
  <c r="G42" i="13"/>
  <c r="G28" i="13"/>
  <c r="J11" i="13"/>
  <c r="J22" i="11"/>
  <c r="K15" i="11"/>
  <c r="O11" i="11"/>
  <c r="I50" i="11"/>
  <c r="I26" i="11"/>
  <c r="I22" i="13"/>
  <c r="J9" i="13"/>
  <c r="H42" i="13"/>
  <c r="H28" i="13"/>
  <c r="H33" i="13"/>
  <c r="I5" i="13"/>
  <c r="H40" i="13"/>
  <c r="H26" i="13"/>
  <c r="I23" i="13"/>
  <c r="J10" i="13"/>
  <c r="H41" i="13"/>
  <c r="H27" i="13"/>
  <c r="D10" i="6"/>
  <c r="I9" i="6"/>
  <c r="J28" i="11" l="1"/>
  <c r="J52" i="11"/>
  <c r="L17" i="11"/>
  <c r="K24" i="11"/>
  <c r="J51" i="11"/>
  <c r="J27" i="11"/>
  <c r="K23" i="11"/>
  <c r="L16" i="11"/>
  <c r="I33" i="13"/>
  <c r="J5" i="13"/>
  <c r="J24" i="13" s="1"/>
  <c r="J22" i="13"/>
  <c r="K9" i="13"/>
  <c r="D11" i="6"/>
  <c r="I10" i="6"/>
  <c r="D27" i="6"/>
  <c r="I27" i="6" s="1"/>
  <c r="I26" i="6"/>
  <c r="K11" i="13"/>
  <c r="I40" i="13"/>
  <c r="I26" i="13"/>
  <c r="J23" i="13"/>
  <c r="K10" i="13"/>
  <c r="P11" i="11"/>
  <c r="I27" i="13"/>
  <c r="I41" i="13"/>
  <c r="D36" i="6"/>
  <c r="I35" i="6"/>
  <c r="K22" i="11"/>
  <c r="L15" i="11"/>
  <c r="I24" i="13"/>
  <c r="J50" i="11"/>
  <c r="J26" i="11"/>
  <c r="H22" i="1"/>
  <c r="I21" i="1"/>
  <c r="K27" i="11" l="1"/>
  <c r="K51" i="11"/>
  <c r="K52" i="11"/>
  <c r="K28" i="11"/>
  <c r="M17" i="11"/>
  <c r="L24" i="11"/>
  <c r="M16" i="11"/>
  <c r="L23" i="11"/>
  <c r="D37" i="6"/>
  <c r="I37" i="6" s="1"/>
  <c r="I36" i="6"/>
  <c r="J28" i="13"/>
  <c r="J42" i="13"/>
  <c r="I11" i="6"/>
  <c r="D12" i="6"/>
  <c r="L11" i="13"/>
  <c r="H23" i="1"/>
  <c r="I22" i="1"/>
  <c r="Q11" i="11"/>
  <c r="K22" i="13"/>
  <c r="L9" i="13"/>
  <c r="M15" i="11"/>
  <c r="L22" i="11"/>
  <c r="J26" i="13"/>
  <c r="J40" i="13"/>
  <c r="K23" i="13"/>
  <c r="L10" i="13"/>
  <c r="J33" i="13"/>
  <c r="K5" i="13"/>
  <c r="K50" i="11"/>
  <c r="K26" i="11"/>
  <c r="I28" i="13"/>
  <c r="I42" i="13"/>
  <c r="J27" i="13"/>
  <c r="J41" i="13"/>
  <c r="L27" i="11" l="1"/>
  <c r="L51" i="11"/>
  <c r="M23" i="11"/>
  <c r="N16" i="11"/>
  <c r="L52" i="11"/>
  <c r="L28" i="11"/>
  <c r="N17" i="11"/>
  <c r="M24" i="11"/>
  <c r="L5" i="13"/>
  <c r="L24" i="13" s="1"/>
  <c r="K33" i="13"/>
  <c r="L50" i="11"/>
  <c r="L26" i="11"/>
  <c r="M10" i="13"/>
  <c r="L23" i="13"/>
  <c r="K27" i="13"/>
  <c r="K41" i="13"/>
  <c r="K24" i="13"/>
  <c r="D13" i="6"/>
  <c r="I12" i="6"/>
  <c r="M22" i="11"/>
  <c r="N15" i="11"/>
  <c r="M9" i="13"/>
  <c r="L22" i="13"/>
  <c r="M11" i="13"/>
  <c r="K26" i="13"/>
  <c r="K40" i="13"/>
  <c r="R11" i="11"/>
  <c r="M28" i="11" l="1"/>
  <c r="M52" i="11"/>
  <c r="O17" i="11"/>
  <c r="N24" i="11"/>
  <c r="N23" i="11"/>
  <c r="O16" i="11"/>
  <c r="M51" i="11"/>
  <c r="M27" i="11"/>
  <c r="K42" i="13"/>
  <c r="K28" i="13"/>
  <c r="L40" i="13"/>
  <c r="L26" i="13"/>
  <c r="L41" i="13"/>
  <c r="L27" i="13"/>
  <c r="N10" i="13"/>
  <c r="M23" i="13"/>
  <c r="N9" i="13"/>
  <c r="M22" i="13"/>
  <c r="L42" i="13"/>
  <c r="L28" i="13"/>
  <c r="N11" i="13"/>
  <c r="M50" i="11"/>
  <c r="M26" i="11"/>
  <c r="D14" i="6"/>
  <c r="I13" i="6"/>
  <c r="S11" i="11"/>
  <c r="N22" i="11"/>
  <c r="O15" i="11"/>
  <c r="M5" i="13"/>
  <c r="L33" i="13"/>
  <c r="P17" i="11" l="1"/>
  <c r="O24" i="11"/>
  <c r="O23" i="11"/>
  <c r="P16" i="11"/>
  <c r="N27" i="11"/>
  <c r="N51" i="11"/>
  <c r="N52" i="11"/>
  <c r="N28" i="11"/>
  <c r="D15" i="6"/>
  <c r="I14" i="6"/>
  <c r="M41" i="13"/>
  <c r="M27" i="13"/>
  <c r="P15" i="11"/>
  <c r="O22" i="11"/>
  <c r="T11" i="11"/>
  <c r="O9" i="13"/>
  <c r="N22" i="13"/>
  <c r="M33" i="13"/>
  <c r="N5" i="13"/>
  <c r="N26" i="11"/>
  <c r="N50" i="11"/>
  <c r="M24" i="13"/>
  <c r="M40" i="13"/>
  <c r="M26" i="13"/>
  <c r="O10" i="13"/>
  <c r="N23" i="13"/>
  <c r="O11" i="13"/>
  <c r="N24" i="13"/>
  <c r="Q16" i="11" l="1"/>
  <c r="P23" i="11"/>
  <c r="O51" i="11"/>
  <c r="O27" i="11"/>
  <c r="O28" i="11"/>
  <c r="O52" i="11"/>
  <c r="Q17" i="11"/>
  <c r="P24" i="11"/>
  <c r="U11" i="11"/>
  <c r="Q15" i="11"/>
  <c r="P22" i="11"/>
  <c r="N40" i="13"/>
  <c r="N26" i="13"/>
  <c r="O22" i="13"/>
  <c r="P9" i="13"/>
  <c r="M42" i="13"/>
  <c r="M28" i="13"/>
  <c r="I15" i="6"/>
  <c r="D16" i="6"/>
  <c r="N41" i="13"/>
  <c r="N27" i="13"/>
  <c r="O23" i="13"/>
  <c r="P10" i="13"/>
  <c r="N42" i="13"/>
  <c r="N28" i="13"/>
  <c r="P11" i="13"/>
  <c r="N33" i="13"/>
  <c r="O5" i="13"/>
  <c r="O24" i="13" s="1"/>
  <c r="O50" i="11"/>
  <c r="O26" i="11"/>
  <c r="P28" i="11" l="1"/>
  <c r="P52" i="11"/>
  <c r="R17" i="11"/>
  <c r="Q24" i="11"/>
  <c r="Q23" i="11"/>
  <c r="R16" i="11"/>
  <c r="P51" i="11"/>
  <c r="P27" i="11"/>
  <c r="O28" i="13"/>
  <c r="O42" i="13"/>
  <c r="P22" i="13"/>
  <c r="Q9" i="13"/>
  <c r="P23" i="13"/>
  <c r="Q10" i="13"/>
  <c r="Q11" i="13"/>
  <c r="P50" i="11"/>
  <c r="P26" i="11"/>
  <c r="R15" i="11"/>
  <c r="Q22" i="11"/>
  <c r="V11" i="11"/>
  <c r="O27" i="13"/>
  <c r="O41" i="13"/>
  <c r="O33" i="13"/>
  <c r="P5" i="13"/>
  <c r="P24" i="13" s="1"/>
  <c r="D17" i="6"/>
  <c r="I17" i="6" s="1"/>
  <c r="I16" i="6"/>
  <c r="O40" i="13"/>
  <c r="O26" i="13"/>
  <c r="R23" i="11" l="1"/>
  <c r="S16" i="11"/>
  <c r="Q51" i="11"/>
  <c r="Q27" i="11"/>
  <c r="Q28" i="11"/>
  <c r="Q52" i="11"/>
  <c r="S17" i="11"/>
  <c r="R24" i="11"/>
  <c r="P42" i="13"/>
  <c r="P28" i="13"/>
  <c r="Q26" i="11"/>
  <c r="Q50" i="11"/>
  <c r="P41" i="13"/>
  <c r="P27" i="13"/>
  <c r="Q23" i="13"/>
  <c r="R10" i="13"/>
  <c r="P26" i="13"/>
  <c r="P40" i="13"/>
  <c r="S15" i="11"/>
  <c r="R22" i="11"/>
  <c r="R11" i="13"/>
  <c r="W11" i="11"/>
  <c r="P33" i="13"/>
  <c r="Q5" i="13"/>
  <c r="Q22" i="13"/>
  <c r="R9" i="13"/>
  <c r="T17" i="11" l="1"/>
  <c r="S24" i="11"/>
  <c r="R52" i="11"/>
  <c r="R28" i="11"/>
  <c r="S23" i="11"/>
  <c r="T16" i="11"/>
  <c r="R51" i="11"/>
  <c r="R27" i="11"/>
  <c r="R22" i="13"/>
  <c r="S9" i="13"/>
  <c r="Q40" i="13"/>
  <c r="Q26" i="13"/>
  <c r="X11" i="11"/>
  <c r="R23" i="13"/>
  <c r="S10" i="13"/>
  <c r="Q41" i="13"/>
  <c r="Q27" i="13"/>
  <c r="T15" i="11"/>
  <c r="S22" i="11"/>
  <c r="S11" i="13"/>
  <c r="R26" i="11"/>
  <c r="R50" i="11"/>
  <c r="Q33" i="13"/>
  <c r="R5" i="13"/>
  <c r="Q24" i="13"/>
  <c r="S27" i="11" l="1"/>
  <c r="S51" i="11"/>
  <c r="S52" i="11"/>
  <c r="S28" i="11"/>
  <c r="U16" i="11"/>
  <c r="T23" i="11"/>
  <c r="U17" i="11"/>
  <c r="T24" i="11"/>
  <c r="Y11" i="11"/>
  <c r="S23" i="13"/>
  <c r="T10" i="13"/>
  <c r="S50" i="11"/>
  <c r="S26" i="11"/>
  <c r="R33" i="13"/>
  <c r="S5" i="13"/>
  <c r="S24" i="13"/>
  <c r="T11" i="13"/>
  <c r="R24" i="13"/>
  <c r="U15" i="11"/>
  <c r="T22" i="11"/>
  <c r="S22" i="13"/>
  <c r="T9" i="13"/>
  <c r="R27" i="13"/>
  <c r="R41" i="13"/>
  <c r="Q42" i="13"/>
  <c r="Q28" i="13"/>
  <c r="R40" i="13"/>
  <c r="R26" i="13"/>
  <c r="T28" i="11" l="1"/>
  <c r="T52" i="11"/>
  <c r="U23" i="11"/>
  <c r="V16" i="11"/>
  <c r="T51" i="11"/>
  <c r="T27" i="11"/>
  <c r="V17" i="11"/>
  <c r="U24" i="11"/>
  <c r="U11" i="13"/>
  <c r="S33" i="13"/>
  <c r="T5" i="13"/>
  <c r="T22" i="13"/>
  <c r="U9" i="13"/>
  <c r="S27" i="13"/>
  <c r="S41" i="13"/>
  <c r="S42" i="13"/>
  <c r="S28" i="13"/>
  <c r="T50" i="11"/>
  <c r="T26" i="11"/>
  <c r="U22" i="11"/>
  <c r="V15" i="11"/>
  <c r="T23" i="13"/>
  <c r="U10" i="13"/>
  <c r="S40" i="13"/>
  <c r="S26" i="13"/>
  <c r="R42" i="13"/>
  <c r="R28" i="13"/>
  <c r="Z11" i="11"/>
  <c r="U52" i="11" l="1"/>
  <c r="U28" i="11"/>
  <c r="V23" i="11"/>
  <c r="W16" i="11"/>
  <c r="W17" i="11"/>
  <c r="V24" i="11"/>
  <c r="U51" i="11"/>
  <c r="U27" i="11"/>
  <c r="T40" i="13"/>
  <c r="T26" i="13"/>
  <c r="U22" i="13"/>
  <c r="V9" i="13"/>
  <c r="T41" i="13"/>
  <c r="T27" i="13"/>
  <c r="V22" i="11"/>
  <c r="W15" i="11"/>
  <c r="V11" i="13"/>
  <c r="AA11" i="11"/>
  <c r="U23" i="13"/>
  <c r="V10" i="13"/>
  <c r="T33" i="13"/>
  <c r="U5" i="13"/>
  <c r="U50" i="11"/>
  <c r="U26" i="11"/>
  <c r="T24" i="13"/>
  <c r="X17" i="11" l="1"/>
  <c r="W24" i="11"/>
  <c r="W23" i="11"/>
  <c r="X16" i="11"/>
  <c r="V28" i="11"/>
  <c r="V52" i="11"/>
  <c r="V51" i="11"/>
  <c r="V27" i="11"/>
  <c r="V50" i="11"/>
  <c r="V26" i="11"/>
  <c r="U27" i="13"/>
  <c r="U41" i="13"/>
  <c r="U33" i="13"/>
  <c r="V5" i="13"/>
  <c r="V24" i="13" s="1"/>
  <c r="V23" i="13"/>
  <c r="W10" i="13"/>
  <c r="AB11" i="11"/>
  <c r="U40" i="13"/>
  <c r="U26" i="13"/>
  <c r="W11" i="13"/>
  <c r="W22" i="11"/>
  <c r="X15" i="11"/>
  <c r="V22" i="13"/>
  <c r="W9" i="13"/>
  <c r="T42" i="13"/>
  <c r="T28" i="13"/>
  <c r="U24" i="13"/>
  <c r="X23" i="11" l="1"/>
  <c r="Y16" i="11"/>
  <c r="W28" i="11"/>
  <c r="W52" i="11"/>
  <c r="W51" i="11"/>
  <c r="W27" i="11"/>
  <c r="Y17" i="11"/>
  <c r="X24" i="11"/>
  <c r="V28" i="13"/>
  <c r="V42" i="13"/>
  <c r="V26" i="13"/>
  <c r="V40" i="13"/>
  <c r="X22" i="11"/>
  <c r="Y15" i="11"/>
  <c r="V27" i="13"/>
  <c r="V41" i="13"/>
  <c r="W22" i="13"/>
  <c r="X9" i="13"/>
  <c r="AC11" i="11"/>
  <c r="W50" i="11"/>
  <c r="W26" i="11"/>
  <c r="U28" i="13"/>
  <c r="U42" i="13"/>
  <c r="W23" i="13"/>
  <c r="X10" i="13"/>
  <c r="X11" i="13"/>
  <c r="W5" i="13"/>
  <c r="V33" i="13"/>
  <c r="Z17" i="11" l="1"/>
  <c r="Y24" i="11"/>
  <c r="X52" i="11"/>
  <c r="X28" i="11"/>
  <c r="Y23" i="11"/>
  <c r="Z16" i="11"/>
  <c r="X27" i="11"/>
  <c r="X51" i="11"/>
  <c r="W27" i="13"/>
  <c r="W41" i="13"/>
  <c r="X5" i="13"/>
  <c r="W33" i="13"/>
  <c r="Y10" i="13"/>
  <c r="X23" i="13"/>
  <c r="Y22" i="11"/>
  <c r="Z15" i="11"/>
  <c r="AD11" i="11"/>
  <c r="Y11" i="13"/>
  <c r="Y9" i="13"/>
  <c r="X22" i="13"/>
  <c r="X50" i="11"/>
  <c r="X26" i="11"/>
  <c r="W24" i="13"/>
  <c r="W26" i="13"/>
  <c r="W40" i="13"/>
  <c r="Y51" i="11" l="1"/>
  <c r="Y27" i="11"/>
  <c r="Y52" i="11"/>
  <c r="Y28" i="11"/>
  <c r="Z23" i="11"/>
  <c r="AA16" i="11"/>
  <c r="AA17" i="11"/>
  <c r="Z24" i="11"/>
  <c r="Y5" i="13"/>
  <c r="X33" i="13"/>
  <c r="W42" i="13"/>
  <c r="W28" i="13"/>
  <c r="Z10" i="13"/>
  <c r="Y23" i="13"/>
  <c r="X24" i="13"/>
  <c r="X41" i="13"/>
  <c r="X27" i="13"/>
  <c r="Z22" i="11"/>
  <c r="AA15" i="11"/>
  <c r="X40" i="13"/>
  <c r="X26" i="13"/>
  <c r="Z9" i="13"/>
  <c r="Y22" i="13"/>
  <c r="Z11" i="13"/>
  <c r="Y24" i="13"/>
  <c r="AE11" i="11"/>
  <c r="Y50" i="11"/>
  <c r="Y26" i="11"/>
  <c r="Z27" i="11" l="1"/>
  <c r="Z51" i="11"/>
  <c r="AB17" i="11"/>
  <c r="AA24" i="11"/>
  <c r="AA23" i="11"/>
  <c r="AB16" i="11"/>
  <c r="Z52" i="11"/>
  <c r="Z28" i="11"/>
  <c r="AF11" i="11"/>
  <c r="Y40" i="13"/>
  <c r="Y26" i="13"/>
  <c r="AB15" i="11"/>
  <c r="AA22" i="11"/>
  <c r="Y42" i="13"/>
  <c r="Y28" i="13"/>
  <c r="AA11" i="13"/>
  <c r="AA9" i="13"/>
  <c r="Z22" i="13"/>
  <c r="Z26" i="11"/>
  <c r="Z50" i="11"/>
  <c r="Y41" i="13"/>
  <c r="Y27" i="13"/>
  <c r="X42" i="13"/>
  <c r="X28" i="13"/>
  <c r="AA10" i="13"/>
  <c r="Z23" i="13"/>
  <c r="Y33" i="13"/>
  <c r="Z5" i="13"/>
  <c r="Z24" i="13" s="1"/>
  <c r="AB23" i="11" l="1"/>
  <c r="AC16" i="11"/>
  <c r="AA51" i="11"/>
  <c r="AA27" i="11"/>
  <c r="AA52" i="11"/>
  <c r="AA28" i="11"/>
  <c r="AC17" i="11"/>
  <c r="AB24" i="11"/>
  <c r="Z41" i="13"/>
  <c r="Z27" i="13"/>
  <c r="Z40" i="13"/>
  <c r="Z26" i="13"/>
  <c r="AC15" i="11"/>
  <c r="AB22" i="11"/>
  <c r="AA22" i="13"/>
  <c r="AB9" i="13"/>
  <c r="AB11" i="13"/>
  <c r="AB10" i="13"/>
  <c r="AA23" i="13"/>
  <c r="AA50" i="11"/>
  <c r="AA26" i="11"/>
  <c r="Z28" i="13"/>
  <c r="Z42" i="13"/>
  <c r="Z33" i="13"/>
  <c r="AA5" i="13"/>
  <c r="AG11" i="11"/>
  <c r="AB28" i="11" l="1"/>
  <c r="AB52" i="11"/>
  <c r="AC23" i="11"/>
  <c r="AD16" i="11"/>
  <c r="AD17" i="11"/>
  <c r="AC24" i="11"/>
  <c r="AB51" i="11"/>
  <c r="AB27" i="11"/>
  <c r="AB22" i="13"/>
  <c r="AC9" i="13"/>
  <c r="AB5" i="13"/>
  <c r="AA33" i="13"/>
  <c r="AA24" i="13"/>
  <c r="AB24" i="13"/>
  <c r="AC11" i="13"/>
  <c r="AA41" i="13"/>
  <c r="AA27" i="13"/>
  <c r="AB50" i="11"/>
  <c r="AB26" i="11"/>
  <c r="AC22" i="11"/>
  <c r="AD15" i="11"/>
  <c r="AB23" i="13"/>
  <c r="AC10" i="13"/>
  <c r="AA40" i="13"/>
  <c r="AA26" i="13"/>
  <c r="AH11" i="11"/>
  <c r="AC28" i="11" l="1"/>
  <c r="AC52" i="11"/>
  <c r="AE17" i="11"/>
  <c r="AD24" i="11"/>
  <c r="AD23" i="11"/>
  <c r="AE16" i="11"/>
  <c r="AC27" i="11"/>
  <c r="AC51" i="11"/>
  <c r="AD11" i="13"/>
  <c r="AC23" i="13"/>
  <c r="AD10" i="13"/>
  <c r="AB42" i="13"/>
  <c r="AB28" i="13"/>
  <c r="AB40" i="13"/>
  <c r="AB26" i="13"/>
  <c r="AB41" i="13"/>
  <c r="AB27" i="13"/>
  <c r="AE15" i="11"/>
  <c r="AD22" i="11"/>
  <c r="AB33" i="13"/>
  <c r="AC5" i="13"/>
  <c r="AC22" i="13"/>
  <c r="AD9" i="13"/>
  <c r="AA42" i="13"/>
  <c r="AA28" i="13"/>
  <c r="AC26" i="11"/>
  <c r="AC50" i="11"/>
  <c r="AI11" i="11"/>
  <c r="AF16" i="11" l="1"/>
  <c r="AE23" i="11"/>
  <c r="AD27" i="11"/>
  <c r="AD51" i="11"/>
  <c r="AD28" i="11"/>
  <c r="AD52" i="11"/>
  <c r="AF17" i="11"/>
  <c r="AE24" i="11"/>
  <c r="AD22" i="13"/>
  <c r="AE9" i="13"/>
  <c r="AC33" i="13"/>
  <c r="AD5" i="13"/>
  <c r="AD24" i="13" s="1"/>
  <c r="AD23" i="13"/>
  <c r="AE10" i="13"/>
  <c r="AD26" i="11"/>
  <c r="AD50" i="11"/>
  <c r="AC24" i="13"/>
  <c r="AC40" i="13"/>
  <c r="AC26" i="13"/>
  <c r="AC27" i="13"/>
  <c r="AC41" i="13"/>
  <c r="AF15" i="11"/>
  <c r="AE22" i="11"/>
  <c r="AJ11" i="11"/>
  <c r="AE11" i="13"/>
  <c r="AE52" i="11" l="1"/>
  <c r="AE28" i="11"/>
  <c r="AG17" i="11"/>
  <c r="AF24" i="11"/>
  <c r="AE27" i="11"/>
  <c r="AE51" i="11"/>
  <c r="AF23" i="11"/>
  <c r="AG16" i="11"/>
  <c r="AE50" i="11"/>
  <c r="AE26" i="11"/>
  <c r="AD28" i="13"/>
  <c r="AD42" i="13"/>
  <c r="AK11" i="11"/>
  <c r="AE23" i="13"/>
  <c r="AF10" i="13"/>
  <c r="AD33" i="13"/>
  <c r="AE5" i="13"/>
  <c r="AE22" i="13"/>
  <c r="AF9" i="13"/>
  <c r="AC28" i="13"/>
  <c r="AC42" i="13"/>
  <c r="AG15" i="11"/>
  <c r="AF22" i="11"/>
  <c r="AD27" i="13"/>
  <c r="AD41" i="13"/>
  <c r="AF11" i="13"/>
  <c r="AD40" i="13"/>
  <c r="AD26" i="13"/>
  <c r="AF28" i="11" l="1"/>
  <c r="AF52" i="11"/>
  <c r="AH17" i="11"/>
  <c r="AG24" i="11"/>
  <c r="AF27" i="11"/>
  <c r="AF51" i="11"/>
  <c r="AG23" i="11"/>
  <c r="AH16" i="11"/>
  <c r="AF50" i="11"/>
  <c r="AF26" i="11"/>
  <c r="AG22" i="11"/>
  <c r="AH15" i="11"/>
  <c r="AL11" i="11"/>
  <c r="AF23" i="13"/>
  <c r="AG10" i="13"/>
  <c r="AF22" i="13"/>
  <c r="AG9" i="13"/>
  <c r="AE33" i="13"/>
  <c r="AF5" i="13"/>
  <c r="AG11" i="13"/>
  <c r="AF24" i="13"/>
  <c r="AE27" i="13"/>
  <c r="AE41" i="13"/>
  <c r="AE40" i="13"/>
  <c r="AE26" i="13"/>
  <c r="AE24" i="13"/>
  <c r="AG51" i="11" l="1"/>
  <c r="AG27" i="11"/>
  <c r="AG28" i="11"/>
  <c r="AG52" i="11"/>
  <c r="AH23" i="11"/>
  <c r="AI16" i="11"/>
  <c r="AI17" i="11"/>
  <c r="AH24" i="11"/>
  <c r="AF41" i="13"/>
  <c r="AF27" i="13"/>
  <c r="AH22" i="11"/>
  <c r="AI15" i="11"/>
  <c r="AF42" i="13"/>
  <c r="AF28" i="13"/>
  <c r="AF33" i="13"/>
  <c r="AG5" i="13"/>
  <c r="AG22" i="13"/>
  <c r="AH9" i="13"/>
  <c r="AH11" i="13"/>
  <c r="AF40" i="13"/>
  <c r="AF26" i="13"/>
  <c r="AG23" i="13"/>
  <c r="AH10" i="13"/>
  <c r="AG50" i="11"/>
  <c r="AG26" i="11"/>
  <c r="AE28" i="13"/>
  <c r="AE42" i="13"/>
  <c r="AH28" i="11" l="1"/>
  <c r="AH52" i="11"/>
  <c r="AJ17" i="11"/>
  <c r="AI24" i="11"/>
  <c r="AJ16" i="11"/>
  <c r="AI23" i="11"/>
  <c r="AH51" i="11"/>
  <c r="AH27" i="11"/>
  <c r="AH23" i="13"/>
  <c r="AI10" i="13"/>
  <c r="AG33" i="13"/>
  <c r="AH5" i="13"/>
  <c r="AH24" i="13" s="1"/>
  <c r="AI22" i="11"/>
  <c r="AJ15" i="11"/>
  <c r="AI11" i="13"/>
  <c r="AH50" i="11"/>
  <c r="AH26" i="11"/>
  <c r="AG27" i="13"/>
  <c r="AG41" i="13"/>
  <c r="AG24" i="13"/>
  <c r="AH22" i="13"/>
  <c r="AI9" i="13"/>
  <c r="AG40" i="13"/>
  <c r="AG26" i="13"/>
  <c r="AI51" i="11" l="1"/>
  <c r="AI27" i="11"/>
  <c r="AK16" i="11"/>
  <c r="AJ23" i="11"/>
  <c r="AI28" i="11"/>
  <c r="AI52" i="11"/>
  <c r="AK17" i="11"/>
  <c r="AJ24" i="11"/>
  <c r="AH40" i="13"/>
  <c r="AH26" i="13"/>
  <c r="AJ11" i="13"/>
  <c r="AH28" i="13"/>
  <c r="AH42" i="13"/>
  <c r="AK15" i="11"/>
  <c r="AJ22" i="11"/>
  <c r="AI22" i="13"/>
  <c r="AJ9" i="13"/>
  <c r="AI5" i="13"/>
  <c r="AH33" i="13"/>
  <c r="AI23" i="13"/>
  <c r="AJ10" i="13"/>
  <c r="AI50" i="11"/>
  <c r="AI26" i="11"/>
  <c r="AG28" i="13"/>
  <c r="AG42" i="13"/>
  <c r="AH27" i="13"/>
  <c r="AH41" i="13"/>
  <c r="AJ52" i="11" l="1"/>
  <c r="AJ28" i="11"/>
  <c r="AL17" i="11"/>
  <c r="AL24" i="11" s="1"/>
  <c r="AK24" i="11"/>
  <c r="AJ51" i="11"/>
  <c r="AJ27" i="11"/>
  <c r="AL16" i="11"/>
  <c r="AL23" i="11" s="1"/>
  <c r="AK23" i="11"/>
  <c r="AJ5" i="13"/>
  <c r="AJ24" i="13" s="1"/>
  <c r="AI33" i="13"/>
  <c r="AI40" i="13"/>
  <c r="AI26" i="13"/>
  <c r="AK11" i="13"/>
  <c r="AK9" i="13"/>
  <c r="AJ22" i="13"/>
  <c r="AK22" i="11"/>
  <c r="AL15" i="11"/>
  <c r="AL22" i="11" s="1"/>
  <c r="AK10" i="13"/>
  <c r="AJ23" i="13"/>
  <c r="AJ50" i="11"/>
  <c r="AJ26" i="11"/>
  <c r="AI24" i="13"/>
  <c r="AI27" i="13"/>
  <c r="AI41" i="13"/>
  <c r="AL27" i="11" l="1"/>
  <c r="AL51" i="11"/>
  <c r="AK28" i="11"/>
  <c r="AK52" i="11"/>
  <c r="AK51" i="11"/>
  <c r="AK27" i="11"/>
  <c r="AL52" i="11"/>
  <c r="AL28" i="11"/>
  <c r="AL10" i="13"/>
  <c r="AL23" i="13" s="1"/>
  <c r="AK23" i="13"/>
  <c r="AJ40" i="13"/>
  <c r="AJ26" i="13"/>
  <c r="AL26" i="11"/>
  <c r="AL50" i="11"/>
  <c r="AL9" i="13"/>
  <c r="AL22" i="13" s="1"/>
  <c r="AK22" i="13"/>
  <c r="AL11" i="13"/>
  <c r="AK24" i="13"/>
  <c r="AJ41" i="13"/>
  <c r="AJ27" i="13"/>
  <c r="AJ42" i="13"/>
  <c r="AJ28" i="13"/>
  <c r="AK50" i="11"/>
  <c r="AK26" i="11"/>
  <c r="AI42" i="13"/>
  <c r="AI28" i="13"/>
  <c r="AK5" i="13"/>
  <c r="AJ33" i="13"/>
  <c r="AK42" i="13" l="1"/>
  <c r="AK28" i="13"/>
  <c r="AK33" i="13"/>
  <c r="AL5" i="13"/>
  <c r="AL33" i="13" s="1"/>
  <c r="AK40" i="13"/>
  <c r="AK26" i="13"/>
  <c r="AL40" i="13"/>
  <c r="AL26" i="13"/>
  <c r="AK41" i="13"/>
  <c r="AK27" i="13"/>
  <c r="AL41" i="13"/>
  <c r="AL27" i="13"/>
  <c r="AL24" i="13" l="1"/>
  <c r="AL42" i="13" l="1"/>
  <c r="AL2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Gregory</author>
  </authors>
  <commentList>
    <comment ref="B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Gregory:</t>
        </r>
        <r>
          <rPr>
            <sz val="9"/>
            <color indexed="81"/>
            <rFont val="Tahoma"/>
            <family val="2"/>
          </rPr>
          <t xml:space="preserve">
+5% CAPEX for single axis trackers (NREL Annual Technology Cost Baseline 2017)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Gregory</author>
  </authors>
  <commentList>
    <comment ref="H1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Gregory:</t>
        </r>
        <r>
          <rPr>
            <sz val="9"/>
            <color indexed="81"/>
            <rFont val="Tahoma"/>
            <family val="2"/>
          </rPr>
          <t xml:space="preserve">
Downrated from 20 years to 15, however reinvestment cost excluded.
This should be looked at again if battery pack energy costs and balance of system power costs are disaggregated</t>
        </r>
      </text>
    </comment>
  </commentList>
</comments>
</file>

<file path=xl/sharedStrings.xml><?xml version="1.0" encoding="utf-8"?>
<sst xmlns="http://schemas.openxmlformats.org/spreadsheetml/2006/main" count="392" uniqueCount="206">
  <si>
    <t>CSIRO Base</t>
  </si>
  <si>
    <t>CSIRO Low</t>
  </si>
  <si>
    <t>CSIRO High</t>
  </si>
  <si>
    <t>Navigant</t>
  </si>
  <si>
    <t>EIA</t>
  </si>
  <si>
    <t>BNEF</t>
  </si>
  <si>
    <t>Average (Excl EIA)</t>
  </si>
  <si>
    <t>Inverter costs are generally around $400/kW</t>
  </si>
  <si>
    <t>year</t>
  </si>
  <si>
    <t>References:</t>
  </si>
  <si>
    <t xml:space="preserve">CSIRO. 2015. Future Energy Storage Trends: An Assessment of the Economic Viability, Potential Uptake and Impacts of Electrical Energy Storage on the NEM 2015–2035. CSIRO, Australia. </t>
  </si>
  <si>
    <t>Energy Information Administration (USA) 2015</t>
  </si>
  <si>
    <t>Bloomberg New Energy Finance (2015)</t>
  </si>
  <si>
    <t>Navigant Energy (2015)</t>
  </si>
  <si>
    <t>Apricum</t>
  </si>
  <si>
    <t>IRENA</t>
  </si>
  <si>
    <t>NREL</t>
  </si>
  <si>
    <t>Average</t>
  </si>
  <si>
    <t>Fraunhofer Low</t>
  </si>
  <si>
    <t>Fraunhofer High</t>
  </si>
  <si>
    <t>CSIR low</t>
  </si>
  <si>
    <t>CSIR High</t>
  </si>
  <si>
    <t>Apricum, 2017, ‘Energy Storage in the Middle East and North Africa (MENA) Region’, White Paper, New Energy Update.</t>
  </si>
  <si>
    <t>Efficiency (roundtrip)</t>
  </si>
  <si>
    <t>O&amp;M</t>
  </si>
  <si>
    <t>1.5% of CAPEX per year</t>
  </si>
  <si>
    <t>Assume no further learning after 2035</t>
  </si>
  <si>
    <t>(Lazard, 2016)</t>
  </si>
  <si>
    <t>Averages of milestone years are rounded to the nearest 5</t>
  </si>
  <si>
    <t>Efficiency (one way)</t>
  </si>
  <si>
    <t>Capacity Factor</t>
  </si>
  <si>
    <t>Capital Cost USD</t>
  </si>
  <si>
    <t>Capital Cost ZAR</t>
  </si>
  <si>
    <t>Low</t>
  </si>
  <si>
    <t>Mid</t>
  </si>
  <si>
    <t>High</t>
  </si>
  <si>
    <t>2015 USD/ZAR</t>
  </si>
  <si>
    <t>Fixed O&amp;M ZAR</t>
  </si>
  <si>
    <t>Fixed O&amp;M USD</t>
  </si>
  <si>
    <t>R/kW/y</t>
  </si>
  <si>
    <t>$/kW/y</t>
  </si>
  <si>
    <t>$/kW</t>
  </si>
  <si>
    <t>Project life</t>
  </si>
  <si>
    <t>years</t>
  </si>
  <si>
    <t>LCOE</t>
  </si>
  <si>
    <t>Discount rate</t>
  </si>
  <si>
    <t>R/kWh</t>
  </si>
  <si>
    <t>Wind Onshore</t>
  </si>
  <si>
    <t>Solar PV</t>
  </si>
  <si>
    <t>High - ERC</t>
  </si>
  <si>
    <t>Mid - Fraun</t>
  </si>
  <si>
    <t>Low - Fraun</t>
  </si>
  <si>
    <t>Mid - Fraun Fixed</t>
  </si>
  <si>
    <t>Low - Fraun Tracker</t>
  </si>
  <si>
    <t>Low - Tracker</t>
  </si>
  <si>
    <t>Mid - Fixed</t>
  </si>
  <si>
    <t>High - Fixed</t>
  </si>
  <si>
    <t>Relative Changes to base year</t>
  </si>
  <si>
    <t>Sources:</t>
  </si>
  <si>
    <t>http://eta-publications.lbl.gov/sites/default/files/lbnl-1005717.pdf</t>
  </si>
  <si>
    <t>https://atb.nrel.gov/</t>
  </si>
  <si>
    <t xml:space="preserve">NREL 2017 Annual Technology Baseline: </t>
  </si>
  <si>
    <t>Agora Energiewende, Future Cost of Onshore Wind 2017</t>
  </si>
  <si>
    <t>https://www.agora-energiewende.de/fileadmin/Projekte/2017/Future_Cost_of_Wind/Agora_Future-Cost-of-Wind_WEB.pdf</t>
  </si>
  <si>
    <t>NREL, IEA-Wind, LBNL, Wiser et al. 2016:  Forecasting Wind Energy Costs
and Cost Drivers:
The Views of the World’s Leading Experts</t>
  </si>
  <si>
    <t>https://www.ise.fraunhofer.de/content/dam/ise/de/documents/publications/studies/AgoraEnergiewende_Current_and_Future_Cost_of_PV_Feb2015_web.pdf</t>
  </si>
  <si>
    <t>Fraunhoefer ISE 2015 Current and Future Cost of Photovoltaics</t>
  </si>
  <si>
    <t>Most new utility scale PV systems are single axis trackers, while most existing are fixed tilt.</t>
  </si>
  <si>
    <t>https://solargis.com/assets/publication/2012/Suri-et-al--SASEC2012--PV-potential-in-South-Africa.pdf</t>
  </si>
  <si>
    <t>SolarGIS Suri et al. 2012 SOLAR ELECTRICITY PRODUCTION FROM FIXED-INCLINED AND SUN-TRACKING C-SI PHOTOVOLTAIC MODULES IN SOUTH AFRICA.</t>
  </si>
  <si>
    <t>EIA USA, 2017, Construction cost data for electric generators installed in 2015</t>
  </si>
  <si>
    <t>https://www.eia.gov/electricity/generatorcosts/</t>
  </si>
  <si>
    <t>Installed Cost premium for utlity-scale trackers is now marginal (5%) while capacity factors are much higher (+20 to +34% in South Africa). Gains are higher at sites clearer conditions (Karoo vs Durban for eg)</t>
  </si>
  <si>
    <t>Output profile is more square during the day, however has higher seasonality</t>
  </si>
  <si>
    <t>https://www.eia.gov/todayinenergy/detail.php?id=30912</t>
  </si>
  <si>
    <t>EIA, 2017, More than half of utility-scale solar photovoltaic systems track the sun through the day</t>
  </si>
  <si>
    <t>Average Capacity Factors in South Africa over 3 years</t>
  </si>
  <si>
    <t>Fixed Tilt</t>
  </si>
  <si>
    <t>Single Axis Tracking</t>
  </si>
  <si>
    <t>http://redis.energy.gov.za/national/</t>
  </si>
  <si>
    <t>AC with trackers</t>
  </si>
  <si>
    <t>Low -NREL</t>
  </si>
  <si>
    <t>Mid - NREL</t>
  </si>
  <si>
    <t>Min</t>
  </si>
  <si>
    <t>Max</t>
  </si>
  <si>
    <t>Capacity MW</t>
  </si>
  <si>
    <t>http://www.energy.gov.za/files/renewable-energy-status-report/Market-Overview-and-Current-Levels-of-Renewable-Energy-Deployment-NERSA.pdf</t>
  </si>
  <si>
    <t>BW-1: 
Nov-2011</t>
  </si>
  <si>
    <t>BW-2:
Mar-2013</t>
  </si>
  <si>
    <t>BW-3:
Aug-2013</t>
  </si>
  <si>
    <t>BW-4:
Aug-2014</t>
  </si>
  <si>
    <t>BW-4-Exp: 2015</t>
  </si>
  <si>
    <t>BW-4-Exp: 
2015</t>
  </si>
  <si>
    <t>Apr-2016 to Jan-2015</t>
  </si>
  <si>
    <t>USD/ZAR</t>
  </si>
  <si>
    <t>Construction Duration yrs</t>
  </si>
  <si>
    <t>Year</t>
  </si>
  <si>
    <t>Capital</t>
  </si>
  <si>
    <t>Accumulated</t>
  </si>
  <si>
    <t>Index</t>
  </si>
  <si>
    <t>Fraction</t>
  </si>
  <si>
    <t>Interest</t>
  </si>
  <si>
    <t>Capital Finance Factor</t>
  </si>
  <si>
    <t>(NREL ATB &amp; IEA)</t>
  </si>
  <si>
    <t>inflated to Apr-2016</t>
  </si>
  <si>
    <t>2015 R/kW</t>
  </si>
  <si>
    <t>StatsSA CPI</t>
  </si>
  <si>
    <t>Worst - Fixed</t>
  </si>
  <si>
    <t>Mid - Tracking</t>
  </si>
  <si>
    <t>Low - Tracking</t>
  </si>
  <si>
    <t>R/kW x0.88 for fixed</t>
  </si>
  <si>
    <t>Only Full years of operation used</t>
  </si>
  <si>
    <t>DoE REDIS Data used for Plant Performance</t>
  </si>
  <si>
    <t>Visual Capitalist, 2017</t>
  </si>
  <si>
    <t>Into SATIM</t>
  </si>
  <si>
    <t>R/$ in 2017</t>
  </si>
  <si>
    <t>https://www.nedbank.co.za/content/dam/nedbank/site-assets/AboutUs/Economics_Unit/Forecast_and_data/Daily_Rates/Annual_Average_Exchange_Rates.pdf</t>
  </si>
  <si>
    <t>Average of Projections</t>
  </si>
  <si>
    <t>Convert to per kW rating</t>
  </si>
  <si>
    <t>Future costs</t>
  </si>
  <si>
    <t xml:space="preserve">NOTE: the learning is for batteries, and is being applied to full system here. </t>
  </si>
  <si>
    <r>
      <t xml:space="preserve">Capital costs </t>
    </r>
    <r>
      <rPr>
        <b/>
        <sz val="11"/>
        <color rgb="FFFF0000"/>
        <rFont val="Calibri"/>
        <family val="2"/>
        <scheme val="minor"/>
      </rPr>
      <t>(Industry set to the same as commercial here)</t>
    </r>
  </si>
  <si>
    <t>Fixed O&amp;M</t>
  </si>
  <si>
    <t>Li-ion</t>
  </si>
  <si>
    <t>Of installation cost - $/kW</t>
  </si>
  <si>
    <t>mR/GW</t>
  </si>
  <si>
    <t>mR/GW/a</t>
  </si>
  <si>
    <t>Residential</t>
  </si>
  <si>
    <t>Commercial</t>
  </si>
  <si>
    <t>Commercial + industrial ("microgrid")</t>
  </si>
  <si>
    <t>Peaker replacement</t>
  </si>
  <si>
    <t>USD/kWh</t>
  </si>
  <si>
    <t>Commercial appliance</t>
  </si>
  <si>
    <t>Commercial + industrial</t>
  </si>
  <si>
    <t>Power Rating</t>
  </si>
  <si>
    <t>MW</t>
  </si>
  <si>
    <t>Total Cost by power</t>
  </si>
  <si>
    <t>Duration</t>
  </si>
  <si>
    <t>Hours</t>
  </si>
  <si>
    <t>DC</t>
  </si>
  <si>
    <t>Usable Energy</t>
  </si>
  <si>
    <t>MWh</t>
  </si>
  <si>
    <t>Ref Year</t>
  </si>
  <si>
    <t>AC</t>
  </si>
  <si>
    <t>100% Depth of Discharge Cycles/Day</t>
  </si>
  <si>
    <t>Owners</t>
  </si>
  <si>
    <t>Operating Days/Year</t>
  </si>
  <si>
    <t>Total $/kW</t>
  </si>
  <si>
    <t>Project Life</t>
  </si>
  <si>
    <t>Years</t>
  </si>
  <si>
    <t>Memo: Annual Used Energy</t>
  </si>
  <si>
    <t>Memo: Project Used Energy</t>
  </si>
  <si>
    <t>Total cost by energy</t>
  </si>
  <si>
    <t>Initial Capital Cost—DC</t>
  </si>
  <si>
    <t>$/kWh</t>
  </si>
  <si>
    <t>Initial Capital Cost—AC</t>
  </si>
  <si>
    <t>Initial Other Owners Costs</t>
  </si>
  <si>
    <t>Total Initial Installed Cost</t>
  </si>
  <si>
    <t>Total</t>
  </si>
  <si>
    <t>Replacement Capital Cost—DC</t>
  </si>
  <si>
    <t>After Year 5</t>
  </si>
  <si>
    <t>O&amp;M $/kW</t>
  </si>
  <si>
    <t>After Year 10</t>
  </si>
  <si>
    <t>Efficiency</t>
  </si>
  <si>
    <t>After Year 15</t>
  </si>
  <si>
    <t>Replacement Capital Cost—AC</t>
  </si>
  <si>
    <t>O&amp;M Cost</t>
  </si>
  <si>
    <t>$/kWh/y</t>
  </si>
  <si>
    <t>O&amp;M % of Capex</t>
  </si>
  <si>
    <t>Investment Tax Credit</t>
  </si>
  <si>
    <t>Production Tax Credit</t>
  </si>
  <si>
    <t>$/MWh</t>
  </si>
  <si>
    <t>Charging Cost</t>
  </si>
  <si>
    <t>lookup index</t>
  </si>
  <si>
    <t>Charging Cost Escalator</t>
  </si>
  <si>
    <t>%</t>
  </si>
  <si>
    <t>R</t>
  </si>
  <si>
    <t>C</t>
  </si>
  <si>
    <t>Levelized Cost of Storage</t>
  </si>
  <si>
    <t>I</t>
  </si>
  <si>
    <t>U</t>
  </si>
  <si>
    <t>Lazard. 2017. Levelized Cost of Storage - version 3.0 December 2017</t>
  </si>
  <si>
    <t>(total inc IDC)</t>
  </si>
  <si>
    <t>ERC Moderate (UNEP)</t>
  </si>
  <si>
    <t>Solar PV REI4Ps (April 2016 R/kWh)</t>
  </si>
  <si>
    <t>Discount Rate</t>
  </si>
  <si>
    <t>Capacity (MW)</t>
  </si>
  <si>
    <t>Average (R/kWh)</t>
  </si>
  <si>
    <t>Min (R/kWh)</t>
  </si>
  <si>
    <t>Max (R/kWh)</t>
  </si>
  <si>
    <t>High - ERC UNEP</t>
  </si>
  <si>
    <t>Solar</t>
  </si>
  <si>
    <t>Wind</t>
  </si>
  <si>
    <t>Solar and Wind Projected Upper Limits on Annual Capacity Additions (Limitations not applied after 2030)</t>
  </si>
  <si>
    <t>Based roughly on REI4P expansion rates. Flat from 2016 to 2020/2021 to account for program delay after round 4. Restart of construction assumed possible from 2021 for wind and 2020 for PV if REI4P additional rounds announced by end 2018.</t>
  </si>
  <si>
    <t>1 year construction time assumed for PV plants and 1 year for procurement process. Additional year for construction of wind.</t>
  </si>
  <si>
    <t>Utility Battery pack cost per energy capacity.</t>
  </si>
  <si>
    <t>From: Lazard's levelized cost of storage - version 3.0. December 2017</t>
  </si>
  <si>
    <t>(Using average of high and low costs quoted)</t>
  </si>
  <si>
    <t>Battery techs going into the model are costed per power capacity with fixed energy/power ratio</t>
  </si>
  <si>
    <t>NB: CSIR values here are not as quoted in their documents and are adjusted for year of currency and for higher capacity factors used (24% vs 20%) - Only indicative on the chart.</t>
  </si>
  <si>
    <t>DISCLAIMER: This workbook is still in a draft form with potentially incomplete assumptions, untidy worksheets, or minor errors and duplications in places.</t>
  </si>
  <si>
    <t>NREL 2018</t>
  </si>
  <si>
    <t>Exchange rate (from currency deflator workbook from 2018$ to 2015 ZAR)</t>
  </si>
  <si>
    <t>Jan 2019 R/kW</t>
  </si>
  <si>
    <t>CSIR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</si>
</sst>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%"/>
    <numFmt numFmtId="165" formatCode="0.0000"/>
    <numFmt numFmtId="166" formatCode="0.00000"/>
    <numFmt numFmtId="167" formatCode="0.000"/>
    <numFmt numFmtId="168" formatCode="#,##0.000_);\(#,##0.000\)"/>
    <numFmt numFmtId="169" formatCode="_ * #,##0.0_ ;_ * \-#,##0.0_ ;_ * &quot;-&quot;??_ ;_ @_ "/>
    <numFmt numFmtId="170" formatCode="_ * #,##0_ ;_ * \-#,##0_ ;_ * &quot;-&quot;??_ ;_ @_ "/>
    <numFmt numFmtId="171" formatCode="_ * #,##0_ ;_ * \-#,##0_ ;_ * &quot;-&quot;?_ ;_ @_ "/>
    <numFmt numFmtId="172" formatCode="_ * #,##0.00_ ;_ * \-#,##0.00_ ;_ * &quot;-&quot;??_ ;_ @_ "/>
    <numFmt numFmtId="173" formatCode="_ * #,##0.0_ ;_ * \-#,##0.0_ ;_ * &quot;-&quot;?_ ;_ @_ "/>
    <numFmt numFmtId="174" formatCode="0.00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72" fontId="1" fillId="0" borderId="0" applyFont="0" applyFill="0" applyBorder="0" applyAlignment="0" applyProtection="0"/>
  </cellStyleXfs>
  <cellXfs count="144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16" fillId="0" borderId="10" xfId="0" applyFont="1" applyBorder="1" applyAlignment="1">
      <alignment horizontal="right"/>
    </xf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0" fontId="0" fillId="0" borderId="0" xfId="0" applyBorder="1"/>
    <xf numFmtId="1" fontId="0" fillId="0" borderId="12" xfId="0" applyNumberFormat="1" applyBorder="1"/>
    <xf numFmtId="0" fontId="18" fillId="0" borderId="10" xfId="0" applyFont="1" applyBorder="1" applyAlignment="1">
      <alignment horizontal="right"/>
    </xf>
    <xf numFmtId="0" fontId="19" fillId="0" borderId="0" xfId="0" applyFont="1" applyAlignment="1">
      <alignment horizontal="right"/>
    </xf>
    <xf numFmtId="0" fontId="19" fillId="0" borderId="11" xfId="0" applyFont="1" applyBorder="1"/>
    <xf numFmtId="1" fontId="19" fillId="0" borderId="13" xfId="0" applyNumberFormat="1" applyFont="1" applyBorder="1"/>
    <xf numFmtId="1" fontId="19" fillId="0" borderId="0" xfId="0" applyNumberFormat="1" applyFont="1" applyBorder="1"/>
    <xf numFmtId="1" fontId="19" fillId="0" borderId="0" xfId="0" applyNumberFormat="1" applyFont="1"/>
    <xf numFmtId="0" fontId="19" fillId="0" borderId="0" xfId="0" applyFont="1"/>
    <xf numFmtId="0" fontId="19" fillId="0" borderId="12" xfId="0" applyFont="1" applyBorder="1"/>
    <xf numFmtId="1" fontId="19" fillId="0" borderId="14" xfId="0" applyNumberFormat="1" applyFont="1" applyBorder="1"/>
    <xf numFmtId="1" fontId="0" fillId="0" borderId="0" xfId="0" applyNumberFormat="1" applyFill="1" applyBorder="1"/>
    <xf numFmtId="0" fontId="0" fillId="0" borderId="0" xfId="0" applyAlignment="1">
      <alignment wrapText="1"/>
    </xf>
    <xf numFmtId="9" fontId="0" fillId="0" borderId="0" xfId="42" applyFont="1" applyAlignment="1"/>
    <xf numFmtId="9" fontId="0" fillId="0" borderId="0" xfId="0" applyNumberFormat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0" fillId="0" borderId="14" xfId="0" applyBorder="1"/>
    <xf numFmtId="0" fontId="0" fillId="0" borderId="21" xfId="0" applyBorder="1"/>
    <xf numFmtId="0" fontId="0" fillId="0" borderId="0" xfId="0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4" xfId="0" applyFill="1" applyBorder="1"/>
    <xf numFmtId="0" fontId="0" fillId="0" borderId="13" xfId="0" applyFill="1" applyBorder="1"/>
    <xf numFmtId="3" fontId="0" fillId="0" borderId="17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0" fontId="0" fillId="0" borderId="18" xfId="0" applyNumberFormat="1" applyBorder="1" applyAlignment="1">
      <alignment horizontal="center" vertical="center"/>
    </xf>
    <xf numFmtId="40" fontId="0" fillId="0" borderId="0" xfId="0" applyNumberFormat="1" applyBorder="1" applyAlignment="1">
      <alignment horizontal="center" vertical="center"/>
    </xf>
    <xf numFmtId="40" fontId="0" fillId="0" borderId="12" xfId="0" applyNumberFormat="1" applyBorder="1" applyAlignment="1">
      <alignment horizontal="center" vertical="center"/>
    </xf>
    <xf numFmtId="40" fontId="0" fillId="0" borderId="19" xfId="0" applyNumberFormat="1" applyBorder="1" applyAlignment="1">
      <alignment horizontal="center" vertical="center"/>
    </xf>
    <xf numFmtId="40" fontId="0" fillId="0" borderId="10" xfId="0" applyNumberFormat="1" applyBorder="1" applyAlignment="1">
      <alignment horizontal="center" vertical="center"/>
    </xf>
    <xf numFmtId="40" fontId="0" fillId="0" borderId="2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15" xfId="0" applyNumberFormat="1" applyBorder="1" applyAlignment="1">
      <alignment horizontal="center"/>
    </xf>
    <xf numFmtId="0" fontId="16" fillId="0" borderId="0" xfId="0" applyFont="1"/>
    <xf numFmtId="0" fontId="22" fillId="0" borderId="0" xfId="43"/>
    <xf numFmtId="0" fontId="0" fillId="0" borderId="0" xfId="0" applyAlignment="1"/>
    <xf numFmtId="0" fontId="0" fillId="0" borderId="15" xfId="0" applyBorder="1" applyAlignment="1">
      <alignment horizontal="center"/>
    </xf>
    <xf numFmtId="165" fontId="0" fillId="0" borderId="17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5" xfId="0" applyBorder="1"/>
    <xf numFmtId="0" fontId="0" fillId="0" borderId="15" xfId="0" applyBorder="1" applyAlignment="1">
      <alignment horizontal="center" vertical="center" wrapText="1"/>
    </xf>
    <xf numFmtId="0" fontId="22" fillId="0" borderId="0" xfId="43" applyAlignment="1">
      <alignment horizontal="left" vertical="center"/>
    </xf>
    <xf numFmtId="166" fontId="0" fillId="0" borderId="0" xfId="0" applyNumberFormat="1"/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3" fillId="33" borderId="24" xfId="0" applyFont="1" applyFill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37" fontId="24" fillId="0" borderId="25" xfId="0" applyNumberFormat="1" applyFont="1" applyBorder="1" applyAlignment="1">
      <alignment horizontal="center"/>
    </xf>
    <xf numFmtId="9" fontId="24" fillId="33" borderId="29" xfId="0" applyNumberFormat="1" applyFont="1" applyFill="1" applyBorder="1"/>
    <xf numFmtId="168" fontId="24" fillId="34" borderId="29" xfId="0" applyNumberFormat="1" applyFont="1" applyFill="1" applyBorder="1"/>
    <xf numFmtId="37" fontId="24" fillId="0" borderId="30" xfId="0" applyNumberFormat="1" applyFont="1" applyBorder="1" applyAlignment="1">
      <alignment horizontal="center"/>
    </xf>
    <xf numFmtId="9" fontId="24" fillId="33" borderId="31" xfId="0" applyNumberFormat="1" applyFont="1" applyFill="1" applyBorder="1"/>
    <xf numFmtId="37" fontId="24" fillId="0" borderId="32" xfId="0" applyNumberFormat="1" applyFont="1" applyBorder="1" applyAlignment="1">
      <alignment horizontal="center"/>
    </xf>
    <xf numFmtId="9" fontId="24" fillId="33" borderId="33" xfId="0" applyNumberFormat="1" applyFont="1" applyFill="1" applyBorder="1"/>
    <xf numFmtId="167" fontId="0" fillId="0" borderId="0" xfId="0" applyNumberFormat="1"/>
    <xf numFmtId="2" fontId="0" fillId="0" borderId="21" xfId="0" applyNumberFormat="1" applyBorder="1"/>
    <xf numFmtId="0" fontId="0" fillId="0" borderId="1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5" borderId="0" xfId="0" applyFill="1"/>
    <xf numFmtId="2" fontId="16" fillId="0" borderId="34" xfId="0" applyNumberFormat="1" applyFont="1" applyBorder="1"/>
    <xf numFmtId="0" fontId="16" fillId="0" borderId="35" xfId="0" applyFont="1" applyBorder="1"/>
    <xf numFmtId="0" fontId="0" fillId="0" borderId="17" xfId="0" applyBorder="1"/>
    <xf numFmtId="0" fontId="0" fillId="36" borderId="0" xfId="0" applyFill="1"/>
    <xf numFmtId="0" fontId="26" fillId="0" borderId="0" xfId="0" applyFont="1"/>
    <xf numFmtId="0" fontId="16" fillId="0" borderId="0" xfId="0" applyFont="1" applyBorder="1"/>
    <xf numFmtId="10" fontId="0" fillId="0" borderId="0" xfId="0" applyNumberFormat="1"/>
    <xf numFmtId="0" fontId="16" fillId="0" borderId="16" xfId="0" applyFont="1" applyBorder="1"/>
    <xf numFmtId="0" fontId="16" fillId="0" borderId="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16" fillId="0" borderId="18" xfId="0" applyFont="1" applyBorder="1"/>
    <xf numFmtId="1" fontId="0" fillId="36" borderId="0" xfId="0" applyNumberFormat="1" applyFill="1" applyBorder="1"/>
    <xf numFmtId="2" fontId="0" fillId="0" borderId="12" xfId="0" applyNumberFormat="1" applyBorder="1"/>
    <xf numFmtId="169" fontId="0" fillId="0" borderId="18" xfId="0" applyNumberFormat="1" applyBorder="1"/>
    <xf numFmtId="170" fontId="0" fillId="0" borderId="18" xfId="0" applyNumberFormat="1" applyFill="1" applyBorder="1"/>
    <xf numFmtId="171" fontId="0" fillId="35" borderId="18" xfId="0" applyNumberFormat="1" applyFill="1" applyBorder="1"/>
    <xf numFmtId="2" fontId="0" fillId="0" borderId="0" xfId="0" applyNumberFormat="1" applyBorder="1"/>
    <xf numFmtId="0" fontId="0" fillId="0" borderId="10" xfId="0" applyBorder="1"/>
    <xf numFmtId="0" fontId="0" fillId="0" borderId="20" xfId="0" applyBorder="1"/>
    <xf numFmtId="0" fontId="0" fillId="35" borderId="34" xfId="0" applyFill="1" applyBorder="1"/>
    <xf numFmtId="2" fontId="0" fillId="35" borderId="34" xfId="0" applyNumberFormat="1" applyFill="1" applyBorder="1"/>
    <xf numFmtId="170" fontId="0" fillId="35" borderId="34" xfId="44" applyNumberFormat="1" applyFont="1" applyFill="1" applyBorder="1"/>
    <xf numFmtId="0" fontId="25" fillId="0" borderId="12" xfId="0" applyFont="1" applyBorder="1"/>
    <xf numFmtId="169" fontId="0" fillId="0" borderId="18" xfId="44" applyNumberFormat="1" applyFont="1" applyBorder="1"/>
    <xf numFmtId="0" fontId="0" fillId="0" borderId="35" xfId="0" applyBorder="1"/>
    <xf numFmtId="169" fontId="0" fillId="0" borderId="34" xfId="44" applyNumberFormat="1" applyFont="1" applyBorder="1"/>
    <xf numFmtId="169" fontId="0" fillId="0" borderId="36" xfId="44" applyNumberFormat="1" applyFont="1" applyBorder="1"/>
    <xf numFmtId="169" fontId="0" fillId="0" borderId="35" xfId="44" applyNumberFormat="1" applyFont="1" applyBorder="1"/>
    <xf numFmtId="173" fontId="0" fillId="0" borderId="18" xfId="0" applyNumberFormat="1" applyBorder="1"/>
    <xf numFmtId="10" fontId="0" fillId="35" borderId="18" xfId="0" applyNumberFormat="1" applyFill="1" applyBorder="1"/>
    <xf numFmtId="0" fontId="0" fillId="0" borderId="34" xfId="0" applyBorder="1"/>
    <xf numFmtId="0" fontId="0" fillId="0" borderId="36" xfId="0" applyBorder="1"/>
    <xf numFmtId="10" fontId="0" fillId="0" borderId="0" xfId="0" applyNumberFormat="1" applyBorder="1"/>
    <xf numFmtId="1" fontId="0" fillId="0" borderId="20" xfId="0" applyNumberFormat="1" applyBorder="1"/>
    <xf numFmtId="10" fontId="0" fillId="0" borderId="12" xfId="0" applyNumberFormat="1" applyBorder="1"/>
    <xf numFmtId="171" fontId="0" fillId="35" borderId="0" xfId="0" applyNumberFormat="1" applyFill="1" applyBorder="1"/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4" fontId="0" fillId="0" borderId="0" xfId="0" applyNumberFormat="1"/>
    <xf numFmtId="0" fontId="27" fillId="0" borderId="18" xfId="0" applyFont="1" applyBorder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23" fillId="0" borderId="22" xfId="0" applyFont="1" applyBorder="1" applyAlignment="1">
      <alignment horizontal="left"/>
    </xf>
    <xf numFmtId="0" fontId="23" fillId="0" borderId="23" xfId="0" applyFont="1" applyBorder="1" applyAlignment="1">
      <alignment horizontal="left"/>
    </xf>
    <xf numFmtId="0" fontId="0" fillId="0" borderId="0" xfId="0" applyFill="1" applyBorder="1" applyAlignment="1">
      <alignment wrapText="1"/>
    </xf>
    <xf numFmtId="43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F5597"/>
      <color rgb="FF0000FF"/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South African DoE REIPPPP </a:t>
            </a:r>
          </a:p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Wind</a:t>
            </a:r>
            <a:r>
              <a:rPr lang="en-US" sz="1400" baseline="0"/>
              <a:t> &amp; Solar PV Price </a:t>
            </a:r>
            <a:r>
              <a:rPr lang="en-US" sz="1400"/>
              <a:t>Trends (April 2016 R/kWh)</a:t>
            </a:r>
          </a:p>
        </c:rich>
      </c:tx>
      <c:layout>
        <c:manualLayout>
          <c:xMode val="edge"/>
          <c:yMode val="edge"/>
          <c:x val="0.1350427818539216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41670738572832"/>
          <c:y val="0.15235244754637425"/>
          <c:w val="0.73608272434604183"/>
          <c:h val="0.59025758103755444"/>
        </c:manualLayout>
      </c:layout>
      <c:barChart>
        <c:barDir val="col"/>
        <c:grouping val="clustered"/>
        <c:varyColors val="0"/>
        <c:ser>
          <c:idx val="4"/>
          <c:order val="0"/>
          <c:tx>
            <c:v>PV Capacity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dLbl>
              <c:idx val="3"/>
              <c:layout>
                <c:manualLayout>
                  <c:x val="-2.5380715732186685E-3"/>
                  <c:y val="0.329260358848586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70-4562-B266-79C6893027AE}"/>
                </c:ext>
              </c:extLst>
            </c:dLbl>
            <c:spPr>
              <a:solidFill>
                <a:schemeClr val="accent4">
                  <a:lumMod val="20000"/>
                  <a:lumOff val="80000"/>
                  <a:alpha val="7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PPAs'!$C$4:$G$4</c:f>
              <c:numCache>
                <c:formatCode>General</c:formatCode>
                <c:ptCount val="5"/>
                <c:pt idx="0">
                  <c:v>627</c:v>
                </c:pt>
                <c:pt idx="1">
                  <c:v>417</c:v>
                </c:pt>
                <c:pt idx="2">
                  <c:v>435</c:v>
                </c:pt>
                <c:pt idx="3">
                  <c:v>813</c:v>
                </c:pt>
                <c:pt idx="4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0-4562-B266-79C6893027AE}"/>
            </c:ext>
          </c:extLst>
        </c:ser>
        <c:ser>
          <c:idx val="0"/>
          <c:order val="1"/>
          <c:tx>
            <c:v>Wind Capacity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>
                  <a:alpha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(data)'!$E$4:$I$4</c:f>
              <c:numCache>
                <c:formatCode>General</c:formatCode>
                <c:ptCount val="5"/>
                <c:pt idx="0">
                  <c:v>649</c:v>
                </c:pt>
                <c:pt idx="1">
                  <c:v>559</c:v>
                </c:pt>
                <c:pt idx="2">
                  <c:v>787</c:v>
                </c:pt>
                <c:pt idx="3">
                  <c:v>1363</c:v>
                </c:pt>
                <c:pt idx="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0-4562-B266-79C68930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991408"/>
        <c:axId val="546129616"/>
      </c:barChart>
      <c:lineChart>
        <c:grouping val="standard"/>
        <c:varyColors val="0"/>
        <c:ser>
          <c:idx val="7"/>
          <c:order val="2"/>
          <c:tx>
            <c:v>PV Average</c:v>
          </c:tx>
          <c:spPr>
            <a:ln w="38100">
              <a:solidFill>
                <a:schemeClr val="accent4"/>
              </a:solidFill>
            </a:ln>
          </c:spPr>
          <c:marker>
            <c:symbol val="diamond"/>
            <c:size val="8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7.3985585751945665E-2"/>
                  <c:y val="-5.4866256472039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70-4562-B266-79C6893027AE}"/>
                </c:ext>
              </c:extLst>
            </c:dLbl>
            <c:dLbl>
              <c:idx val="3"/>
              <c:layout>
                <c:manualLayout>
                  <c:x val="-7.6523657325164335E-2"/>
                  <c:y val="-5.4866256472039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70-4562-B266-79C6893027AE}"/>
                </c:ext>
              </c:extLst>
            </c:dLbl>
            <c:dLbl>
              <c:idx val="4"/>
              <c:layout>
                <c:manualLayout>
                  <c:x val="-7.9061728898383005E-2"/>
                  <c:y val="-5.12232692224947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70-4562-B266-79C6893027A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PPAs'!$C$5:$G$5</c:f>
              <c:numCache>
                <c:formatCode>General</c:formatCode>
                <c:ptCount val="5"/>
                <c:pt idx="0">
                  <c:v>3.65</c:v>
                </c:pt>
                <c:pt idx="1">
                  <c:v>2.1800000000000002</c:v>
                </c:pt>
                <c:pt idx="2">
                  <c:v>1.17</c:v>
                </c:pt>
                <c:pt idx="3">
                  <c:v>0.91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70-4562-B266-79C6893027AE}"/>
            </c:ext>
          </c:extLst>
        </c:ser>
        <c:ser>
          <c:idx val="1"/>
          <c:order val="3"/>
          <c:tx>
            <c:v>Wind Average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7.6881585371434786E-3"/>
                  <c:y val="-3.6430733043615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70-4562-B266-79C6893027AE}"/>
                </c:ext>
              </c:extLst>
            </c:dLbl>
            <c:dLbl>
              <c:idx val="3"/>
              <c:layout>
                <c:manualLayout>
                  <c:x val="-1.7840444830018246E-2"/>
                  <c:y val="-5.10026820417939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70-4562-B266-79C6893027AE}"/>
                </c:ext>
              </c:extLst>
            </c:dLbl>
            <c:dLbl>
              <c:idx val="4"/>
              <c:layout>
                <c:manualLayout>
                  <c:x val="-2.0378516403236822E-2"/>
                  <c:y val="-5.100268204179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70-4562-B266-79C6893027A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F559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(data)'!$E$5:$I$5</c:f>
              <c:numCache>
                <c:formatCode>General</c:formatCode>
                <c:ptCount val="5"/>
                <c:pt idx="0">
                  <c:v>1.51</c:v>
                </c:pt>
                <c:pt idx="1">
                  <c:v>1.19</c:v>
                </c:pt>
                <c:pt idx="2">
                  <c:v>0.87</c:v>
                </c:pt>
                <c:pt idx="3">
                  <c:v>0.75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70-4562-B266-79C6893027AE}"/>
            </c:ext>
          </c:extLst>
        </c:ser>
        <c:ser>
          <c:idx val="5"/>
          <c:order val="4"/>
          <c:tx>
            <c:v>PV Min</c:v>
          </c:tx>
          <c:spPr>
            <a:ln w="19050">
              <a:solidFill>
                <a:schemeClr val="accent4">
                  <a:alpha val="8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PPAs'!$C$6:$G$6</c:f>
              <c:numCache>
                <c:formatCode>General</c:formatCode>
                <c:ptCount val="5"/>
                <c:pt idx="0">
                  <c:v>3.22</c:v>
                </c:pt>
                <c:pt idx="1">
                  <c:v>1.85</c:v>
                </c:pt>
                <c:pt idx="2">
                  <c:v>1.02</c:v>
                </c:pt>
                <c:pt idx="3">
                  <c:v>0.86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70-4562-B266-79C6893027AE}"/>
            </c:ext>
          </c:extLst>
        </c:ser>
        <c:ser>
          <c:idx val="6"/>
          <c:order val="5"/>
          <c:tx>
            <c:v>PV Max</c:v>
          </c:tx>
          <c:spPr>
            <a:ln w="19050">
              <a:solidFill>
                <a:schemeClr val="accent4">
                  <a:alpha val="8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PPAs'!$C$7:$G$7</c:f>
              <c:numCache>
                <c:formatCode>General</c:formatCode>
                <c:ptCount val="5"/>
                <c:pt idx="0">
                  <c:v>3.77</c:v>
                </c:pt>
                <c:pt idx="1">
                  <c:v>2.54</c:v>
                </c:pt>
                <c:pt idx="2">
                  <c:v>1.3</c:v>
                </c:pt>
                <c:pt idx="3">
                  <c:v>0.97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70-4562-B266-79C6893027AE}"/>
            </c:ext>
          </c:extLst>
        </c:ser>
        <c:ser>
          <c:idx val="2"/>
          <c:order val="6"/>
          <c:tx>
            <c:v>Wind Min</c:v>
          </c:tx>
          <c:spPr>
            <a:ln w="1270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(data)'!$E$6:$I$6</c:f>
              <c:numCache>
                <c:formatCode>General</c:formatCode>
                <c:ptCount val="5"/>
                <c:pt idx="0">
                  <c:v>1.47</c:v>
                </c:pt>
                <c:pt idx="1">
                  <c:v>1.06</c:v>
                </c:pt>
                <c:pt idx="2">
                  <c:v>0.78</c:v>
                </c:pt>
                <c:pt idx="3">
                  <c:v>0.62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70-4562-B266-79C6893027AE}"/>
            </c:ext>
          </c:extLst>
        </c:ser>
        <c:ser>
          <c:idx val="3"/>
          <c:order val="7"/>
          <c:tx>
            <c:v>Wind Max</c:v>
          </c:tx>
          <c:spPr>
            <a:ln w="1905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(data)'!$E$7:$I$7</c:f>
              <c:numCache>
                <c:formatCode>General</c:formatCode>
                <c:ptCount val="5"/>
                <c:pt idx="0">
                  <c:v>1.52</c:v>
                </c:pt>
                <c:pt idx="1">
                  <c:v>1.29</c:v>
                </c:pt>
                <c:pt idx="2">
                  <c:v>0.94</c:v>
                </c:pt>
                <c:pt idx="3">
                  <c:v>0.84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70-4562-B266-79C68930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352112"/>
        <c:axId val="220513712"/>
      </c:lineChart>
      <c:catAx>
        <c:axId val="148735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Bidding Windows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39638942331616439"/>
              <c:y val="0.841692985098174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3712"/>
        <c:crosses val="autoZero"/>
        <c:auto val="1"/>
        <c:lblAlgn val="ctr"/>
        <c:lblOffset val="100"/>
        <c:noMultiLvlLbl val="0"/>
      </c:catAx>
      <c:valAx>
        <c:axId val="2205137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20</a:t>
                </a:r>
                <a:r>
                  <a:rPr lang="en-US" b="0" baseline="0"/>
                  <a:t> Year </a:t>
                </a:r>
                <a:r>
                  <a:rPr lang="en-US" b="0"/>
                  <a:t>PPA</a:t>
                </a:r>
                <a:r>
                  <a:rPr lang="en-US" b="0" baseline="0"/>
                  <a:t> Tariff (R/kWh)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42644158968015E-2"/>
              <c:y val="0.22937423805630852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52112"/>
        <c:crosses val="autoZero"/>
        <c:crossBetween val="between"/>
      </c:valAx>
      <c:valAx>
        <c:axId val="546129616"/>
        <c:scaling>
          <c:orientation val="minMax"/>
          <c:max val="15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Megawatts of Capacity Procured (MW)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91408"/>
        <c:crosses val="max"/>
        <c:crossBetween val="between"/>
        <c:majorUnit val="500"/>
      </c:valAx>
      <c:catAx>
        <c:axId val="57199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1296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2409579201722532E-2"/>
          <c:y val="0.89681767316074001"/>
          <c:w val="0.87487606916265026"/>
          <c:h val="0.10318232683926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South African DoE REIPPPP </a:t>
            </a:r>
          </a:p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Wind</a:t>
            </a:r>
            <a:r>
              <a:rPr lang="en-US" sz="1400" baseline="0"/>
              <a:t> &amp; Solar PV Price </a:t>
            </a:r>
            <a:r>
              <a:rPr lang="en-US" sz="1400"/>
              <a:t>Trends (April 2016 R/kWh)</a:t>
            </a:r>
          </a:p>
        </c:rich>
      </c:tx>
      <c:layout>
        <c:manualLayout>
          <c:xMode val="edge"/>
          <c:yMode val="edge"/>
          <c:x val="0.1350427818539216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41670738572832"/>
          <c:y val="0.15235244754637425"/>
          <c:w val="0.73608272434604183"/>
          <c:h val="0.59025758103755444"/>
        </c:manualLayout>
      </c:layout>
      <c:barChart>
        <c:barDir val="col"/>
        <c:grouping val="clustered"/>
        <c:varyColors val="0"/>
        <c:ser>
          <c:idx val="4"/>
          <c:order val="0"/>
          <c:tx>
            <c:v>PV Capacity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dLbl>
              <c:idx val="3"/>
              <c:layout>
                <c:manualLayout>
                  <c:x val="-2.5380715732186685E-3"/>
                  <c:y val="0.329260358848586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2D-46CD-BE96-452430A77D9B}"/>
                </c:ext>
              </c:extLst>
            </c:dLbl>
            <c:spPr>
              <a:solidFill>
                <a:schemeClr val="accent4">
                  <a:lumMod val="20000"/>
                  <a:lumOff val="80000"/>
                  <a:alpha val="7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PPAs'!$C$4:$G$4</c:f>
              <c:numCache>
                <c:formatCode>General</c:formatCode>
                <c:ptCount val="5"/>
                <c:pt idx="0">
                  <c:v>627</c:v>
                </c:pt>
                <c:pt idx="1">
                  <c:v>417</c:v>
                </c:pt>
                <c:pt idx="2">
                  <c:v>435</c:v>
                </c:pt>
                <c:pt idx="3">
                  <c:v>813</c:v>
                </c:pt>
                <c:pt idx="4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D-46CD-BE96-452430A77D9B}"/>
            </c:ext>
          </c:extLst>
        </c:ser>
        <c:ser>
          <c:idx val="0"/>
          <c:order val="1"/>
          <c:tx>
            <c:v>Wind Capacity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>
                  <a:alpha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(data)'!$E$4:$I$4</c:f>
              <c:numCache>
                <c:formatCode>General</c:formatCode>
                <c:ptCount val="5"/>
                <c:pt idx="0">
                  <c:v>649</c:v>
                </c:pt>
                <c:pt idx="1">
                  <c:v>559</c:v>
                </c:pt>
                <c:pt idx="2">
                  <c:v>787</c:v>
                </c:pt>
                <c:pt idx="3">
                  <c:v>1363</c:v>
                </c:pt>
                <c:pt idx="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D-46CD-BE96-452430A7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991408"/>
        <c:axId val="546129616"/>
      </c:barChart>
      <c:lineChart>
        <c:grouping val="standard"/>
        <c:varyColors val="0"/>
        <c:ser>
          <c:idx val="7"/>
          <c:order val="2"/>
          <c:tx>
            <c:v>PV Average</c:v>
          </c:tx>
          <c:spPr>
            <a:ln w="38100">
              <a:solidFill>
                <a:schemeClr val="accent4"/>
              </a:solidFill>
            </a:ln>
          </c:spPr>
          <c:marker>
            <c:symbol val="diamond"/>
            <c:size val="8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7.3985585751945665E-2"/>
                  <c:y val="-5.4866256472039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2D-46CD-BE96-452430A77D9B}"/>
                </c:ext>
              </c:extLst>
            </c:dLbl>
            <c:dLbl>
              <c:idx val="3"/>
              <c:layout>
                <c:manualLayout>
                  <c:x val="-7.6523657325164335E-2"/>
                  <c:y val="-5.4866256472039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2D-46CD-BE96-452430A77D9B}"/>
                </c:ext>
              </c:extLst>
            </c:dLbl>
            <c:dLbl>
              <c:idx val="4"/>
              <c:layout>
                <c:manualLayout>
                  <c:x val="-7.9061728898383005E-2"/>
                  <c:y val="-5.12232692224947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2D-46CD-BE96-452430A77D9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PPAs'!$C$5:$G$5</c:f>
              <c:numCache>
                <c:formatCode>General</c:formatCode>
                <c:ptCount val="5"/>
                <c:pt idx="0">
                  <c:v>3.65</c:v>
                </c:pt>
                <c:pt idx="1">
                  <c:v>2.1800000000000002</c:v>
                </c:pt>
                <c:pt idx="2">
                  <c:v>1.17</c:v>
                </c:pt>
                <c:pt idx="3">
                  <c:v>0.91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2D-46CD-BE96-452430A77D9B}"/>
            </c:ext>
          </c:extLst>
        </c:ser>
        <c:ser>
          <c:idx val="1"/>
          <c:order val="3"/>
          <c:tx>
            <c:v>Wind Average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7.6881585371434786E-3"/>
                  <c:y val="-3.6430733043615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2D-46CD-BE96-452430A77D9B}"/>
                </c:ext>
              </c:extLst>
            </c:dLbl>
            <c:dLbl>
              <c:idx val="3"/>
              <c:layout>
                <c:manualLayout>
                  <c:x val="-1.7840444830018246E-2"/>
                  <c:y val="-5.10026820417939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2D-46CD-BE96-452430A77D9B}"/>
                </c:ext>
              </c:extLst>
            </c:dLbl>
            <c:dLbl>
              <c:idx val="4"/>
              <c:layout>
                <c:manualLayout>
                  <c:x val="-2.0378516403236822E-2"/>
                  <c:y val="-5.100268204179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2D-46CD-BE96-452430A77D9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F559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(data)'!$E$5:$I$5</c:f>
              <c:numCache>
                <c:formatCode>General</c:formatCode>
                <c:ptCount val="5"/>
                <c:pt idx="0">
                  <c:v>1.51</c:v>
                </c:pt>
                <c:pt idx="1">
                  <c:v>1.19</c:v>
                </c:pt>
                <c:pt idx="2">
                  <c:v>0.87</c:v>
                </c:pt>
                <c:pt idx="3">
                  <c:v>0.75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2D-46CD-BE96-452430A77D9B}"/>
            </c:ext>
          </c:extLst>
        </c:ser>
        <c:ser>
          <c:idx val="5"/>
          <c:order val="4"/>
          <c:tx>
            <c:v>PV Min</c:v>
          </c:tx>
          <c:spPr>
            <a:ln w="19050">
              <a:solidFill>
                <a:schemeClr val="accent4">
                  <a:alpha val="8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PPAs'!$C$6:$G$6</c:f>
              <c:numCache>
                <c:formatCode>General</c:formatCode>
                <c:ptCount val="5"/>
                <c:pt idx="0">
                  <c:v>3.22</c:v>
                </c:pt>
                <c:pt idx="1">
                  <c:v>1.85</c:v>
                </c:pt>
                <c:pt idx="2">
                  <c:v>1.02</c:v>
                </c:pt>
                <c:pt idx="3">
                  <c:v>0.86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2D-46CD-BE96-452430A77D9B}"/>
            </c:ext>
          </c:extLst>
        </c:ser>
        <c:ser>
          <c:idx val="6"/>
          <c:order val="5"/>
          <c:tx>
            <c:v>PV Max</c:v>
          </c:tx>
          <c:spPr>
            <a:ln w="19050">
              <a:solidFill>
                <a:schemeClr val="accent4">
                  <a:alpha val="8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PPAs'!$C$7:$G$7</c:f>
              <c:numCache>
                <c:formatCode>General</c:formatCode>
                <c:ptCount val="5"/>
                <c:pt idx="0">
                  <c:v>3.77</c:v>
                </c:pt>
                <c:pt idx="1">
                  <c:v>2.54</c:v>
                </c:pt>
                <c:pt idx="2">
                  <c:v>1.3</c:v>
                </c:pt>
                <c:pt idx="3">
                  <c:v>0.97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2D-46CD-BE96-452430A77D9B}"/>
            </c:ext>
          </c:extLst>
        </c:ser>
        <c:ser>
          <c:idx val="2"/>
          <c:order val="6"/>
          <c:tx>
            <c:v>Wind Min</c:v>
          </c:tx>
          <c:spPr>
            <a:ln w="1270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(data)'!$E$6:$I$6</c:f>
              <c:numCache>
                <c:formatCode>General</c:formatCode>
                <c:ptCount val="5"/>
                <c:pt idx="0">
                  <c:v>1.47</c:v>
                </c:pt>
                <c:pt idx="1">
                  <c:v>1.06</c:v>
                </c:pt>
                <c:pt idx="2">
                  <c:v>0.78</c:v>
                </c:pt>
                <c:pt idx="3">
                  <c:v>0.62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2D-46CD-BE96-452430A77D9B}"/>
            </c:ext>
          </c:extLst>
        </c:ser>
        <c:ser>
          <c:idx val="3"/>
          <c:order val="7"/>
          <c:tx>
            <c:v>Wind Max</c:v>
          </c:tx>
          <c:spPr>
            <a:ln w="1905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(data)'!$E$7:$I$7</c:f>
              <c:numCache>
                <c:formatCode>General</c:formatCode>
                <c:ptCount val="5"/>
                <c:pt idx="0">
                  <c:v>1.52</c:v>
                </c:pt>
                <c:pt idx="1">
                  <c:v>1.29</c:v>
                </c:pt>
                <c:pt idx="2">
                  <c:v>0.94</c:v>
                </c:pt>
                <c:pt idx="3">
                  <c:v>0.84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2D-46CD-BE96-452430A7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352112"/>
        <c:axId val="220513712"/>
      </c:lineChart>
      <c:catAx>
        <c:axId val="148735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Bidding Windows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39638942331616439"/>
              <c:y val="0.841692985098174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3712"/>
        <c:crosses val="autoZero"/>
        <c:auto val="1"/>
        <c:lblAlgn val="ctr"/>
        <c:lblOffset val="100"/>
        <c:noMultiLvlLbl val="0"/>
      </c:catAx>
      <c:valAx>
        <c:axId val="2205137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20</a:t>
                </a:r>
                <a:r>
                  <a:rPr lang="en-US" b="0" baseline="0"/>
                  <a:t> Year </a:t>
                </a:r>
                <a:r>
                  <a:rPr lang="en-US" b="0"/>
                  <a:t>PPA</a:t>
                </a:r>
                <a:r>
                  <a:rPr lang="en-US" b="0" baseline="0"/>
                  <a:t> Tariff (R/kWh)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42644158968015E-2"/>
              <c:y val="0.22937423805630852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52112"/>
        <c:crosses val="autoZero"/>
        <c:crossBetween val="between"/>
      </c:valAx>
      <c:valAx>
        <c:axId val="546129616"/>
        <c:scaling>
          <c:orientation val="minMax"/>
          <c:max val="15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Megawatts of Capacity Procured (MW)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91408"/>
        <c:crosses val="max"/>
        <c:crossBetween val="between"/>
        <c:majorUnit val="500"/>
      </c:valAx>
      <c:catAx>
        <c:axId val="57199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1296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2409579201722532E-2"/>
          <c:y val="0.89681767316074001"/>
          <c:w val="0.87487606916265026"/>
          <c:h val="0.10318232683926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South African DoE REIPPPP Solar PV Price Trends (April 2016 R/kWh)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US" sz="1400"/>
          </a:p>
        </c:rich>
      </c:tx>
      <c:layout>
        <c:manualLayout>
          <c:xMode val="edge"/>
          <c:yMode val="edge"/>
          <c:x val="0.18330122391815806"/>
          <c:y val="7.74818598900204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42675552678973"/>
          <c:y val="7.3800556405167084E-2"/>
          <c:w val="0.71320026103579603"/>
          <c:h val="0.66658542069389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'REIPPPPs PPAs'!$B$4</c:f>
              <c:strCache>
                <c:ptCount val="1"/>
                <c:pt idx="0">
                  <c:v>Capacity (MW)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PPAs'!$C$4:$G$4</c:f>
              <c:numCache>
                <c:formatCode>General</c:formatCode>
                <c:ptCount val="5"/>
                <c:pt idx="0">
                  <c:v>627</c:v>
                </c:pt>
                <c:pt idx="1">
                  <c:v>417</c:v>
                </c:pt>
                <c:pt idx="2">
                  <c:v>435</c:v>
                </c:pt>
                <c:pt idx="3">
                  <c:v>813</c:v>
                </c:pt>
                <c:pt idx="4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E-47CA-B1EF-8287F6149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525360"/>
        <c:axId val="585171824"/>
      </c:barChart>
      <c:lineChart>
        <c:grouping val="standard"/>
        <c:varyColors val="0"/>
        <c:ser>
          <c:idx val="1"/>
          <c:order val="1"/>
          <c:tx>
            <c:strRef>
              <c:f>'REIPPPPs PPAs'!$B$5</c:f>
              <c:strCache>
                <c:ptCount val="1"/>
                <c:pt idx="0">
                  <c:v>Average (R/kWh)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870058588003159E-2"/>
                  <c:y val="1.2083102853610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3E-47CA-B1EF-8287F61492B3}"/>
                </c:ext>
              </c:extLst>
            </c:dLbl>
            <c:dLbl>
              <c:idx val="1"/>
              <c:layout>
                <c:manualLayout>
                  <c:x val="-2.6502692463980588E-2"/>
                  <c:y val="-5.5067911593018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3E-47CA-B1EF-8287F61492B3}"/>
                </c:ext>
              </c:extLst>
            </c:dLbl>
            <c:dLbl>
              <c:idx val="2"/>
              <c:layout>
                <c:manualLayout>
                  <c:x val="-3.1582058559091825E-2"/>
                  <c:y val="-5.5067911593018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3E-47CA-B1EF-8287F61492B3}"/>
                </c:ext>
              </c:extLst>
            </c:dLbl>
            <c:dLbl>
              <c:idx val="3"/>
              <c:layout>
                <c:manualLayout>
                  <c:x val="-3.4121741606647493E-2"/>
                  <c:y val="-5.50679115930182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3E-47CA-B1EF-8287F61492B3}"/>
                </c:ext>
              </c:extLst>
            </c:dLbl>
            <c:dLbl>
              <c:idx val="4"/>
              <c:layout>
                <c:manualLayout>
                  <c:x val="-3.4121741606647493E-2"/>
                  <c:y val="-5.5067911593018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3E-47CA-B1EF-8287F61492B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PPAs'!$C$5:$G$5</c:f>
              <c:numCache>
                <c:formatCode>General</c:formatCode>
                <c:ptCount val="5"/>
                <c:pt idx="0">
                  <c:v>3.65</c:v>
                </c:pt>
                <c:pt idx="1">
                  <c:v>2.1800000000000002</c:v>
                </c:pt>
                <c:pt idx="2">
                  <c:v>1.17</c:v>
                </c:pt>
                <c:pt idx="3">
                  <c:v>0.91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E-47CA-B1EF-8287F61492B3}"/>
            </c:ext>
          </c:extLst>
        </c:ser>
        <c:ser>
          <c:idx val="2"/>
          <c:order val="2"/>
          <c:tx>
            <c:strRef>
              <c:f>'REIPPPPs PPAs'!$B$6</c:f>
              <c:strCache>
                <c:ptCount val="1"/>
                <c:pt idx="0">
                  <c:v>Min (R/kWh)</c:v>
                </c:pt>
              </c:strCache>
            </c:strRef>
          </c:tx>
          <c:spPr>
            <a:ln w="19050" cap="rnd">
              <a:solidFill>
                <a:schemeClr val="accent4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PPAs'!$C$6:$G$6</c:f>
              <c:numCache>
                <c:formatCode>General</c:formatCode>
                <c:ptCount val="5"/>
                <c:pt idx="0">
                  <c:v>3.22</c:v>
                </c:pt>
                <c:pt idx="1">
                  <c:v>1.85</c:v>
                </c:pt>
                <c:pt idx="2">
                  <c:v>1.02</c:v>
                </c:pt>
                <c:pt idx="3">
                  <c:v>0.86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3E-47CA-B1EF-8287F61492B3}"/>
            </c:ext>
          </c:extLst>
        </c:ser>
        <c:ser>
          <c:idx val="3"/>
          <c:order val="3"/>
          <c:tx>
            <c:strRef>
              <c:f>'REIPPPPs PPAs'!$B$7</c:f>
              <c:strCache>
                <c:ptCount val="1"/>
                <c:pt idx="0">
                  <c:v>Max (R/kWh)</c:v>
                </c:pt>
              </c:strCache>
            </c:strRef>
          </c:tx>
          <c:spPr>
            <a:ln w="19050" cap="rnd">
              <a:solidFill>
                <a:schemeClr val="accent4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PPAs'!$C$7:$G$7</c:f>
              <c:numCache>
                <c:formatCode>General</c:formatCode>
                <c:ptCount val="5"/>
                <c:pt idx="0">
                  <c:v>3.77</c:v>
                </c:pt>
                <c:pt idx="1">
                  <c:v>2.54</c:v>
                </c:pt>
                <c:pt idx="2">
                  <c:v>1.3</c:v>
                </c:pt>
                <c:pt idx="3">
                  <c:v>0.97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3E-47CA-B1EF-8287F6149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01808"/>
        <c:axId val="220579808"/>
      </c:lineChart>
      <c:catAx>
        <c:axId val="572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79808"/>
        <c:crosses val="autoZero"/>
        <c:auto val="1"/>
        <c:lblAlgn val="ctr"/>
        <c:lblOffset val="100"/>
        <c:noMultiLvlLbl val="0"/>
      </c:catAx>
      <c:valAx>
        <c:axId val="220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</a:t>
                </a:r>
                <a:r>
                  <a:rPr lang="en-US" baseline="0"/>
                  <a:t> year PPA Tariff (2016 R/kWh)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1808"/>
        <c:crosses val="autoZero"/>
        <c:crossBetween val="between"/>
      </c:valAx>
      <c:valAx>
        <c:axId val="585171824"/>
        <c:scaling>
          <c:orientation val="minMax"/>
          <c:max val="1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Megawatts of Capacity Procured (MW)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450087784814885"/>
              <c:y val="0.28817790660741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25360"/>
        <c:crosses val="max"/>
        <c:crossBetween val="between"/>
        <c:majorUnit val="500"/>
      </c:valAx>
      <c:catAx>
        <c:axId val="81152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517182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68514809351792"/>
          <c:y val="0.93852415988984972"/>
          <c:w val="0.66262970381296415"/>
          <c:h val="6.1475840110150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Levelised Cost of Energy from Wind Power: 2015 - 2050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Optimistic Learning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F7-4282-AE2C-1ECE3C903894}"/>
                </c:ext>
              </c:extLst>
            </c:dLbl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F7-4282-AE2C-1ECE3C903894}"/>
                </c:ext>
              </c:extLst>
            </c:dLbl>
            <c:dLbl>
              <c:idx val="2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F7-4282-AE2C-1ECE3C903894}"/>
                </c:ext>
              </c:extLst>
            </c:dLbl>
            <c:dLbl>
              <c:idx val="3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F7-4282-AE2C-1ECE3C9038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'Wind Costs &amp; Learning'!$C$26:$AL$26</c:f>
              <c:numCache>
                <c:formatCode>0.00</c:formatCode>
                <c:ptCount val="36"/>
                <c:pt idx="0">
                  <c:v>0.61508444641598004</c:v>
                </c:pt>
                <c:pt idx="1">
                  <c:v>0.60148116512293825</c:v>
                </c:pt>
                <c:pt idx="2">
                  <c:v>0.58866442196823288</c:v>
                </c:pt>
                <c:pt idx="3">
                  <c:v>0.57657460808373673</c:v>
                </c:pt>
                <c:pt idx="4">
                  <c:v>0.56515821621143947</c:v>
                </c:pt>
                <c:pt idx="5">
                  <c:v>0.55436709296861664</c:v>
                </c:pt>
                <c:pt idx="6">
                  <c:v>0.54407054948979428</c:v>
                </c:pt>
                <c:pt idx="7">
                  <c:v>0.53392950498031333</c:v>
                </c:pt>
                <c:pt idx="8">
                  <c:v>0.52452282812253603</c:v>
                </c:pt>
                <c:pt idx="9">
                  <c:v>0.51561161282027856</c:v>
                </c:pt>
                <c:pt idx="10">
                  <c:v>0.50716527725643168</c:v>
                </c:pt>
                <c:pt idx="11">
                  <c:v>0.49915597259607491</c:v>
                </c:pt>
                <c:pt idx="12">
                  <c:v>0.49155827949712227</c:v>
                </c:pt>
                <c:pt idx="13">
                  <c:v>0.48434896781218828</c:v>
                </c:pt>
                <c:pt idx="14">
                  <c:v>0.47750678022359988</c:v>
                </c:pt>
                <c:pt idx="15">
                  <c:v>0.47101224480998838</c:v>
                </c:pt>
                <c:pt idx="16">
                  <c:v>0.46484750422317789</c:v>
                </c:pt>
                <c:pt idx="17">
                  <c:v>0.45899616741843735</c:v>
                </c:pt>
                <c:pt idx="18">
                  <c:v>0.45344318122077032</c:v>
                </c:pt>
                <c:pt idx="19">
                  <c:v>0.44817470818425093</c:v>
                </c:pt>
                <c:pt idx="20">
                  <c:v>0.44317802608194723</c:v>
                </c:pt>
                <c:pt idx="21">
                  <c:v>0.43844143869770907</c:v>
                </c:pt>
                <c:pt idx="22">
                  <c:v>0.4339541910746616</c:v>
                </c:pt>
                <c:pt idx="23">
                  <c:v>0.42970639926562609</c:v>
                </c:pt>
                <c:pt idx="24">
                  <c:v>0.42568897697571001</c:v>
                </c:pt>
                <c:pt idx="25">
                  <c:v>0.42190365663524243</c:v>
                </c:pt>
                <c:pt idx="26">
                  <c:v>0.41832155988830322</c:v>
                </c:pt>
                <c:pt idx="27">
                  <c:v>0.41494688476353975</c:v>
                </c:pt>
                <c:pt idx="28">
                  <c:v>0.41177324039911989</c:v>
                </c:pt>
                <c:pt idx="29">
                  <c:v>0.40879480016175418</c:v>
                </c:pt>
                <c:pt idx="30">
                  <c:v>0.40600628807184136</c:v>
                </c:pt>
                <c:pt idx="31">
                  <c:v>0.40340292604358208</c:v>
                </c:pt>
                <c:pt idx="32">
                  <c:v>0.40098042489973207</c:v>
                </c:pt>
                <c:pt idx="33">
                  <c:v>0.39873495711718798</c:v>
                </c:pt>
                <c:pt idx="34">
                  <c:v>0.39666313527459496</c:v>
                </c:pt>
                <c:pt idx="35">
                  <c:v>0.39476200393388211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F7-4282-AE2C-1ECE3C903894}"/>
            </c:ext>
          </c:extLst>
        </c:ser>
        <c:ser>
          <c:idx val="1"/>
          <c:order val="1"/>
          <c:tx>
            <c:v>Expected Learning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F7-4282-AE2C-1ECE3C903894}"/>
                </c:ext>
              </c:extLst>
            </c:dLbl>
            <c:dLbl>
              <c:idx val="1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F7-4282-AE2C-1ECE3C903894}"/>
                </c:ext>
              </c:extLst>
            </c:dLbl>
            <c:dLbl>
              <c:idx val="2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F7-4282-AE2C-1ECE3C903894}"/>
                </c:ext>
              </c:extLst>
            </c:dLbl>
            <c:dLbl>
              <c:idx val="3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F7-4282-AE2C-1ECE3C9038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'Wind Costs &amp; Learning'!$C$27:$AL$27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0.61508444641598004</c:v>
                </c:pt>
                <c:pt idx="6">
                  <c:v>0.60971532403918027</c:v>
                </c:pt>
                <c:pt idx="7">
                  <c:v>0.6041380071590603</c:v>
                </c:pt>
                <c:pt idx="8">
                  <c:v>0.59892054792768679</c:v>
                </c:pt>
                <c:pt idx="9">
                  <c:v>0.59386556937088064</c:v>
                </c:pt>
                <c:pt idx="10">
                  <c:v>0.58896744494578113</c:v>
                </c:pt>
                <c:pt idx="11">
                  <c:v>0.58422082825083721</c:v>
                </c:pt>
                <c:pt idx="12">
                  <c:v>0.57962066287197811</c:v>
                </c:pt>
                <c:pt idx="13">
                  <c:v>0.57516213546044415</c:v>
                </c:pt>
                <c:pt idx="14">
                  <c:v>0.57084067779719716</c:v>
                </c:pt>
                <c:pt idx="15">
                  <c:v>0.56665195273234781</c:v>
                </c:pt>
                <c:pt idx="16">
                  <c:v>0.56259183454369976</c:v>
                </c:pt>
                <c:pt idx="17">
                  <c:v>0.5586564035280176</c:v>
                </c:pt>
                <c:pt idx="18">
                  <c:v>0.55484192818808376</c:v>
                </c:pt>
                <c:pt idx="19">
                  <c:v>0.55114485811923053</c:v>
                </c:pt>
                <c:pt idx="20">
                  <c:v>0.54756181427783213</c:v>
                </c:pt>
                <c:pt idx="21">
                  <c:v>0.54408958631255933</c:v>
                </c:pt>
                <c:pt idx="22">
                  <c:v>0.5407251048216023</c:v>
                </c:pt>
                <c:pt idx="23">
                  <c:v>0.53746545913571531</c:v>
                </c:pt>
                <c:pt idx="24">
                  <c:v>0.53430787069214969</c:v>
                </c:pt>
                <c:pt idx="25">
                  <c:v>0.53125193939801307</c:v>
                </c:pt>
                <c:pt idx="26">
                  <c:v>0.52829041488151762</c:v>
                </c:pt>
                <c:pt idx="27">
                  <c:v>0.52542338489057339</c:v>
                </c:pt>
                <c:pt idx="28">
                  <c:v>0.52264855708126212</c:v>
                </c:pt>
                <c:pt idx="29">
                  <c:v>0.5199637535789996</c:v>
                </c:pt>
                <c:pt idx="30">
                  <c:v>0.5173668966698004</c:v>
                </c:pt>
                <c:pt idx="31">
                  <c:v>0.51485601036096218</c:v>
                </c:pt>
                <c:pt idx="32">
                  <c:v>0.51242920986936824</c:v>
                </c:pt>
                <c:pt idx="33">
                  <c:v>0.51008470065459655</c:v>
                </c:pt>
                <c:pt idx="34">
                  <c:v>0.50782077764311284</c:v>
                </c:pt>
                <c:pt idx="35">
                  <c:v>0.50563581555073767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F7-4282-AE2C-1ECE3C903894}"/>
            </c:ext>
          </c:extLst>
        </c:ser>
        <c:ser>
          <c:idx val="2"/>
          <c:order val="2"/>
          <c:tx>
            <c:v>No 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9643482064741905E-3"/>
                  <c:y val="-5.094089801274839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F7-4282-AE2C-1ECE3C903894}"/>
                </c:ext>
              </c:extLst>
            </c:dLbl>
            <c:dLbl>
              <c:idx val="1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F7-4282-AE2C-1ECE3C903894}"/>
                </c:ext>
              </c:extLst>
            </c:dLbl>
            <c:dLbl>
              <c:idx val="2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F7-4282-AE2C-1ECE3C903894}"/>
                </c:ext>
              </c:extLst>
            </c:dLbl>
            <c:dLbl>
              <c:idx val="3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F7-4282-AE2C-1ECE3C9038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'Wind Costs &amp; Learning'!$C$28:$AL$28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0.62134757794679907</c:v>
                </c:pt>
                <c:pt idx="6">
                  <c:v>0.62134757794679907</c:v>
                </c:pt>
                <c:pt idx="7">
                  <c:v>0.62134757794679907</c:v>
                </c:pt>
                <c:pt idx="8">
                  <c:v>0.62134757794679907</c:v>
                </c:pt>
                <c:pt idx="9">
                  <c:v>0.62134757794679907</c:v>
                </c:pt>
                <c:pt idx="10">
                  <c:v>0.62134757794679907</c:v>
                </c:pt>
                <c:pt idx="11">
                  <c:v>0.62134757794679907</c:v>
                </c:pt>
                <c:pt idx="12">
                  <c:v>0.62134757794679907</c:v>
                </c:pt>
                <c:pt idx="13">
                  <c:v>0.62134757794679907</c:v>
                </c:pt>
                <c:pt idx="14">
                  <c:v>0.62134757794679907</c:v>
                </c:pt>
                <c:pt idx="15">
                  <c:v>0.62134757794679907</c:v>
                </c:pt>
                <c:pt idx="16">
                  <c:v>0.62134757794679907</c:v>
                </c:pt>
                <c:pt idx="17">
                  <c:v>0.62134757794679907</c:v>
                </c:pt>
                <c:pt idx="18">
                  <c:v>0.62134757794679907</c:v>
                </c:pt>
                <c:pt idx="19">
                  <c:v>0.62134757794679907</c:v>
                </c:pt>
                <c:pt idx="20">
                  <c:v>0.62134757794679907</c:v>
                </c:pt>
                <c:pt idx="21">
                  <c:v>0.62134757794679907</c:v>
                </c:pt>
                <c:pt idx="22">
                  <c:v>0.62134757794679907</c:v>
                </c:pt>
                <c:pt idx="23">
                  <c:v>0.62134757794679907</c:v>
                </c:pt>
                <c:pt idx="24">
                  <c:v>0.62134757794679907</c:v>
                </c:pt>
                <c:pt idx="25">
                  <c:v>0.62134757794679907</c:v>
                </c:pt>
                <c:pt idx="26">
                  <c:v>0.62134757794679907</c:v>
                </c:pt>
                <c:pt idx="27">
                  <c:v>0.62134757794679907</c:v>
                </c:pt>
                <c:pt idx="28">
                  <c:v>0.62134757794679907</c:v>
                </c:pt>
                <c:pt idx="29">
                  <c:v>0.62134757794679907</c:v>
                </c:pt>
                <c:pt idx="30">
                  <c:v>0.62134757794679907</c:v>
                </c:pt>
                <c:pt idx="31">
                  <c:v>0.62134757794679907</c:v>
                </c:pt>
                <c:pt idx="32">
                  <c:v>0.62134757794679907</c:v>
                </c:pt>
                <c:pt idx="33">
                  <c:v>0.62134757794679907</c:v>
                </c:pt>
                <c:pt idx="34">
                  <c:v>0.62134757794679907</c:v>
                </c:pt>
                <c:pt idx="35">
                  <c:v>0.62134757794679907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F7-4282-AE2C-1ECE3C903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06800"/>
        <c:axId val="1509255392"/>
      </c:scatterChart>
      <c:valAx>
        <c:axId val="572006800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55392"/>
        <c:crosses val="autoZero"/>
        <c:crossBetween val="midCat"/>
      </c:valAx>
      <c:valAx>
        <c:axId val="150925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LCOE (2016</a:t>
                </a:r>
                <a:r>
                  <a:rPr lang="en-US" baseline="0"/>
                  <a:t> R/kWh)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Levelised Cost of Energy from Solar PV </a:t>
            </a:r>
            <a:r>
              <a:rPr lang="en-US" sz="1400" b="0" baseline="0"/>
              <a:t> &amp; </a:t>
            </a:r>
            <a:r>
              <a:rPr lang="en-US" sz="1400" b="0"/>
              <a:t>Wind Power: 2015 - 2050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188196924346179E-2"/>
          <c:y val="8.8081768195646351E-2"/>
          <c:w val="0.8871920611202575"/>
          <c:h val="0.75628177811625541"/>
        </c:manualLayout>
      </c:layout>
      <c:lineChart>
        <c:grouping val="standard"/>
        <c:varyColors val="0"/>
        <c:ser>
          <c:idx val="3"/>
          <c:order val="0"/>
          <c:tx>
            <c:v>Expected Learning</c:v>
          </c:tx>
          <c:spPr>
            <a:ln w="38100">
              <a:solidFill>
                <a:schemeClr val="accent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15"/>
              <c:layout>
                <c:manualLayout>
                  <c:x val="-4.688721790446871E-2"/>
                  <c:y val="4.262878237204741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6-4334-A096-6997EA2B5F5E}"/>
                </c:ext>
              </c:extLst>
            </c:dLbl>
            <c:spPr>
              <a:solidFill>
                <a:sysClr val="window" lastClr="FFFFFF"/>
              </a:solidFill>
              <a:ln w="19050">
                <a:solidFill>
                  <a:srgbClr val="FFC000"/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(data)'!$C$27:$AL$27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0.58911132080971285</c:v>
                </c:pt>
                <c:pt idx="2">
                  <c:v>0.56738569348466772</c:v>
                </c:pt>
                <c:pt idx="3">
                  <c:v>0.54900623797239889</c:v>
                </c:pt>
                <c:pt idx="4">
                  <c:v>0.53935206741672859</c:v>
                </c:pt>
                <c:pt idx="5">
                  <c:v>0.53389689801377826</c:v>
                </c:pt>
                <c:pt idx="6">
                  <c:v>0.52844172861082817</c:v>
                </c:pt>
                <c:pt idx="7">
                  <c:v>0.52298655920787784</c:v>
                </c:pt>
                <c:pt idx="8">
                  <c:v>0.51753138980492763</c:v>
                </c:pt>
                <c:pt idx="9">
                  <c:v>0.51207622040197753</c:v>
                </c:pt>
                <c:pt idx="10">
                  <c:v>0.50662105099902732</c:v>
                </c:pt>
                <c:pt idx="11">
                  <c:v>0.50116588159607711</c:v>
                </c:pt>
                <c:pt idx="12">
                  <c:v>0.49571071219312679</c:v>
                </c:pt>
                <c:pt idx="13">
                  <c:v>0.49025554279017669</c:v>
                </c:pt>
                <c:pt idx="14">
                  <c:v>0.48579883965979054</c:v>
                </c:pt>
                <c:pt idx="15">
                  <c:v>0.4813421365294045</c:v>
                </c:pt>
                <c:pt idx="16">
                  <c:v>0.47688543339901851</c:v>
                </c:pt>
                <c:pt idx="17">
                  <c:v>0.47242873026863241</c:v>
                </c:pt>
                <c:pt idx="18">
                  <c:v>0.46797202713824637</c:v>
                </c:pt>
                <c:pt idx="19">
                  <c:v>0.46351532400786022</c:v>
                </c:pt>
                <c:pt idx="20">
                  <c:v>0.45905862087747412</c:v>
                </c:pt>
                <c:pt idx="21">
                  <c:v>0.45460191774708808</c:v>
                </c:pt>
                <c:pt idx="22">
                  <c:v>0.45014521461670198</c:v>
                </c:pt>
                <c:pt idx="23">
                  <c:v>0.445688511486316</c:v>
                </c:pt>
                <c:pt idx="24">
                  <c:v>0.44162783637611402</c:v>
                </c:pt>
                <c:pt idx="25">
                  <c:v>0.43756716126591205</c:v>
                </c:pt>
                <c:pt idx="26">
                  <c:v>0.43350648615570997</c:v>
                </c:pt>
                <c:pt idx="27">
                  <c:v>0.429445811045508</c:v>
                </c:pt>
                <c:pt idx="28">
                  <c:v>0.42538513593530602</c:v>
                </c:pt>
                <c:pt idx="29">
                  <c:v>0.42132446082510405</c:v>
                </c:pt>
                <c:pt idx="30">
                  <c:v>0.41726378571490197</c:v>
                </c:pt>
                <c:pt idx="31">
                  <c:v>0.4132031106047</c:v>
                </c:pt>
                <c:pt idx="32">
                  <c:v>0.40914243549449797</c:v>
                </c:pt>
                <c:pt idx="33">
                  <c:v>0.40508176038429589</c:v>
                </c:pt>
                <c:pt idx="34">
                  <c:v>0.40102108527409369</c:v>
                </c:pt>
                <c:pt idx="35">
                  <c:v>0.39696041016389155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6-4334-A096-6997EA2B5F5E}"/>
            </c:ext>
          </c:extLst>
        </c:ser>
        <c:ser>
          <c:idx val="5"/>
          <c:order val="1"/>
          <c:tx>
            <c:v>No learning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15"/>
              <c:layout>
                <c:manualLayout>
                  <c:x val="-4.864259658213102E-2"/>
                  <c:y val="1.462823636559603E-2"/>
                </c:manualLayout>
              </c:layout>
              <c:spPr>
                <a:solidFill>
                  <a:sysClr val="window" lastClr="FFFFFF"/>
                </a:solidFill>
                <a:ln w="15875">
                  <a:solidFill>
                    <a:srgbClr val="ED7D31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1BC6-4334-A096-6997EA2B5F5E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ED7D31">
                    <a:lumMod val="50000"/>
                  </a:srgbClr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(data)'!$C$28:$AL$28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0.62007816382281689</c:v>
                </c:pt>
                <c:pt idx="2">
                  <c:v>0.62007816382281689</c:v>
                </c:pt>
                <c:pt idx="3">
                  <c:v>0.62007816382281689</c:v>
                </c:pt>
                <c:pt idx="4">
                  <c:v>0.62007816382281689</c:v>
                </c:pt>
                <c:pt idx="5">
                  <c:v>0.61305718072759818</c:v>
                </c:pt>
                <c:pt idx="6">
                  <c:v>0.60636656975116177</c:v>
                </c:pt>
                <c:pt idx="7">
                  <c:v>0.60077809662620341</c:v>
                </c:pt>
                <c:pt idx="8">
                  <c:v>0.59543541418050672</c:v>
                </c:pt>
                <c:pt idx="9">
                  <c:v>0.59030835172456464</c:v>
                </c:pt>
                <c:pt idx="10">
                  <c:v>0.58464199864368394</c:v>
                </c:pt>
                <c:pt idx="11">
                  <c:v>0.57934579197857616</c:v>
                </c:pt>
                <c:pt idx="12">
                  <c:v>0.57367394047117504</c:v>
                </c:pt>
                <c:pt idx="13">
                  <c:v>0.56830395409668377</c:v>
                </c:pt>
                <c:pt idx="14">
                  <c:v>0.56319409250119623</c:v>
                </c:pt>
                <c:pt idx="15">
                  <c:v>0.55622681655976991</c:v>
                </c:pt>
                <c:pt idx="16">
                  <c:v>0.55362564405210268</c:v>
                </c:pt>
                <c:pt idx="17">
                  <c:v>0.54911631239215963</c:v>
                </c:pt>
                <c:pt idx="18">
                  <c:v>0.54476325741679599</c:v>
                </c:pt>
                <c:pt idx="19">
                  <c:v>0.54055012533982505</c:v>
                </c:pt>
                <c:pt idx="20">
                  <c:v>0.53609939591699718</c:v>
                </c:pt>
                <c:pt idx="21">
                  <c:v>0.53267672596305993</c:v>
                </c:pt>
                <c:pt idx="22">
                  <c:v>0.52899403279827906</c:v>
                </c:pt>
                <c:pt idx="23">
                  <c:v>0.5254057962480928</c:v>
                </c:pt>
                <c:pt idx="24">
                  <c:v>0.52190405911324556</c:v>
                </c:pt>
                <c:pt idx="25">
                  <c:v>0.518481807665092</c:v>
                </c:pt>
                <c:pt idx="26">
                  <c:v>0.51513282965955254</c:v>
                </c:pt>
                <c:pt idx="27">
                  <c:v>0.51185159794511725</c:v>
                </c:pt>
                <c:pt idx="28">
                  <c:v>0.50863317433953836</c:v>
                </c:pt>
                <c:pt idx="29">
                  <c:v>0.50547312969660596</c:v>
                </c:pt>
                <c:pt idx="30">
                  <c:v>0.50354033311251212</c:v>
                </c:pt>
                <c:pt idx="31">
                  <c:v>0.50117240127218599</c:v>
                </c:pt>
                <c:pt idx="32">
                  <c:v>0.49880446943185996</c:v>
                </c:pt>
                <c:pt idx="33">
                  <c:v>0.49643653759153378</c:v>
                </c:pt>
                <c:pt idx="34">
                  <c:v>0.49406860575120748</c:v>
                </c:pt>
                <c:pt idx="35">
                  <c:v>0.49170067391088135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C6-4334-A096-6997EA2B5F5E}"/>
            </c:ext>
          </c:extLst>
        </c:ser>
        <c:ser>
          <c:idx val="4"/>
          <c:order val="2"/>
          <c:tx>
            <c:v>Optimistic Learning</c:v>
          </c:tx>
          <c:spPr>
            <a:ln w="28575">
              <a:solidFill>
                <a:schemeClr val="accent4"/>
              </a:solidFill>
              <a:prstDash val="sysDash"/>
            </a:ln>
          </c:spPr>
          <c:marker>
            <c:symbol val="none"/>
          </c:marker>
          <c:dLbls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C6-4334-A096-6997EA2B5F5E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FFC000"/>
                </a:solidFill>
                <a:prstDash val="sysDash"/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(data)'!$C$26:$AL$26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0.56044589948137347</c:v>
                </c:pt>
                <c:pt idx="2">
                  <c:v>0.51682305667430839</c:v>
                </c:pt>
                <c:pt idx="3">
                  <c:v>0.49651090953637883</c:v>
                </c:pt>
                <c:pt idx="4">
                  <c:v>0.48575722855688619</c:v>
                </c:pt>
                <c:pt idx="5">
                  <c:v>0.47500354757739333</c:v>
                </c:pt>
                <c:pt idx="6">
                  <c:v>0.46424986659790068</c:v>
                </c:pt>
                <c:pt idx="7">
                  <c:v>0.45349618561840793</c:v>
                </c:pt>
                <c:pt idx="8">
                  <c:v>0.44274250463891524</c:v>
                </c:pt>
                <c:pt idx="9">
                  <c:v>0.43198882365942259</c:v>
                </c:pt>
                <c:pt idx="10">
                  <c:v>0.42123514267992979</c:v>
                </c:pt>
                <c:pt idx="11">
                  <c:v>0.41048146170043714</c:v>
                </c:pt>
                <c:pt idx="12">
                  <c:v>0.39972778072094439</c:v>
                </c:pt>
                <c:pt idx="13">
                  <c:v>0.39123892303259905</c:v>
                </c:pt>
                <c:pt idx="14">
                  <c:v>0.38297321260059136</c:v>
                </c:pt>
                <c:pt idx="15">
                  <c:v>0.37697232545973081</c:v>
                </c:pt>
                <c:pt idx="16">
                  <c:v>0.37097143831887031</c:v>
                </c:pt>
                <c:pt idx="17">
                  <c:v>0.36497055117800975</c:v>
                </c:pt>
                <c:pt idx="18">
                  <c:v>0.35896966403714914</c:v>
                </c:pt>
                <c:pt idx="19">
                  <c:v>0.35296877689628864</c:v>
                </c:pt>
                <c:pt idx="20">
                  <c:v>0.34696788975542814</c:v>
                </c:pt>
                <c:pt idx="21">
                  <c:v>0.34096700261456758</c:v>
                </c:pt>
                <c:pt idx="22">
                  <c:v>0.33496611547370708</c:v>
                </c:pt>
                <c:pt idx="23">
                  <c:v>0.32896522833284636</c:v>
                </c:pt>
                <c:pt idx="24">
                  <c:v>0.3229990038473296</c:v>
                </c:pt>
                <c:pt idx="25">
                  <c:v>0.31703277936181284</c:v>
                </c:pt>
                <c:pt idx="26">
                  <c:v>0.31106655487629603</c:v>
                </c:pt>
                <c:pt idx="27">
                  <c:v>0.30510033039077927</c:v>
                </c:pt>
                <c:pt idx="28">
                  <c:v>0.29913410590526252</c:v>
                </c:pt>
                <c:pt idx="29">
                  <c:v>0.29316788141974581</c:v>
                </c:pt>
                <c:pt idx="30">
                  <c:v>0.287201656934229</c:v>
                </c:pt>
                <c:pt idx="31">
                  <c:v>0.28123543244871224</c:v>
                </c:pt>
                <c:pt idx="32">
                  <c:v>0.27526920796319559</c:v>
                </c:pt>
                <c:pt idx="33">
                  <c:v>0.26930298347767878</c:v>
                </c:pt>
                <c:pt idx="34">
                  <c:v>0.26333675899216202</c:v>
                </c:pt>
                <c:pt idx="35">
                  <c:v>0.25737053450664521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C6-4334-A096-6997EA2B5F5E}"/>
            </c:ext>
          </c:extLst>
        </c:ser>
        <c:ser>
          <c:idx val="1"/>
          <c:order val="3"/>
          <c:tx>
            <c:v>Expected Learning</c:v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15"/>
              <c:spPr>
                <a:solidFill>
                  <a:sysClr val="window" lastClr="FFFFFF"/>
                </a:solidFill>
                <a:ln>
                  <a:solidFill>
                    <a:srgbClr val="44546A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1BC6-4334-A096-6997EA2B5F5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'Wind Costs &amp; Learning'!$C$27:$AL$27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0.61508444641598004</c:v>
                </c:pt>
                <c:pt idx="6">
                  <c:v>0.60971532403918027</c:v>
                </c:pt>
                <c:pt idx="7">
                  <c:v>0.6041380071590603</c:v>
                </c:pt>
                <c:pt idx="8">
                  <c:v>0.59892054792768679</c:v>
                </c:pt>
                <c:pt idx="9">
                  <c:v>0.59386556937088064</c:v>
                </c:pt>
                <c:pt idx="10">
                  <c:v>0.58896744494578113</c:v>
                </c:pt>
                <c:pt idx="11">
                  <c:v>0.58422082825083721</c:v>
                </c:pt>
                <c:pt idx="12">
                  <c:v>0.57962066287197811</c:v>
                </c:pt>
                <c:pt idx="13">
                  <c:v>0.57516213546044415</c:v>
                </c:pt>
                <c:pt idx="14">
                  <c:v>0.57084067779719716</c:v>
                </c:pt>
                <c:pt idx="15">
                  <c:v>0.56665195273234781</c:v>
                </c:pt>
                <c:pt idx="16">
                  <c:v>0.56259183454369976</c:v>
                </c:pt>
                <c:pt idx="17">
                  <c:v>0.5586564035280176</c:v>
                </c:pt>
                <c:pt idx="18">
                  <c:v>0.55484192818808376</c:v>
                </c:pt>
                <c:pt idx="19">
                  <c:v>0.55114485811923053</c:v>
                </c:pt>
                <c:pt idx="20">
                  <c:v>0.54756181427783213</c:v>
                </c:pt>
                <c:pt idx="21">
                  <c:v>0.54408958631255933</c:v>
                </c:pt>
                <c:pt idx="22">
                  <c:v>0.5407251048216023</c:v>
                </c:pt>
                <c:pt idx="23">
                  <c:v>0.53746545913571531</c:v>
                </c:pt>
                <c:pt idx="24">
                  <c:v>0.53430787069214969</c:v>
                </c:pt>
                <c:pt idx="25">
                  <c:v>0.53125193939801307</c:v>
                </c:pt>
                <c:pt idx="26">
                  <c:v>0.52829041488151762</c:v>
                </c:pt>
                <c:pt idx="27">
                  <c:v>0.52542338489057339</c:v>
                </c:pt>
                <c:pt idx="28">
                  <c:v>0.52264855708126212</c:v>
                </c:pt>
                <c:pt idx="29">
                  <c:v>0.5199637535789996</c:v>
                </c:pt>
                <c:pt idx="30">
                  <c:v>0.5173668966698004</c:v>
                </c:pt>
                <c:pt idx="31">
                  <c:v>0.51485601036096218</c:v>
                </c:pt>
                <c:pt idx="32">
                  <c:v>0.51242920986936824</c:v>
                </c:pt>
                <c:pt idx="33">
                  <c:v>0.51008470065459655</c:v>
                </c:pt>
                <c:pt idx="34">
                  <c:v>0.50782077764311284</c:v>
                </c:pt>
                <c:pt idx="35">
                  <c:v>0.50563581555073767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BC6-4334-A096-6997EA2B5F5E}"/>
            </c:ext>
          </c:extLst>
        </c:ser>
        <c:ser>
          <c:idx val="2"/>
          <c:order val="4"/>
          <c:tx>
            <c:v>No Learning</c:v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C6-4334-A096-6997EA2B5F5E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'Wind Costs &amp; Learning'!$C$28:$AL$28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0.62134757794679907</c:v>
                </c:pt>
                <c:pt idx="6">
                  <c:v>0.62134757794679907</c:v>
                </c:pt>
                <c:pt idx="7">
                  <c:v>0.62134757794679907</c:v>
                </c:pt>
                <c:pt idx="8">
                  <c:v>0.62134757794679907</c:v>
                </c:pt>
                <c:pt idx="9">
                  <c:v>0.62134757794679907</c:v>
                </c:pt>
                <c:pt idx="10">
                  <c:v>0.62134757794679907</c:v>
                </c:pt>
                <c:pt idx="11">
                  <c:v>0.62134757794679907</c:v>
                </c:pt>
                <c:pt idx="12">
                  <c:v>0.62134757794679907</c:v>
                </c:pt>
                <c:pt idx="13">
                  <c:v>0.62134757794679907</c:v>
                </c:pt>
                <c:pt idx="14">
                  <c:v>0.62134757794679907</c:v>
                </c:pt>
                <c:pt idx="15">
                  <c:v>0.62134757794679907</c:v>
                </c:pt>
                <c:pt idx="16">
                  <c:v>0.62134757794679907</c:v>
                </c:pt>
                <c:pt idx="17">
                  <c:v>0.62134757794679907</c:v>
                </c:pt>
                <c:pt idx="18">
                  <c:v>0.62134757794679907</c:v>
                </c:pt>
                <c:pt idx="19">
                  <c:v>0.62134757794679907</c:v>
                </c:pt>
                <c:pt idx="20">
                  <c:v>0.62134757794679907</c:v>
                </c:pt>
                <c:pt idx="21">
                  <c:v>0.62134757794679907</c:v>
                </c:pt>
                <c:pt idx="22">
                  <c:v>0.62134757794679907</c:v>
                </c:pt>
                <c:pt idx="23">
                  <c:v>0.62134757794679907</c:v>
                </c:pt>
                <c:pt idx="24">
                  <c:v>0.62134757794679907</c:v>
                </c:pt>
                <c:pt idx="25">
                  <c:v>0.62134757794679907</c:v>
                </c:pt>
                <c:pt idx="26">
                  <c:v>0.62134757794679907</c:v>
                </c:pt>
                <c:pt idx="27">
                  <c:v>0.62134757794679907</c:v>
                </c:pt>
                <c:pt idx="28">
                  <c:v>0.62134757794679907</c:v>
                </c:pt>
                <c:pt idx="29">
                  <c:v>0.62134757794679907</c:v>
                </c:pt>
                <c:pt idx="30">
                  <c:v>0.62134757794679907</c:v>
                </c:pt>
                <c:pt idx="31">
                  <c:v>0.62134757794679907</c:v>
                </c:pt>
                <c:pt idx="32">
                  <c:v>0.62134757794679907</c:v>
                </c:pt>
                <c:pt idx="33">
                  <c:v>0.62134757794679907</c:v>
                </c:pt>
                <c:pt idx="34">
                  <c:v>0.62134757794679907</c:v>
                </c:pt>
                <c:pt idx="35">
                  <c:v>0.62134757794679907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C6-4334-A096-6997EA2B5F5E}"/>
            </c:ext>
          </c:extLst>
        </c:ser>
        <c:ser>
          <c:idx val="0"/>
          <c:order val="5"/>
          <c:tx>
            <c:v>Optimistic Learning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4.7079689318648733E-2"/>
                  <c:y val="-2.410129911493995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C6-4334-A096-6997EA2B5F5E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4472C4"/>
                </a:solidFill>
                <a:prstDash val="sysDash"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'Wind Costs &amp; Learning'!$C$26:$AL$26</c:f>
              <c:numCache>
                <c:formatCode>0.00</c:formatCode>
                <c:ptCount val="36"/>
                <c:pt idx="0">
                  <c:v>0.61508444641598004</c:v>
                </c:pt>
                <c:pt idx="1">
                  <c:v>0.60148116512293825</c:v>
                </c:pt>
                <c:pt idx="2">
                  <c:v>0.58866442196823288</c:v>
                </c:pt>
                <c:pt idx="3">
                  <c:v>0.57657460808373673</c:v>
                </c:pt>
                <c:pt idx="4">
                  <c:v>0.56515821621143947</c:v>
                </c:pt>
                <c:pt idx="5">
                  <c:v>0.55436709296861664</c:v>
                </c:pt>
                <c:pt idx="6">
                  <c:v>0.54407054948979428</c:v>
                </c:pt>
                <c:pt idx="7">
                  <c:v>0.53392950498031333</c:v>
                </c:pt>
                <c:pt idx="8">
                  <c:v>0.52452282812253603</c:v>
                </c:pt>
                <c:pt idx="9">
                  <c:v>0.51561161282027856</c:v>
                </c:pt>
                <c:pt idx="10">
                  <c:v>0.50716527725643168</c:v>
                </c:pt>
                <c:pt idx="11">
                  <c:v>0.49915597259607491</c:v>
                </c:pt>
                <c:pt idx="12">
                  <c:v>0.49155827949712227</c:v>
                </c:pt>
                <c:pt idx="13">
                  <c:v>0.48434896781218828</c:v>
                </c:pt>
                <c:pt idx="14">
                  <c:v>0.47750678022359988</c:v>
                </c:pt>
                <c:pt idx="15">
                  <c:v>0.47101224480998838</c:v>
                </c:pt>
                <c:pt idx="16">
                  <c:v>0.46484750422317789</c:v>
                </c:pt>
                <c:pt idx="17">
                  <c:v>0.45899616741843735</c:v>
                </c:pt>
                <c:pt idx="18">
                  <c:v>0.45344318122077032</c:v>
                </c:pt>
                <c:pt idx="19">
                  <c:v>0.44817470818425093</c:v>
                </c:pt>
                <c:pt idx="20">
                  <c:v>0.44317802608194723</c:v>
                </c:pt>
                <c:pt idx="21">
                  <c:v>0.43844143869770907</c:v>
                </c:pt>
                <c:pt idx="22">
                  <c:v>0.4339541910746616</c:v>
                </c:pt>
                <c:pt idx="23">
                  <c:v>0.42970639926562609</c:v>
                </c:pt>
                <c:pt idx="24">
                  <c:v>0.42568897697571001</c:v>
                </c:pt>
                <c:pt idx="25">
                  <c:v>0.42190365663524243</c:v>
                </c:pt>
                <c:pt idx="26">
                  <c:v>0.41832155988830322</c:v>
                </c:pt>
                <c:pt idx="27">
                  <c:v>0.41494688476353975</c:v>
                </c:pt>
                <c:pt idx="28">
                  <c:v>0.41177324039911989</c:v>
                </c:pt>
                <c:pt idx="29">
                  <c:v>0.40879480016175418</c:v>
                </c:pt>
                <c:pt idx="30">
                  <c:v>0.40600628807184136</c:v>
                </c:pt>
                <c:pt idx="31">
                  <c:v>0.40340292604358208</c:v>
                </c:pt>
                <c:pt idx="32">
                  <c:v>0.40098042489973207</c:v>
                </c:pt>
                <c:pt idx="33">
                  <c:v>0.39873495711718798</c:v>
                </c:pt>
                <c:pt idx="34">
                  <c:v>0.39666313527459496</c:v>
                </c:pt>
                <c:pt idx="35">
                  <c:v>0.39476200393388211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1BC6-4334-A096-6997EA2B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06800"/>
        <c:axId val="1509255392"/>
      </c:lineChart>
      <c:catAx>
        <c:axId val="5720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55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925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LCOE (2016</a:t>
                </a:r>
                <a:r>
                  <a:rPr lang="en-US" baseline="0"/>
                  <a:t> R/kWh)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68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Levelised Cost of Energy from Wind Power: 2015 - 2050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785-49A9-BFCE-02E359875EC7}"/>
                </c:ext>
              </c:extLst>
            </c:dLbl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85-49A9-BFCE-02E359875EC7}"/>
                </c:ext>
              </c:extLst>
            </c:dLbl>
            <c:dLbl>
              <c:idx val="2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785-49A9-BFCE-02E359875EC7}"/>
                </c:ext>
              </c:extLst>
            </c:dLbl>
            <c:dLbl>
              <c:idx val="3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85-49A9-BFCE-02E359875EC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'Wind Costs &amp; Learning'!$C$26:$AL$26</c:f>
              <c:numCache>
                <c:formatCode>0.00</c:formatCode>
                <c:ptCount val="36"/>
                <c:pt idx="0">
                  <c:v>0.61508444641598004</c:v>
                </c:pt>
                <c:pt idx="1">
                  <c:v>0.60148116512293825</c:v>
                </c:pt>
                <c:pt idx="2">
                  <c:v>0.58866442196823288</c:v>
                </c:pt>
                <c:pt idx="3">
                  <c:v>0.57657460808373673</c:v>
                </c:pt>
                <c:pt idx="4">
                  <c:v>0.56515821621143947</c:v>
                </c:pt>
                <c:pt idx="5">
                  <c:v>0.55436709296861664</c:v>
                </c:pt>
                <c:pt idx="6">
                  <c:v>0.54407054948979428</c:v>
                </c:pt>
                <c:pt idx="7">
                  <c:v>0.53392950498031333</c:v>
                </c:pt>
                <c:pt idx="8">
                  <c:v>0.52452282812253603</c:v>
                </c:pt>
                <c:pt idx="9">
                  <c:v>0.51561161282027856</c:v>
                </c:pt>
                <c:pt idx="10">
                  <c:v>0.50716527725643168</c:v>
                </c:pt>
                <c:pt idx="11">
                  <c:v>0.49915597259607491</c:v>
                </c:pt>
                <c:pt idx="12">
                  <c:v>0.49155827949712227</c:v>
                </c:pt>
                <c:pt idx="13">
                  <c:v>0.48434896781218828</c:v>
                </c:pt>
                <c:pt idx="14">
                  <c:v>0.47750678022359988</c:v>
                </c:pt>
                <c:pt idx="15">
                  <c:v>0.47101224480998838</c:v>
                </c:pt>
                <c:pt idx="16">
                  <c:v>0.46484750422317789</c:v>
                </c:pt>
                <c:pt idx="17">
                  <c:v>0.45899616741843735</c:v>
                </c:pt>
                <c:pt idx="18">
                  <c:v>0.45344318122077032</c:v>
                </c:pt>
                <c:pt idx="19">
                  <c:v>0.44817470818425093</c:v>
                </c:pt>
                <c:pt idx="20">
                  <c:v>0.44317802608194723</c:v>
                </c:pt>
                <c:pt idx="21">
                  <c:v>0.43844143869770907</c:v>
                </c:pt>
                <c:pt idx="22">
                  <c:v>0.4339541910746616</c:v>
                </c:pt>
                <c:pt idx="23">
                  <c:v>0.42970639926562609</c:v>
                </c:pt>
                <c:pt idx="24">
                  <c:v>0.42568897697571001</c:v>
                </c:pt>
                <c:pt idx="25">
                  <c:v>0.42190365663524243</c:v>
                </c:pt>
                <c:pt idx="26">
                  <c:v>0.41832155988830322</c:v>
                </c:pt>
                <c:pt idx="27">
                  <c:v>0.41494688476353975</c:v>
                </c:pt>
                <c:pt idx="28">
                  <c:v>0.41177324039911989</c:v>
                </c:pt>
                <c:pt idx="29">
                  <c:v>0.40879480016175418</c:v>
                </c:pt>
                <c:pt idx="30">
                  <c:v>0.40600628807184136</c:v>
                </c:pt>
                <c:pt idx="31">
                  <c:v>0.40340292604358208</c:v>
                </c:pt>
                <c:pt idx="32">
                  <c:v>0.40098042489973207</c:v>
                </c:pt>
                <c:pt idx="33">
                  <c:v>0.39873495711718798</c:v>
                </c:pt>
                <c:pt idx="34">
                  <c:v>0.39666313527459496</c:v>
                </c:pt>
                <c:pt idx="35">
                  <c:v>0.39476200393388211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Optimistic Learning</c:v>
                </c15:tx>
              </c15:filteredSeriesTitle>
            </c:ext>
            <c:ext xmlns:c16="http://schemas.microsoft.com/office/drawing/2014/chart" uri="{C3380CC4-5D6E-409C-BE32-E72D297353CC}">
              <c16:uniqueId val="{00000000-5785-49A9-BFCE-02E359875E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785-49A9-BFCE-02E359875EC7}"/>
                </c:ext>
              </c:extLst>
            </c:dLbl>
            <c:dLbl>
              <c:idx val="1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785-49A9-BFCE-02E359875EC7}"/>
                </c:ext>
              </c:extLst>
            </c:dLbl>
            <c:dLbl>
              <c:idx val="2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785-49A9-BFCE-02E359875EC7}"/>
                </c:ext>
              </c:extLst>
            </c:dLbl>
            <c:dLbl>
              <c:idx val="3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85-49A9-BFCE-02E359875EC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'Wind Costs &amp; Learning'!$C$27:$AL$27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0.61508444641598004</c:v>
                </c:pt>
                <c:pt idx="6">
                  <c:v>0.60971532403918027</c:v>
                </c:pt>
                <c:pt idx="7">
                  <c:v>0.6041380071590603</c:v>
                </c:pt>
                <c:pt idx="8">
                  <c:v>0.59892054792768679</c:v>
                </c:pt>
                <c:pt idx="9">
                  <c:v>0.59386556937088064</c:v>
                </c:pt>
                <c:pt idx="10">
                  <c:v>0.58896744494578113</c:v>
                </c:pt>
                <c:pt idx="11">
                  <c:v>0.58422082825083721</c:v>
                </c:pt>
                <c:pt idx="12">
                  <c:v>0.57962066287197811</c:v>
                </c:pt>
                <c:pt idx="13">
                  <c:v>0.57516213546044415</c:v>
                </c:pt>
                <c:pt idx="14">
                  <c:v>0.57084067779719716</c:v>
                </c:pt>
                <c:pt idx="15">
                  <c:v>0.56665195273234781</c:v>
                </c:pt>
                <c:pt idx="16">
                  <c:v>0.56259183454369976</c:v>
                </c:pt>
                <c:pt idx="17">
                  <c:v>0.5586564035280176</c:v>
                </c:pt>
                <c:pt idx="18">
                  <c:v>0.55484192818808376</c:v>
                </c:pt>
                <c:pt idx="19">
                  <c:v>0.55114485811923053</c:v>
                </c:pt>
                <c:pt idx="20">
                  <c:v>0.54756181427783213</c:v>
                </c:pt>
                <c:pt idx="21">
                  <c:v>0.54408958631255933</c:v>
                </c:pt>
                <c:pt idx="22">
                  <c:v>0.5407251048216023</c:v>
                </c:pt>
                <c:pt idx="23">
                  <c:v>0.53746545913571531</c:v>
                </c:pt>
                <c:pt idx="24">
                  <c:v>0.53430787069214969</c:v>
                </c:pt>
                <c:pt idx="25">
                  <c:v>0.53125193939801307</c:v>
                </c:pt>
                <c:pt idx="26">
                  <c:v>0.52829041488151762</c:v>
                </c:pt>
                <c:pt idx="27">
                  <c:v>0.52542338489057339</c:v>
                </c:pt>
                <c:pt idx="28">
                  <c:v>0.52264855708126212</c:v>
                </c:pt>
                <c:pt idx="29">
                  <c:v>0.5199637535789996</c:v>
                </c:pt>
                <c:pt idx="30">
                  <c:v>0.5173668966698004</c:v>
                </c:pt>
                <c:pt idx="31">
                  <c:v>0.51485601036096218</c:v>
                </c:pt>
                <c:pt idx="32">
                  <c:v>0.51242920986936824</c:v>
                </c:pt>
                <c:pt idx="33">
                  <c:v>0.51008470065459655</c:v>
                </c:pt>
                <c:pt idx="34">
                  <c:v>0.50782077764311284</c:v>
                </c:pt>
                <c:pt idx="35">
                  <c:v>0.50563581555073767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Expected Learning</c:v>
                </c15:tx>
              </c15:filteredSeriesTitle>
            </c:ext>
            <c:ext xmlns:c16="http://schemas.microsoft.com/office/drawing/2014/chart" uri="{C3380CC4-5D6E-409C-BE32-E72D297353CC}">
              <c16:uniqueId val="{00000001-5785-49A9-BFCE-02E359875EC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9643482064741905E-3"/>
                  <c:y val="-5.094089801274839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85-49A9-BFCE-02E359875EC7}"/>
                </c:ext>
              </c:extLst>
            </c:dLbl>
            <c:dLbl>
              <c:idx val="1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785-49A9-BFCE-02E359875EC7}"/>
                </c:ext>
              </c:extLst>
            </c:dLbl>
            <c:dLbl>
              <c:idx val="2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785-49A9-BFCE-02E359875EC7}"/>
                </c:ext>
              </c:extLst>
            </c:dLbl>
            <c:dLbl>
              <c:idx val="3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785-49A9-BFCE-02E359875EC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'Wind Costs &amp; Learning'!$C$28:$AL$28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0.62134757794679907</c:v>
                </c:pt>
                <c:pt idx="6">
                  <c:v>0.62134757794679907</c:v>
                </c:pt>
                <c:pt idx="7">
                  <c:v>0.62134757794679907</c:v>
                </c:pt>
                <c:pt idx="8">
                  <c:v>0.62134757794679907</c:v>
                </c:pt>
                <c:pt idx="9">
                  <c:v>0.62134757794679907</c:v>
                </c:pt>
                <c:pt idx="10">
                  <c:v>0.62134757794679907</c:v>
                </c:pt>
                <c:pt idx="11">
                  <c:v>0.62134757794679907</c:v>
                </c:pt>
                <c:pt idx="12">
                  <c:v>0.62134757794679907</c:v>
                </c:pt>
                <c:pt idx="13">
                  <c:v>0.62134757794679907</c:v>
                </c:pt>
                <c:pt idx="14">
                  <c:v>0.62134757794679907</c:v>
                </c:pt>
                <c:pt idx="15">
                  <c:v>0.62134757794679907</c:v>
                </c:pt>
                <c:pt idx="16">
                  <c:v>0.62134757794679907</c:v>
                </c:pt>
                <c:pt idx="17">
                  <c:v>0.62134757794679907</c:v>
                </c:pt>
                <c:pt idx="18">
                  <c:v>0.62134757794679907</c:v>
                </c:pt>
                <c:pt idx="19">
                  <c:v>0.62134757794679907</c:v>
                </c:pt>
                <c:pt idx="20">
                  <c:v>0.62134757794679907</c:v>
                </c:pt>
                <c:pt idx="21">
                  <c:v>0.62134757794679907</c:v>
                </c:pt>
                <c:pt idx="22">
                  <c:v>0.62134757794679907</c:v>
                </c:pt>
                <c:pt idx="23">
                  <c:v>0.62134757794679907</c:v>
                </c:pt>
                <c:pt idx="24">
                  <c:v>0.62134757794679907</c:v>
                </c:pt>
                <c:pt idx="25">
                  <c:v>0.62134757794679907</c:v>
                </c:pt>
                <c:pt idx="26">
                  <c:v>0.62134757794679907</c:v>
                </c:pt>
                <c:pt idx="27">
                  <c:v>0.62134757794679907</c:v>
                </c:pt>
                <c:pt idx="28">
                  <c:v>0.62134757794679907</c:v>
                </c:pt>
                <c:pt idx="29">
                  <c:v>0.62134757794679907</c:v>
                </c:pt>
                <c:pt idx="30">
                  <c:v>0.62134757794679907</c:v>
                </c:pt>
                <c:pt idx="31">
                  <c:v>0.62134757794679907</c:v>
                </c:pt>
                <c:pt idx="32">
                  <c:v>0.62134757794679907</c:v>
                </c:pt>
                <c:pt idx="33">
                  <c:v>0.62134757794679907</c:v>
                </c:pt>
                <c:pt idx="34">
                  <c:v>0.62134757794679907</c:v>
                </c:pt>
                <c:pt idx="35">
                  <c:v>0.62134757794679907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No Learning</c:v>
                </c15:tx>
              </c15:filteredSeriesTitle>
            </c:ext>
            <c:ext xmlns:c16="http://schemas.microsoft.com/office/drawing/2014/chart" uri="{C3380CC4-5D6E-409C-BE32-E72D297353CC}">
              <c16:uniqueId val="{00000002-5785-49A9-BFCE-02E359875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06800"/>
        <c:axId val="1509255392"/>
      </c:scatterChart>
      <c:valAx>
        <c:axId val="572006800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55392"/>
        <c:crosses val="autoZero"/>
        <c:crossBetween val="midCat"/>
      </c:valAx>
      <c:valAx>
        <c:axId val="150925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LCOE (2016</a:t>
                </a:r>
                <a:r>
                  <a:rPr lang="en-US" baseline="0"/>
                  <a:t> R/kWh)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REIPPPP Wind Tariff Price Trends (April 2016 R/kWh)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 Costs &amp; Learning (data)'!$D$4</c:f>
              <c:strCache>
                <c:ptCount val="1"/>
                <c:pt idx="0">
                  <c:v>Capacity MW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(data)'!$E$4:$I$4</c:f>
              <c:numCache>
                <c:formatCode>General</c:formatCode>
                <c:ptCount val="5"/>
                <c:pt idx="0">
                  <c:v>649</c:v>
                </c:pt>
                <c:pt idx="1">
                  <c:v>559</c:v>
                </c:pt>
                <c:pt idx="2">
                  <c:v>787</c:v>
                </c:pt>
                <c:pt idx="3">
                  <c:v>1363</c:v>
                </c:pt>
                <c:pt idx="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2-48D8-8C3E-0E8699DE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991408"/>
        <c:axId val="546129616"/>
      </c:barChart>
      <c:lineChart>
        <c:grouping val="standard"/>
        <c:varyColors val="0"/>
        <c:ser>
          <c:idx val="1"/>
          <c:order val="1"/>
          <c:tx>
            <c:strRef>
              <c:f>'Wind Costs &amp; Learning (data)'!$D$5</c:f>
              <c:strCache>
                <c:ptCount val="1"/>
                <c:pt idx="0">
                  <c:v>Average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00FF"/>
              </a:solidFill>
              <a:ln w="6350">
                <a:solidFill>
                  <a:schemeClr val="tx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(data)'!$E$5:$I$5</c:f>
              <c:numCache>
                <c:formatCode>General</c:formatCode>
                <c:ptCount val="5"/>
                <c:pt idx="0">
                  <c:v>1.51</c:v>
                </c:pt>
                <c:pt idx="1">
                  <c:v>1.19</c:v>
                </c:pt>
                <c:pt idx="2">
                  <c:v>0.87</c:v>
                </c:pt>
                <c:pt idx="3">
                  <c:v>0.75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2-48D8-8C3E-0E8699DE4A73}"/>
            </c:ext>
          </c:extLst>
        </c:ser>
        <c:ser>
          <c:idx val="2"/>
          <c:order val="2"/>
          <c:tx>
            <c:strRef>
              <c:f>'Wind Costs &amp; Learning (data)'!$D$6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(data)'!$E$6:$I$6</c:f>
              <c:numCache>
                <c:formatCode>General</c:formatCode>
                <c:ptCount val="5"/>
                <c:pt idx="0">
                  <c:v>1.47</c:v>
                </c:pt>
                <c:pt idx="1">
                  <c:v>1.06</c:v>
                </c:pt>
                <c:pt idx="2">
                  <c:v>0.78</c:v>
                </c:pt>
                <c:pt idx="3">
                  <c:v>0.62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2-48D8-8C3E-0E8699DE4A73}"/>
            </c:ext>
          </c:extLst>
        </c:ser>
        <c:ser>
          <c:idx val="3"/>
          <c:order val="3"/>
          <c:tx>
            <c:strRef>
              <c:f>'Wind Costs &amp; Learning (data)'!$D$7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(data)'!$E$7:$I$7</c:f>
              <c:numCache>
                <c:formatCode>General</c:formatCode>
                <c:ptCount val="5"/>
                <c:pt idx="0">
                  <c:v>1.52</c:v>
                </c:pt>
                <c:pt idx="1">
                  <c:v>1.29</c:v>
                </c:pt>
                <c:pt idx="2">
                  <c:v>0.94</c:v>
                </c:pt>
                <c:pt idx="3">
                  <c:v>0.84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2-48D8-8C3E-0E8699DE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352112"/>
        <c:axId val="220513712"/>
      </c:lineChart>
      <c:catAx>
        <c:axId val="14873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3712"/>
        <c:crosses val="autoZero"/>
        <c:auto val="1"/>
        <c:lblAlgn val="ctr"/>
        <c:lblOffset val="100"/>
        <c:noMultiLvlLbl val="0"/>
      </c:catAx>
      <c:valAx>
        <c:axId val="2205137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52112"/>
        <c:crosses val="autoZero"/>
        <c:crossBetween val="between"/>
      </c:valAx>
      <c:valAx>
        <c:axId val="546129616"/>
        <c:scaling>
          <c:orientation val="minMax"/>
          <c:max val="20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91408"/>
        <c:crosses val="max"/>
        <c:crossBetween val="between"/>
        <c:majorUnit val="500"/>
      </c:valAx>
      <c:catAx>
        <c:axId val="57199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129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Tariff Price Trends (April 2016 R/kWh)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 Costs &amp; Learning (data)'!$D$4</c:f>
              <c:strCache>
                <c:ptCount val="1"/>
                <c:pt idx="0">
                  <c:v>Capacity MW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(data)'!$E$4:$I$4</c:f>
              <c:numCache>
                <c:formatCode>General</c:formatCode>
                <c:ptCount val="5"/>
                <c:pt idx="0">
                  <c:v>649</c:v>
                </c:pt>
                <c:pt idx="1">
                  <c:v>559</c:v>
                </c:pt>
                <c:pt idx="2">
                  <c:v>787</c:v>
                </c:pt>
                <c:pt idx="3">
                  <c:v>1363</c:v>
                </c:pt>
                <c:pt idx="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E-4FF9-8C7A-9518EEF2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991408"/>
        <c:axId val="546129616"/>
      </c:barChart>
      <c:lineChart>
        <c:grouping val="standard"/>
        <c:varyColors val="0"/>
        <c:ser>
          <c:idx val="1"/>
          <c:order val="1"/>
          <c:tx>
            <c:strRef>
              <c:f>'Wind Costs &amp; Learning (data)'!$D$5</c:f>
              <c:strCache>
                <c:ptCount val="1"/>
                <c:pt idx="0">
                  <c:v>Average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00FF"/>
              </a:solidFill>
              <a:ln w="6350">
                <a:solidFill>
                  <a:schemeClr val="tx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(data)'!$E$5:$I$5</c:f>
              <c:numCache>
                <c:formatCode>General</c:formatCode>
                <c:ptCount val="5"/>
                <c:pt idx="0">
                  <c:v>1.51</c:v>
                </c:pt>
                <c:pt idx="1">
                  <c:v>1.19</c:v>
                </c:pt>
                <c:pt idx="2">
                  <c:v>0.87</c:v>
                </c:pt>
                <c:pt idx="3">
                  <c:v>0.75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E-4FF9-8C7A-9518EEF2F8F5}"/>
            </c:ext>
          </c:extLst>
        </c:ser>
        <c:ser>
          <c:idx val="2"/>
          <c:order val="2"/>
          <c:tx>
            <c:strRef>
              <c:f>'Wind Costs &amp; Learning (data)'!$D$6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(data)'!$E$6:$I$6</c:f>
              <c:numCache>
                <c:formatCode>General</c:formatCode>
                <c:ptCount val="5"/>
                <c:pt idx="0">
                  <c:v>1.47</c:v>
                </c:pt>
                <c:pt idx="1">
                  <c:v>1.06</c:v>
                </c:pt>
                <c:pt idx="2">
                  <c:v>0.78</c:v>
                </c:pt>
                <c:pt idx="3">
                  <c:v>0.62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E-4FF9-8C7A-9518EEF2F8F5}"/>
            </c:ext>
          </c:extLst>
        </c:ser>
        <c:ser>
          <c:idx val="3"/>
          <c:order val="3"/>
          <c:tx>
            <c:strRef>
              <c:f>'Wind Costs &amp; Learning (data)'!$D$7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(data)'!$E$7:$I$7</c:f>
              <c:numCache>
                <c:formatCode>General</c:formatCode>
                <c:ptCount val="5"/>
                <c:pt idx="0">
                  <c:v>1.52</c:v>
                </c:pt>
                <c:pt idx="1">
                  <c:v>1.29</c:v>
                </c:pt>
                <c:pt idx="2">
                  <c:v>0.94</c:v>
                </c:pt>
                <c:pt idx="3">
                  <c:v>0.84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CE-4FF9-8C7A-9518EEF2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352112"/>
        <c:axId val="220513712"/>
      </c:lineChart>
      <c:catAx>
        <c:axId val="14873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3712"/>
        <c:crosses val="autoZero"/>
        <c:auto val="1"/>
        <c:lblAlgn val="ctr"/>
        <c:lblOffset val="100"/>
        <c:noMultiLvlLbl val="0"/>
      </c:catAx>
      <c:valAx>
        <c:axId val="2205137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52112"/>
        <c:crosses val="autoZero"/>
        <c:crossBetween val="between"/>
      </c:valAx>
      <c:valAx>
        <c:axId val="546129616"/>
        <c:scaling>
          <c:orientation val="minMax"/>
          <c:max val="20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91408"/>
        <c:crosses val="max"/>
        <c:crossBetween val="between"/>
        <c:majorUnit val="500"/>
      </c:valAx>
      <c:catAx>
        <c:axId val="57199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129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120" normalizeH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sz="1400" cap="none" baseline="0"/>
              <a:t>Solar PV System Cost - Utiliy Scale (Fixed-Tilt)</a:t>
            </a:r>
          </a:p>
          <a:p>
            <a:pPr>
              <a:defRPr sz="1400" cap="none"/>
            </a:pPr>
            <a:r>
              <a:rPr lang="en-US" sz="1400" cap="none" baseline="0"/>
              <a:t>(2015 USD/kWp AC)</a:t>
            </a:r>
          </a:p>
        </c:rich>
      </c:tx>
      <c:layout>
        <c:manualLayout>
          <c:xMode val="edge"/>
          <c:yMode val="edge"/>
          <c:x val="0.25222866779639608"/>
          <c:y val="1.76799121345756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120" normalizeH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8694455171574"/>
          <c:y val="0.21780320860137517"/>
          <c:w val="0.85451306132754834"/>
          <c:h val="0.7188433278027968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'Utility PV - Global Projections'!$B$2</c:f>
              <c:strCache>
                <c:ptCount val="1"/>
                <c:pt idx="0">
                  <c:v>IRENA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'Utility PV - Global Projections'!$A$3:$A$38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 formatCode="0">
                  <c:v>2050</c:v>
                </c:pt>
              </c:numCache>
            </c:numRef>
          </c:xVal>
          <c:yVal>
            <c:numRef>
              <c:f>'Utility PV - Global Projections'!$B$3:$B$38</c:f>
              <c:numCache>
                <c:formatCode>0</c:formatCode>
                <c:ptCount val="36"/>
                <c:pt idx="0">
                  <c:v>1851</c:v>
                </c:pt>
                <c:pt idx="1">
                  <c:v>1634</c:v>
                </c:pt>
                <c:pt idx="2">
                  <c:v>1504</c:v>
                </c:pt>
                <c:pt idx="3">
                  <c:v>1391</c:v>
                </c:pt>
                <c:pt idx="4">
                  <c:v>1278</c:v>
                </c:pt>
                <c:pt idx="5">
                  <c:v>1183</c:v>
                </c:pt>
                <c:pt idx="6">
                  <c:v>1096</c:v>
                </c:pt>
                <c:pt idx="7">
                  <c:v>1009</c:v>
                </c:pt>
                <c:pt idx="8">
                  <c:v>931</c:v>
                </c:pt>
                <c:pt idx="9">
                  <c:v>870</c:v>
                </c:pt>
                <c:pt idx="10">
                  <c:v>809</c:v>
                </c:pt>
                <c:pt idx="11">
                  <c:v>800.99354037586284</c:v>
                </c:pt>
                <c:pt idx="12">
                  <c:v>793.30733913669121</c:v>
                </c:pt>
                <c:pt idx="13">
                  <c:v>785.92858594708639</c:v>
                </c:pt>
                <c:pt idx="14">
                  <c:v>778.84498288506575</c:v>
                </c:pt>
                <c:pt idx="15">
                  <c:v>772.04472394552602</c:v>
                </c:pt>
                <c:pt idx="16">
                  <c:v>765.51647536356779</c:v>
                </c:pt>
                <c:pt idx="17">
                  <c:v>759.24935672488789</c:v>
                </c:pt>
                <c:pt idx="18">
                  <c:v>753.23292283175522</c:v>
                </c:pt>
                <c:pt idx="19">
                  <c:v>747.45714629434781</c:v>
                </c:pt>
                <c:pt idx="20">
                  <c:v>741.91240081843671</c:v>
                </c:pt>
                <c:pt idx="21">
                  <c:v>736.58944516156214</c:v>
                </c:pt>
                <c:pt idx="22">
                  <c:v>731.47940773096252</c:v>
                </c:pt>
                <c:pt idx="23">
                  <c:v>726.57377179758691</c:v>
                </c:pt>
                <c:pt idx="24">
                  <c:v>721.8643613015463</c:v>
                </c:pt>
                <c:pt idx="25">
                  <c:v>717.34332722534725</c:v>
                </c:pt>
                <c:pt idx="26">
                  <c:v>713.0031345121962</c:v>
                </c:pt>
                <c:pt idx="27">
                  <c:v>708.83654950757125</c:v>
                </c:pt>
                <c:pt idx="28">
                  <c:v>704.83662790313122</c:v>
                </c:pt>
                <c:pt idx="29">
                  <c:v>700.99670316286881</c:v>
                </c:pt>
                <c:pt idx="30">
                  <c:v>697.3103754122169</c:v>
                </c:pt>
                <c:pt idx="31">
                  <c:v>693.77150077159104</c:v>
                </c:pt>
                <c:pt idx="32">
                  <c:v>690.37418111659019</c:v>
                </c:pt>
                <c:pt idx="33">
                  <c:v>687.11275424778944</c:v>
                </c:pt>
                <c:pt idx="34">
                  <c:v>683.98178445374072</c:v>
                </c:pt>
                <c:pt idx="35">
                  <c:v>680.97605345145394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3-4EFF-99BB-EA24DBB5544F}"/>
            </c:ext>
          </c:extLst>
        </c:ser>
        <c:ser>
          <c:idx val="4"/>
          <c:order val="1"/>
          <c:tx>
            <c:strRef>
              <c:f>'Utility PV - Global Projections'!$C$2</c:f>
              <c:strCache>
                <c:ptCount val="1"/>
                <c:pt idx="0">
                  <c:v>NREL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7291933755623348E-2"/>
                  <c:y val="-1.3344001408075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63-4EFF-99BB-EA24DBB554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63-4EFF-99BB-EA24DBB554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63-4EFF-99BB-EA24DBB554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63-4EFF-99BB-EA24DBB554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63-4EFF-99BB-EA24DBB5544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63-4EFF-99BB-EA24DBB5544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63-4EFF-99BB-EA24DBB5544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B63-4EFF-99BB-EA24DBB5544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B63-4EFF-99BB-EA24DBB5544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B63-4EFF-99BB-EA24DBB5544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B63-4EFF-99BB-EA24DBB5544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B63-4EFF-99BB-EA24DBB5544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B63-4EFF-99BB-EA24DBB5544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B63-4EFF-99BB-EA24DBB5544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B63-4EFF-99BB-EA24DBB5544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B63-4EFF-99BB-EA24DBB5544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B63-4EFF-99BB-EA24DBB5544F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B63-4EFF-99BB-EA24DBB5544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B63-4EFF-99BB-EA24DBB5544F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B63-4EFF-99BB-EA24DBB5544F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B63-4EFF-99BB-EA24DBB5544F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B63-4EFF-99BB-EA24DBB5544F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B63-4EFF-99BB-EA24DBB5544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B63-4EFF-99BB-EA24DBB5544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B63-4EFF-99BB-EA24DBB5544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B63-4EFF-99BB-EA24DBB5544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B63-4EFF-99BB-EA24DBB5544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B63-4EFF-99BB-EA24DBB5544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B63-4EFF-99BB-EA24DBB5544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'Utility PV - Global Projections'!$A$3:$A$38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 formatCode="0">
                  <c:v>2050</c:v>
                </c:pt>
              </c:numCache>
            </c:numRef>
          </c:xVal>
          <c:yVal>
            <c:numRef>
              <c:f>'Utility PV - Global Projections'!$C$3:$C$38</c:f>
              <c:numCache>
                <c:formatCode>0</c:formatCode>
                <c:ptCount val="36"/>
                <c:pt idx="0">
                  <c:v>1942.4171494312561</c:v>
                </c:pt>
                <c:pt idx="1">
                  <c:v>1843.7059197502595</c:v>
                </c:pt>
                <c:pt idx="2">
                  <c:v>1744.9946900692628</c:v>
                </c:pt>
                <c:pt idx="3">
                  <c:v>1646.2834603882663</c:v>
                </c:pt>
                <c:pt idx="4">
                  <c:v>1547.5722307072697</c:v>
                </c:pt>
                <c:pt idx="5">
                  <c:v>1448.8610010262726</c:v>
                </c:pt>
                <c:pt idx="6">
                  <c:v>1379.918497400155</c:v>
                </c:pt>
                <c:pt idx="7">
                  <c:v>1310.9759937740373</c:v>
                </c:pt>
                <c:pt idx="8">
                  <c:v>1242.0334901479196</c:v>
                </c:pt>
                <c:pt idx="9">
                  <c:v>1173.0909865218018</c:v>
                </c:pt>
                <c:pt idx="10">
                  <c:v>1104.1484828956843</c:v>
                </c:pt>
                <c:pt idx="11">
                  <c:v>1091.4389416409294</c:v>
                </c:pt>
                <c:pt idx="12">
                  <c:v>1078.7294003861748</c:v>
                </c:pt>
                <c:pt idx="13">
                  <c:v>1066.0198591314199</c:v>
                </c:pt>
                <c:pt idx="14">
                  <c:v>1053.3103178766653</c:v>
                </c:pt>
                <c:pt idx="15">
                  <c:v>1040.6007766219102</c:v>
                </c:pt>
                <c:pt idx="16">
                  <c:v>1030.3551644831705</c:v>
                </c:pt>
                <c:pt idx="17">
                  <c:v>1020.1095523444308</c:v>
                </c:pt>
                <c:pt idx="18">
                  <c:v>1009.8639402056911</c:v>
                </c:pt>
                <c:pt idx="19">
                  <c:v>999.61832806695122</c:v>
                </c:pt>
                <c:pt idx="20">
                  <c:v>989.37271592821162</c:v>
                </c:pt>
                <c:pt idx="21">
                  <c:v>979.12710378947179</c:v>
                </c:pt>
                <c:pt idx="22">
                  <c:v>968.88149165073207</c:v>
                </c:pt>
                <c:pt idx="23">
                  <c:v>958.63587951199224</c:v>
                </c:pt>
                <c:pt idx="24">
                  <c:v>948.39026737325253</c:v>
                </c:pt>
                <c:pt idx="25">
                  <c:v>938.14465523451304</c:v>
                </c:pt>
                <c:pt idx="26">
                  <c:v>929.49944440934723</c:v>
                </c:pt>
                <c:pt idx="27">
                  <c:v>920.85423358418154</c:v>
                </c:pt>
                <c:pt idx="28">
                  <c:v>912.20902275901585</c:v>
                </c:pt>
                <c:pt idx="29">
                  <c:v>903.56381193385005</c:v>
                </c:pt>
                <c:pt idx="30">
                  <c:v>894.91860110868447</c:v>
                </c:pt>
                <c:pt idx="31">
                  <c:v>886.27339028351878</c:v>
                </c:pt>
                <c:pt idx="32">
                  <c:v>877.62817945835297</c:v>
                </c:pt>
                <c:pt idx="33">
                  <c:v>868.98296863318728</c:v>
                </c:pt>
                <c:pt idx="34">
                  <c:v>860.33775780802159</c:v>
                </c:pt>
                <c:pt idx="35">
                  <c:v>851.69254698285602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3B63-4EFF-99BB-EA24DBB5544F}"/>
            </c:ext>
          </c:extLst>
        </c:ser>
        <c:ser>
          <c:idx val="6"/>
          <c:order val="2"/>
          <c:tx>
            <c:strRef>
              <c:f>'Utility PV - Global Projections'!$F$2</c:f>
              <c:strCache>
                <c:ptCount val="1"/>
                <c:pt idx="0">
                  <c:v>Fraunhofer High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'Utility PV - Global Projections'!$A$3:$A$38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 formatCode="0">
                  <c:v>2050</c:v>
                </c:pt>
              </c:numCache>
            </c:numRef>
          </c:xVal>
          <c:yVal>
            <c:numRef>
              <c:f>'Utility PV - Global Projections'!$F$3:$F$38</c:f>
              <c:numCache>
                <c:formatCode>0</c:formatCode>
                <c:ptCount val="36"/>
                <c:pt idx="0">
                  <c:v>1318.75</c:v>
                </c:pt>
                <c:pt idx="1">
                  <c:v>1278</c:v>
                </c:pt>
                <c:pt idx="2">
                  <c:v>1237.25</c:v>
                </c:pt>
                <c:pt idx="3">
                  <c:v>1196.5</c:v>
                </c:pt>
                <c:pt idx="4">
                  <c:v>1155.75</c:v>
                </c:pt>
                <c:pt idx="5">
                  <c:v>1115</c:v>
                </c:pt>
                <c:pt idx="6">
                  <c:v>1094.4999999999998</c:v>
                </c:pt>
                <c:pt idx="7">
                  <c:v>1073.9999999999998</c:v>
                </c:pt>
                <c:pt idx="8">
                  <c:v>1053.4999999999998</c:v>
                </c:pt>
                <c:pt idx="9">
                  <c:v>1033</c:v>
                </c:pt>
                <c:pt idx="10">
                  <c:v>1012.5</c:v>
                </c:pt>
                <c:pt idx="11">
                  <c:v>998.24999999999989</c:v>
                </c:pt>
                <c:pt idx="12">
                  <c:v>983.99999999999989</c:v>
                </c:pt>
                <c:pt idx="13">
                  <c:v>969.74999999999989</c:v>
                </c:pt>
                <c:pt idx="14">
                  <c:v>955.49999999999989</c:v>
                </c:pt>
                <c:pt idx="15">
                  <c:v>941.25</c:v>
                </c:pt>
                <c:pt idx="16">
                  <c:v>930.50000000000011</c:v>
                </c:pt>
                <c:pt idx="17">
                  <c:v>919.75</c:v>
                </c:pt>
                <c:pt idx="18">
                  <c:v>909</c:v>
                </c:pt>
                <c:pt idx="19">
                  <c:v>898.25</c:v>
                </c:pt>
                <c:pt idx="20">
                  <c:v>887.5</c:v>
                </c:pt>
                <c:pt idx="21">
                  <c:v>883.75000000000011</c:v>
                </c:pt>
                <c:pt idx="22">
                  <c:v>873.00000000000011</c:v>
                </c:pt>
                <c:pt idx="23">
                  <c:v>862.25</c:v>
                </c:pt>
                <c:pt idx="24">
                  <c:v>851.5</c:v>
                </c:pt>
                <c:pt idx="25">
                  <c:v>842.5</c:v>
                </c:pt>
                <c:pt idx="26">
                  <c:v>834.49999999999989</c:v>
                </c:pt>
                <c:pt idx="27">
                  <c:v>826.49999999999989</c:v>
                </c:pt>
                <c:pt idx="28">
                  <c:v>818.49999999999989</c:v>
                </c:pt>
                <c:pt idx="29">
                  <c:v>810.49999999999989</c:v>
                </c:pt>
                <c:pt idx="30">
                  <c:v>802.5</c:v>
                </c:pt>
                <c:pt idx="31">
                  <c:v>793.50000000000023</c:v>
                </c:pt>
                <c:pt idx="32">
                  <c:v>784.50000000000011</c:v>
                </c:pt>
                <c:pt idx="33">
                  <c:v>775.50000000000011</c:v>
                </c:pt>
                <c:pt idx="34">
                  <c:v>766.5</c:v>
                </c:pt>
                <c:pt idx="35">
                  <c:v>757.5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3B63-4EFF-99BB-EA24DBB5544F}"/>
            </c:ext>
          </c:extLst>
        </c:ser>
        <c:ser>
          <c:idx val="3"/>
          <c:order val="3"/>
          <c:tx>
            <c:strRef>
              <c:f>'Utility PV - Global Projections'!$G$2</c:f>
              <c:strCache>
                <c:ptCount val="1"/>
                <c:pt idx="0">
                  <c:v>Fraunhofer Low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2836038488563042E-2"/>
                  <c:y val="5.895213937288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B63-4EFF-99BB-EA24DBB554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B63-4EFF-99BB-EA24DBB554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B63-4EFF-99BB-EA24DBB554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B63-4EFF-99BB-EA24DBB554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B63-4EFF-99BB-EA24DBB5544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B63-4EFF-99BB-EA24DBB5544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B63-4EFF-99BB-EA24DBB5544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B63-4EFF-99BB-EA24DBB5544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B63-4EFF-99BB-EA24DBB5544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B63-4EFF-99BB-EA24DBB5544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B63-4EFF-99BB-EA24DBB5544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B63-4EFF-99BB-EA24DBB5544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B63-4EFF-99BB-EA24DBB5544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B63-4EFF-99BB-EA24DBB5544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B63-4EFF-99BB-EA24DBB5544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B63-4EFF-99BB-EA24DBB5544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B63-4EFF-99BB-EA24DBB5544F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3B63-4EFF-99BB-EA24DBB5544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B63-4EFF-99BB-EA24DBB5544F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B63-4EFF-99BB-EA24DBB5544F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B63-4EFF-99BB-EA24DBB5544F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3B63-4EFF-99BB-EA24DBB5544F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B63-4EFF-99BB-EA24DBB5544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3B63-4EFF-99BB-EA24DBB5544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B63-4EFF-99BB-EA24DBB5544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3B63-4EFF-99BB-EA24DBB5544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B63-4EFF-99BB-EA24DBB5544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3B63-4EFF-99BB-EA24DBB5544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B63-4EFF-99BB-EA24DBB5544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'Utility PV - Global Projections'!$A$3:$A$38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 formatCode="0">
                  <c:v>2050</c:v>
                </c:pt>
              </c:numCache>
            </c:numRef>
          </c:xVal>
          <c:yVal>
            <c:numRef>
              <c:f>'Utility PV - Global Projections'!$G$3:$G$38</c:f>
              <c:numCache>
                <c:formatCode>0</c:formatCode>
                <c:ptCount val="36"/>
                <c:pt idx="0">
                  <c:v>1318.75</c:v>
                </c:pt>
                <c:pt idx="1">
                  <c:v>1244.7500000000002</c:v>
                </c:pt>
                <c:pt idx="2">
                  <c:v>1170.75</c:v>
                </c:pt>
                <c:pt idx="3">
                  <c:v>1096.75</c:v>
                </c:pt>
                <c:pt idx="4">
                  <c:v>1022.75</c:v>
                </c:pt>
                <c:pt idx="5">
                  <c:v>948.75</c:v>
                </c:pt>
                <c:pt idx="6">
                  <c:v>922.25000000000023</c:v>
                </c:pt>
                <c:pt idx="7">
                  <c:v>895.75000000000011</c:v>
                </c:pt>
                <c:pt idx="8">
                  <c:v>869.25000000000011</c:v>
                </c:pt>
                <c:pt idx="9">
                  <c:v>842.75</c:v>
                </c:pt>
                <c:pt idx="10">
                  <c:v>816.25</c:v>
                </c:pt>
                <c:pt idx="11">
                  <c:v>796.49999999999977</c:v>
                </c:pt>
                <c:pt idx="12">
                  <c:v>776.74999999999977</c:v>
                </c:pt>
                <c:pt idx="13">
                  <c:v>756.99999999999989</c:v>
                </c:pt>
                <c:pt idx="14">
                  <c:v>737.24999999999989</c:v>
                </c:pt>
                <c:pt idx="15">
                  <c:v>717.5</c:v>
                </c:pt>
                <c:pt idx="16">
                  <c:v>697.5</c:v>
                </c:pt>
                <c:pt idx="17">
                  <c:v>677.5</c:v>
                </c:pt>
                <c:pt idx="18">
                  <c:v>657.5</c:v>
                </c:pt>
                <c:pt idx="19">
                  <c:v>637.5</c:v>
                </c:pt>
                <c:pt idx="20">
                  <c:v>617.5</c:v>
                </c:pt>
                <c:pt idx="21">
                  <c:v>610.49999999999989</c:v>
                </c:pt>
                <c:pt idx="22">
                  <c:v>590.49999999999989</c:v>
                </c:pt>
                <c:pt idx="23">
                  <c:v>570.49999999999989</c:v>
                </c:pt>
                <c:pt idx="24">
                  <c:v>550.49999999999989</c:v>
                </c:pt>
                <c:pt idx="25">
                  <c:v>533.75</c:v>
                </c:pt>
                <c:pt idx="26">
                  <c:v>520</c:v>
                </c:pt>
                <c:pt idx="27">
                  <c:v>506.25</c:v>
                </c:pt>
                <c:pt idx="28">
                  <c:v>492.5</c:v>
                </c:pt>
                <c:pt idx="29">
                  <c:v>478.75</c:v>
                </c:pt>
                <c:pt idx="30">
                  <c:v>462.99999999999989</c:v>
                </c:pt>
                <c:pt idx="31">
                  <c:v>448.39999999999986</c:v>
                </c:pt>
                <c:pt idx="32">
                  <c:v>433.79999999999984</c:v>
                </c:pt>
                <c:pt idx="33">
                  <c:v>419.19999999999982</c:v>
                </c:pt>
                <c:pt idx="34">
                  <c:v>404.5999999999998</c:v>
                </c:pt>
                <c:pt idx="35">
                  <c:v>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3B63-4EFF-99BB-EA24DBB5544F}"/>
            </c:ext>
          </c:extLst>
        </c:ser>
        <c:ser>
          <c:idx val="7"/>
          <c:order val="4"/>
          <c:tx>
            <c:strRef>
              <c:f>'Utility PV - Global Projections'!$I$2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'Utility PV - Global Projections'!$A$3:$A$38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 formatCode="0">
                  <c:v>2050</c:v>
                </c:pt>
              </c:numCache>
            </c:numRef>
          </c:xVal>
          <c:yVal>
            <c:numRef>
              <c:f>'Utility PV - Global Projections'!$I$3:$I$38</c:f>
              <c:numCache>
                <c:formatCode>0</c:formatCode>
                <c:ptCount val="36"/>
                <c:pt idx="0">
                  <c:v>1549.9334298862511</c:v>
                </c:pt>
                <c:pt idx="1">
                  <c:v>1477.2537644028209</c:v>
                </c:pt>
                <c:pt idx="2">
                  <c:v>1403.8546705670994</c:v>
                </c:pt>
                <c:pt idx="3">
                  <c:v>1333.288910064711</c:v>
                </c:pt>
                <c:pt idx="4">
                  <c:v>1262.7231495623225</c:v>
                </c:pt>
                <c:pt idx="5">
                  <c:v>1195.1573890599343</c:v>
                </c:pt>
                <c:pt idx="6">
                  <c:v>1145.1780829000256</c:v>
                </c:pt>
                <c:pt idx="7">
                  <c:v>1095.1987767401172</c:v>
                </c:pt>
                <c:pt idx="8">
                  <c:v>1046.7194705802087</c:v>
                </c:pt>
                <c:pt idx="9">
                  <c:v>1001.0734977536335</c:v>
                </c:pt>
                <c:pt idx="10">
                  <c:v>955.42752492705824</c:v>
                </c:pt>
                <c:pt idx="11">
                  <c:v>930.15263589168751</c:v>
                </c:pt>
                <c:pt idx="12">
                  <c:v>904.93112325381082</c:v>
                </c:pt>
                <c:pt idx="13">
                  <c:v>879.76085195752876</c:v>
                </c:pt>
                <c:pt idx="14">
                  <c:v>854.63977234917729</c:v>
                </c:pt>
                <c:pt idx="15">
                  <c:v>829.56591676123935</c:v>
                </c:pt>
                <c:pt idx="16">
                  <c:v>818.64527330778981</c:v>
                </c:pt>
                <c:pt idx="17">
                  <c:v>807.76815151155313</c:v>
                </c:pt>
                <c:pt idx="18">
                  <c:v>796.93281050624103</c:v>
                </c:pt>
                <c:pt idx="19">
                  <c:v>786.13757906021647</c:v>
                </c:pt>
                <c:pt idx="20">
                  <c:v>775.38085279110817</c:v>
                </c:pt>
                <c:pt idx="21">
                  <c:v>767.99442482517225</c:v>
                </c:pt>
                <c:pt idx="22">
                  <c:v>757.31014989694904</c:v>
                </c:pt>
                <c:pt idx="23">
                  <c:v>746.65994188492994</c:v>
                </c:pt>
                <c:pt idx="24">
                  <c:v>736.04243811246636</c:v>
                </c:pt>
                <c:pt idx="25">
                  <c:v>726.28966374331003</c:v>
                </c:pt>
                <c:pt idx="26">
                  <c:v>717.16709648692392</c:v>
                </c:pt>
                <c:pt idx="27">
                  <c:v>708.07346384862547</c:v>
                </c:pt>
                <c:pt idx="28">
                  <c:v>699.00760844369108</c:v>
                </c:pt>
                <c:pt idx="29">
                  <c:v>689.96841918278642</c:v>
                </c:pt>
                <c:pt idx="30">
                  <c:v>680.62149608681693</c:v>
                </c:pt>
                <c:pt idx="31">
                  <c:v>671.32414850918485</c:v>
                </c:pt>
                <c:pt idx="32">
                  <c:v>662.05039342915711</c:v>
                </c:pt>
                <c:pt idx="33">
                  <c:v>652.79928714682944</c:v>
                </c:pt>
                <c:pt idx="34">
                  <c:v>643.56992371029366</c:v>
                </c:pt>
                <c:pt idx="35">
                  <c:v>634.36143340571834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3B63-4EFF-99BB-EA24DBB5544F}"/>
            </c:ext>
          </c:extLst>
        </c:ser>
        <c:ser>
          <c:idx val="2"/>
          <c:order val="5"/>
          <c:tx>
            <c:strRef>
              <c:f>'Utility PV - Global Projections'!$E$2</c:f>
              <c:strCache>
                <c:ptCount val="1"/>
                <c:pt idx="0">
                  <c:v>CSIR low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'Utility PV - Global Projections'!$A$3:$A$38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 formatCode="0">
                  <c:v>2050</c:v>
                </c:pt>
              </c:numCache>
            </c:numRef>
          </c:xVal>
          <c:yVal>
            <c:numRef>
              <c:f>'Utility PV - Global Projections'!$E$3:$E$38</c:f>
              <c:numCache>
                <c:formatCode>0</c:formatCode>
                <c:ptCount val="36"/>
                <c:pt idx="0">
                  <c:v>1480</c:v>
                </c:pt>
                <c:pt idx="1">
                  <c:v>1426.7333333333333</c:v>
                </c:pt>
                <c:pt idx="2">
                  <c:v>1373.4666666666667</c:v>
                </c:pt>
                <c:pt idx="3">
                  <c:v>1320.2</c:v>
                </c:pt>
                <c:pt idx="4">
                  <c:v>1266.9333333333334</c:v>
                </c:pt>
                <c:pt idx="5">
                  <c:v>1213.6666666666667</c:v>
                </c:pt>
                <c:pt idx="6">
                  <c:v>1160.4000000000001</c:v>
                </c:pt>
                <c:pt idx="7">
                  <c:v>1107.1333333333334</c:v>
                </c:pt>
                <c:pt idx="8">
                  <c:v>1053.8666666666668</c:v>
                </c:pt>
                <c:pt idx="9">
                  <c:v>1000.6000000000001</c:v>
                </c:pt>
                <c:pt idx="10">
                  <c:v>947.33333333333348</c:v>
                </c:pt>
                <c:pt idx="11">
                  <c:v>894.06666666666683</c:v>
                </c:pt>
                <c:pt idx="12">
                  <c:v>840.80000000000018</c:v>
                </c:pt>
                <c:pt idx="13">
                  <c:v>787.53333333333353</c:v>
                </c:pt>
                <c:pt idx="14">
                  <c:v>734.26666666666688</c:v>
                </c:pt>
                <c:pt idx="15">
                  <c:v>681</c:v>
                </c:pt>
                <c:pt idx="16">
                  <c:v>666.5</c:v>
                </c:pt>
                <c:pt idx="17">
                  <c:v>652</c:v>
                </c:pt>
                <c:pt idx="18">
                  <c:v>637.5</c:v>
                </c:pt>
                <c:pt idx="19">
                  <c:v>623</c:v>
                </c:pt>
                <c:pt idx="20">
                  <c:v>608.5</c:v>
                </c:pt>
                <c:pt idx="21">
                  <c:v>594</c:v>
                </c:pt>
                <c:pt idx="22">
                  <c:v>579.5</c:v>
                </c:pt>
                <c:pt idx="23">
                  <c:v>565</c:v>
                </c:pt>
                <c:pt idx="24">
                  <c:v>550.5</c:v>
                </c:pt>
                <c:pt idx="25">
                  <c:v>536</c:v>
                </c:pt>
                <c:pt idx="26">
                  <c:v>521.4</c:v>
                </c:pt>
                <c:pt idx="27">
                  <c:v>506.79999999999995</c:v>
                </c:pt>
                <c:pt idx="28">
                  <c:v>492.19999999999993</c:v>
                </c:pt>
                <c:pt idx="29">
                  <c:v>477.59999999999991</c:v>
                </c:pt>
                <c:pt idx="30">
                  <c:v>462.99999999999989</c:v>
                </c:pt>
                <c:pt idx="31">
                  <c:v>448.39999999999986</c:v>
                </c:pt>
                <c:pt idx="32">
                  <c:v>433.79999999999984</c:v>
                </c:pt>
                <c:pt idx="33">
                  <c:v>419.19999999999982</c:v>
                </c:pt>
                <c:pt idx="34">
                  <c:v>404.5999999999998</c:v>
                </c:pt>
                <c:pt idx="35">
                  <c:v>390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5B-3B63-4EFF-99BB-EA24DBB5544F}"/>
            </c:ext>
          </c:extLst>
        </c:ser>
        <c:ser>
          <c:idx val="5"/>
          <c:order val="6"/>
          <c:tx>
            <c:strRef>
              <c:f>'Utility PV - Global Projections'!$H$2</c:f>
              <c:strCache>
                <c:ptCount val="1"/>
                <c:pt idx="0">
                  <c:v>ERC Moderate (UNEP)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1"/>
            <c:spPr>
              <a:solidFill>
                <a:srgbClr val="FFC000"/>
              </a:solidFill>
              <a:ln w="12700">
                <a:solidFill>
                  <a:schemeClr val="tx1"/>
                </a:solidFill>
                <a:round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3B63-4EFF-99BB-EA24DBB554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3B63-4EFF-99BB-EA24DBB554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3B63-4EFF-99BB-EA24DBB554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3B63-4EFF-99BB-EA24DBB5544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3B63-4EFF-99BB-EA24DBB5544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3B63-4EFF-99BB-EA24DBB5544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3B63-4EFF-99BB-EA24DBB5544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3B63-4EFF-99BB-EA24DBB5544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3B63-4EFF-99BB-EA24DBB5544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3B63-4EFF-99BB-EA24DBB5544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3B63-4EFF-99BB-EA24DBB5544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3B63-4EFF-99BB-EA24DBB5544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3B63-4EFF-99BB-EA24DBB5544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3B63-4EFF-99BB-EA24DBB5544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3B63-4EFF-99BB-EA24DBB5544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3B63-4EFF-99BB-EA24DBB5544F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3B63-4EFF-99BB-EA24DBB5544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3B63-4EFF-99BB-EA24DBB5544F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3B63-4EFF-99BB-EA24DBB5544F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3B63-4EFF-99BB-EA24DBB5544F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3B63-4EFF-99BB-EA24DBB5544F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3B63-4EFF-99BB-EA24DBB5544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3B63-4EFF-99BB-EA24DBB5544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3B63-4EFF-99BB-EA24DBB5544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3B63-4EFF-99BB-EA24DBB5544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3B63-4EFF-99BB-EA24DBB5544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3B63-4EFF-99BB-EA24DBB5544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3B63-4EFF-99BB-EA24DBB5544F}"/>
                </c:ext>
              </c:extLst>
            </c:dLbl>
            <c:numFmt formatCode="&quot;$&quot;#,##0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'Utility PV - Global Projections'!$A$3:$A$38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 formatCode="0">
                  <c:v>2050</c:v>
                </c:pt>
              </c:numCache>
            </c:numRef>
          </c:xVal>
          <c:yVal>
            <c:numRef>
              <c:f>'Utility PV - Global Projections'!$H$3:$H$38</c:f>
              <c:numCache>
                <c:formatCode>0</c:formatCode>
                <c:ptCount val="36"/>
                <c:pt idx="0">
                  <c:v>1318.75</c:v>
                </c:pt>
                <c:pt idx="1">
                  <c:v>1244.7500000000002</c:v>
                </c:pt>
                <c:pt idx="2">
                  <c:v>1170.75</c:v>
                </c:pt>
                <c:pt idx="3">
                  <c:v>1096.75</c:v>
                </c:pt>
                <c:pt idx="4">
                  <c:v>1050</c:v>
                </c:pt>
                <c:pt idx="5">
                  <c:v>1015</c:v>
                </c:pt>
                <c:pt idx="6">
                  <c:v>971.00946849141542</c:v>
                </c:pt>
                <c:pt idx="7">
                  <c:v>937.93290645570073</c:v>
                </c:pt>
                <c:pt idx="8">
                  <c:v>913.89087658817471</c:v>
                </c:pt>
                <c:pt idx="9">
                  <c:v>896.86011011913524</c:v>
                </c:pt>
                <c:pt idx="10">
                  <c:v>885</c:v>
                </c:pt>
                <c:pt idx="11">
                  <c:v>873.69796695581442</c:v>
                </c:pt>
                <c:pt idx="12">
                  <c:v>864.25770684395491</c:v>
                </c:pt>
                <c:pt idx="13">
                  <c:v>855.23264564124599</c:v>
                </c:pt>
                <c:pt idx="14">
                  <c:v>846.57181787817035</c:v>
                </c:pt>
                <c:pt idx="15">
                  <c:v>840</c:v>
                </c:pt>
                <c:pt idx="16">
                  <c:v>828.05344744318586</c:v>
                </c:pt>
                <c:pt idx="17">
                  <c:v>818.47234141503304</c:v>
                </c:pt>
                <c:pt idx="18">
                  <c:v>809.40115738339887</c:v>
                </c:pt>
                <c:pt idx="19">
                  <c:v>800.76938596419484</c:v>
                </c:pt>
                <c:pt idx="20">
                  <c:v>790</c:v>
                </c:pt>
                <c:pt idx="21">
                  <c:v>784.60600104552179</c:v>
                </c:pt>
                <c:pt idx="22">
                  <c:v>776.98866750044522</c:v>
                </c:pt>
                <c:pt idx="23">
                  <c:v>769.63532244003306</c:v>
                </c:pt>
                <c:pt idx="24">
                  <c:v>762.51834043029658</c:v>
                </c:pt>
                <c:pt idx="25">
                  <c:v>755</c:v>
                </c:pt>
                <c:pt idx="26">
                  <c:v>749.21829649713925</c:v>
                </c:pt>
                <c:pt idx="27">
                  <c:v>742.99735195462506</c:v>
                </c:pt>
                <c:pt idx="28">
                  <c:v>736.93596709704036</c:v>
                </c:pt>
                <c:pt idx="29">
                  <c:v>731.02070032252914</c:v>
                </c:pt>
                <c:pt idx="30">
                  <c:v>725.23970377546266</c:v>
                </c:pt>
                <c:pt idx="31">
                  <c:v>719.58248349824692</c:v>
                </c:pt>
                <c:pt idx="32">
                  <c:v>714.03970281756108</c:v>
                </c:pt>
                <c:pt idx="33">
                  <c:v>708.60301996923101</c:v>
                </c:pt>
                <c:pt idx="34">
                  <c:v>703.26495307200651</c:v>
                </c:pt>
                <c:pt idx="35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3B63-4EFF-99BB-EA24DBB5544F}"/>
            </c:ext>
          </c:extLst>
        </c:ser>
        <c:ser>
          <c:idx val="0"/>
          <c:order val="7"/>
          <c:tx>
            <c:strRef>
              <c:f>'Utility PV - Global Projections'!$D$2</c:f>
              <c:strCache>
                <c:ptCount val="1"/>
                <c:pt idx="0">
                  <c:v>CSIR High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'Utility PV - Global Projections'!$A$3:$A$38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 formatCode="0">
                  <c:v>2050</c:v>
                </c:pt>
              </c:numCache>
            </c:numRef>
          </c:xVal>
          <c:yVal>
            <c:numRef>
              <c:f>'Utility PV - Global Projections'!$D$3:$D$38</c:f>
              <c:numCache>
                <c:formatCode>0</c:formatCode>
                <c:ptCount val="36"/>
                <c:pt idx="0">
                  <c:v>1480</c:v>
                </c:pt>
                <c:pt idx="1">
                  <c:v>1436.3333333333333</c:v>
                </c:pt>
                <c:pt idx="2">
                  <c:v>1392.6666666666665</c:v>
                </c:pt>
                <c:pt idx="3">
                  <c:v>1348.9999999999998</c:v>
                </c:pt>
                <c:pt idx="4">
                  <c:v>1305.333333333333</c:v>
                </c:pt>
                <c:pt idx="5">
                  <c:v>1261.6666666666663</c:v>
                </c:pt>
                <c:pt idx="6">
                  <c:v>1217.9999999999995</c:v>
                </c:pt>
                <c:pt idx="7">
                  <c:v>1174.3333333333328</c:v>
                </c:pt>
                <c:pt idx="8">
                  <c:v>1130.6666666666661</c:v>
                </c:pt>
                <c:pt idx="9">
                  <c:v>1086.9999999999993</c:v>
                </c:pt>
                <c:pt idx="10">
                  <c:v>1043.3333333333326</c:v>
                </c:pt>
                <c:pt idx="11">
                  <c:v>999.66666666666595</c:v>
                </c:pt>
                <c:pt idx="12">
                  <c:v>955.99999999999932</c:v>
                </c:pt>
                <c:pt idx="13">
                  <c:v>912.33333333333269</c:v>
                </c:pt>
                <c:pt idx="14">
                  <c:v>868.66666666666606</c:v>
                </c:pt>
                <c:pt idx="15">
                  <c:v>825</c:v>
                </c:pt>
                <c:pt idx="16">
                  <c:v>821.5</c:v>
                </c:pt>
                <c:pt idx="17">
                  <c:v>818</c:v>
                </c:pt>
                <c:pt idx="18">
                  <c:v>814.5</c:v>
                </c:pt>
                <c:pt idx="19">
                  <c:v>811</c:v>
                </c:pt>
                <c:pt idx="20">
                  <c:v>807.5</c:v>
                </c:pt>
                <c:pt idx="21">
                  <c:v>804</c:v>
                </c:pt>
                <c:pt idx="22">
                  <c:v>800.5</c:v>
                </c:pt>
                <c:pt idx="23">
                  <c:v>797</c:v>
                </c:pt>
                <c:pt idx="24">
                  <c:v>793.5</c:v>
                </c:pt>
                <c:pt idx="25">
                  <c:v>790</c:v>
                </c:pt>
                <c:pt idx="26">
                  <c:v>784.6</c:v>
                </c:pt>
                <c:pt idx="27">
                  <c:v>779.2</c:v>
                </c:pt>
                <c:pt idx="28">
                  <c:v>773.80000000000007</c:v>
                </c:pt>
                <c:pt idx="29">
                  <c:v>768.40000000000009</c:v>
                </c:pt>
                <c:pt idx="30">
                  <c:v>763.00000000000011</c:v>
                </c:pt>
                <c:pt idx="31">
                  <c:v>757.60000000000014</c:v>
                </c:pt>
                <c:pt idx="32">
                  <c:v>752.20000000000016</c:v>
                </c:pt>
                <c:pt idx="33">
                  <c:v>746.80000000000018</c:v>
                </c:pt>
                <c:pt idx="34">
                  <c:v>741.4000000000002</c:v>
                </c:pt>
                <c:pt idx="35">
                  <c:v>736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79-3B63-4EFF-99BB-EA24DBB5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180000"/>
        <c:axId val="943337472"/>
        <c:extLst/>
      </c:scatterChart>
      <c:valAx>
        <c:axId val="941180000"/>
        <c:scaling>
          <c:orientation val="minMax"/>
          <c:max val="2050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943337472"/>
        <c:crosses val="autoZero"/>
        <c:crossBetween val="midCat"/>
        <c:majorUnit val="5"/>
      </c:valAx>
      <c:valAx>
        <c:axId val="94333747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200" b="0" cap="none" baseline="0"/>
                  <a:t>Projected System Ccost ($/kWp AC)</a:t>
                </a:r>
              </a:p>
            </c:rich>
          </c:tx>
          <c:layout>
            <c:manualLayout>
              <c:xMode val="edge"/>
              <c:yMode val="edge"/>
              <c:x val="1.8056385967467056E-2"/>
              <c:y val="0.24526271160978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9411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524959654842263E-2"/>
          <c:y val="9.8232565178540635E-2"/>
          <c:w val="0.8929035507322346"/>
          <c:h val="9.6104699620651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Li-ION Cost Projections </a:t>
            </a:r>
          </a:p>
          <a:p>
            <a:pPr>
              <a:defRPr/>
            </a:pPr>
            <a:r>
              <a:rPr lang="en-US"/>
              <a:t>(USD/kWh</a:t>
            </a:r>
            <a:r>
              <a:rPr lang="en-US" baseline="0"/>
              <a:t> </a:t>
            </a:r>
            <a:r>
              <a:rPr lang="en-US"/>
              <a:t>2015 - 2035)</a:t>
            </a:r>
          </a:p>
        </c:rich>
      </c:tx>
      <c:layout>
        <c:manualLayout>
          <c:xMode val="edge"/>
          <c:yMode val="edge"/>
          <c:x val="0.26950004033245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8694455171574"/>
          <c:y val="0.1933341986097892"/>
          <c:w val="0.84340195216063829"/>
          <c:h val="0.72169046176920193"/>
        </c:manualLayout>
      </c:layout>
      <c:scatterChart>
        <c:scatterStyle val="smoothMarker"/>
        <c:varyColors val="0"/>
        <c:ser>
          <c:idx val="1"/>
          <c:order val="0"/>
          <c:tx>
            <c:v>CSIRO Base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21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</c:numLit>
          </c:xVal>
          <c:yVal>
            <c:numLit>
              <c:formatCode>General</c:formatCode>
              <c:ptCount val="21"/>
              <c:pt idx="0">
                <c:v>431.20000000000005</c:v>
              </c:pt>
              <c:pt idx="1">
                <c:v>375.20000000000005</c:v>
              </c:pt>
              <c:pt idx="2">
                <c:v>334.40000000000003</c:v>
              </c:pt>
              <c:pt idx="3">
                <c:v>308.8</c:v>
              </c:pt>
              <c:pt idx="4">
                <c:v>287.2</c:v>
              </c:pt>
              <c:pt idx="5">
                <c:v>267.2</c:v>
              </c:pt>
              <c:pt idx="6">
                <c:v>248</c:v>
              </c:pt>
              <c:pt idx="7">
                <c:v>234.4</c:v>
              </c:pt>
              <c:pt idx="8">
                <c:v>223.20000000000002</c:v>
              </c:pt>
              <c:pt idx="9">
                <c:v>213.60000000000002</c:v>
              </c:pt>
              <c:pt idx="10">
                <c:v>204</c:v>
              </c:pt>
              <c:pt idx="11">
                <c:v>193.60000000000002</c:v>
              </c:pt>
              <c:pt idx="12">
                <c:v>181.60000000000002</c:v>
              </c:pt>
              <c:pt idx="13">
                <c:v>169.60000000000002</c:v>
              </c:pt>
              <c:pt idx="14">
                <c:v>161.60000000000002</c:v>
              </c:pt>
              <c:pt idx="15">
                <c:v>156</c:v>
              </c:pt>
              <c:pt idx="16">
                <c:v>151.20000000000002</c:v>
              </c:pt>
              <c:pt idx="17">
                <c:v>148</c:v>
              </c:pt>
              <c:pt idx="18">
                <c:v>144</c:v>
              </c:pt>
              <c:pt idx="19">
                <c:v>141.6</c:v>
              </c:pt>
              <c:pt idx="20">
                <c:v>139.20000000000002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55-48FF-964C-1CE194F49978}"/>
            </c:ext>
          </c:extLst>
        </c:ser>
        <c:ser>
          <c:idx val="2"/>
          <c:order val="1"/>
          <c:tx>
            <c:v>CSIRO Low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21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</c:numLit>
          </c:xVal>
          <c:yVal>
            <c:numLit>
              <c:formatCode>General</c:formatCode>
              <c:ptCount val="21"/>
              <c:pt idx="0">
                <c:v>353.6</c:v>
              </c:pt>
              <c:pt idx="1">
                <c:v>293.60000000000002</c:v>
              </c:pt>
              <c:pt idx="2">
                <c:v>254.4</c:v>
              </c:pt>
              <c:pt idx="3">
                <c:v>228</c:v>
              </c:pt>
              <c:pt idx="4">
                <c:v>206.4</c:v>
              </c:pt>
              <c:pt idx="5">
                <c:v>189.60000000000002</c:v>
              </c:pt>
              <c:pt idx="6">
                <c:v>175.20000000000002</c:v>
              </c:pt>
              <c:pt idx="7">
                <c:v>166.4</c:v>
              </c:pt>
              <c:pt idx="8">
                <c:v>160</c:v>
              </c:pt>
              <c:pt idx="9">
                <c:v>152.80000000000001</c:v>
              </c:pt>
              <c:pt idx="10">
                <c:v>145.6</c:v>
              </c:pt>
              <c:pt idx="11">
                <c:v>137.6</c:v>
              </c:pt>
              <c:pt idx="12">
                <c:v>127.2</c:v>
              </c:pt>
              <c:pt idx="13">
                <c:v>125.60000000000001</c:v>
              </c:pt>
              <c:pt idx="14">
                <c:v>123.2</c:v>
              </c:pt>
              <c:pt idx="15">
                <c:v>120.80000000000001</c:v>
              </c:pt>
              <c:pt idx="16">
                <c:v>119.2</c:v>
              </c:pt>
              <c:pt idx="17">
                <c:v>117.60000000000001</c:v>
              </c:pt>
              <c:pt idx="18">
                <c:v>115.2</c:v>
              </c:pt>
              <c:pt idx="19">
                <c:v>114.4</c:v>
              </c:pt>
              <c:pt idx="20">
                <c:v>113.60000000000001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755-48FF-964C-1CE194F49978}"/>
            </c:ext>
          </c:extLst>
        </c:ser>
        <c:ser>
          <c:idx val="3"/>
          <c:order val="2"/>
          <c:tx>
            <c:v>CSIRO High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21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</c:numLit>
          </c:xVal>
          <c:yVal>
            <c:numLit>
              <c:formatCode>General</c:formatCode>
              <c:ptCount val="21"/>
              <c:pt idx="0">
                <c:v>448</c:v>
              </c:pt>
              <c:pt idx="1">
                <c:v>402.40000000000003</c:v>
              </c:pt>
              <c:pt idx="2">
                <c:v>368</c:v>
              </c:pt>
              <c:pt idx="3">
                <c:v>345.6</c:v>
              </c:pt>
              <c:pt idx="4">
                <c:v>324</c:v>
              </c:pt>
              <c:pt idx="5">
                <c:v>305.60000000000002</c:v>
              </c:pt>
              <c:pt idx="6">
                <c:v>292</c:v>
              </c:pt>
              <c:pt idx="7">
                <c:v>285.60000000000002</c:v>
              </c:pt>
              <c:pt idx="8">
                <c:v>275.2</c:v>
              </c:pt>
              <c:pt idx="9">
                <c:v>272</c:v>
              </c:pt>
              <c:pt idx="10">
                <c:v>265.60000000000002</c:v>
              </c:pt>
              <c:pt idx="11">
                <c:v>258.40000000000003</c:v>
              </c:pt>
              <c:pt idx="12">
                <c:v>248</c:v>
              </c:pt>
              <c:pt idx="13">
                <c:v>236.8</c:v>
              </c:pt>
              <c:pt idx="14">
                <c:v>228</c:v>
              </c:pt>
              <c:pt idx="15">
                <c:v>222.4</c:v>
              </c:pt>
              <c:pt idx="16">
                <c:v>216.8</c:v>
              </c:pt>
              <c:pt idx="17">
                <c:v>212.8</c:v>
              </c:pt>
              <c:pt idx="18">
                <c:v>209.60000000000002</c:v>
              </c:pt>
              <c:pt idx="19">
                <c:v>207.20000000000002</c:v>
              </c:pt>
              <c:pt idx="20">
                <c:v>204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755-48FF-964C-1CE194F49978}"/>
            </c:ext>
          </c:extLst>
        </c:ser>
        <c:ser>
          <c:idx val="4"/>
          <c:order val="3"/>
          <c:tx>
            <c:v>EIA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21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</c:numLit>
          </c:xVal>
          <c:yVal>
            <c:numLit>
              <c:formatCode>General</c:formatCode>
              <c:ptCount val="21"/>
              <c:pt idx="0">
                <c:v>455.20000000000005</c:v>
              </c:pt>
              <c:pt idx="1">
                <c:v>452</c:v>
              </c:pt>
              <c:pt idx="2">
                <c:v>448.8</c:v>
              </c:pt>
              <c:pt idx="3">
                <c:v>445.6</c:v>
              </c:pt>
              <c:pt idx="4">
                <c:v>442.40000000000003</c:v>
              </c:pt>
              <c:pt idx="5">
                <c:v>438.40000000000003</c:v>
              </c:pt>
              <c:pt idx="6">
                <c:v>423.20000000000005</c:v>
              </c:pt>
              <c:pt idx="7">
                <c:v>408.8</c:v>
              </c:pt>
              <c:pt idx="8">
                <c:v>394.40000000000003</c:v>
              </c:pt>
              <c:pt idx="9">
                <c:v>380</c:v>
              </c:pt>
              <c:pt idx="10">
                <c:v>364.8</c:v>
              </c:pt>
              <c:pt idx="11">
                <c:v>352</c:v>
              </c:pt>
              <c:pt idx="12">
                <c:v>339.20000000000005</c:v>
              </c:pt>
              <c:pt idx="13">
                <c:v>329.6</c:v>
              </c:pt>
              <c:pt idx="14">
                <c:v>322.40000000000003</c:v>
              </c:pt>
              <c:pt idx="15">
                <c:v>315.20000000000005</c:v>
              </c:pt>
              <c:pt idx="16">
                <c:v>311.20000000000005</c:v>
              </c:pt>
              <c:pt idx="17">
                <c:v>307.20000000000005</c:v>
              </c:pt>
              <c:pt idx="18">
                <c:v>304.8</c:v>
              </c:pt>
              <c:pt idx="19">
                <c:v>303.2</c:v>
              </c:pt>
              <c:pt idx="20">
                <c:v>301.60000000000002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755-48FF-964C-1CE194F49978}"/>
            </c:ext>
          </c:extLst>
        </c:ser>
        <c:ser>
          <c:idx val="5"/>
          <c:order val="4"/>
          <c:tx>
            <c:v>Navigant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21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</c:numLit>
          </c:xVal>
          <c:yVal>
            <c:numLit>
              <c:formatCode>General</c:formatCode>
              <c:ptCount val="21"/>
              <c:pt idx="0">
                <c:v>336</c:v>
              </c:pt>
              <c:pt idx="1">
                <c:v>314.40000000000003</c:v>
              </c:pt>
              <c:pt idx="2">
                <c:v>292.8</c:v>
              </c:pt>
              <c:pt idx="3">
                <c:v>271.2</c:v>
              </c:pt>
              <c:pt idx="4">
                <c:v>249.60000000000002</c:v>
              </c:pt>
              <c:pt idx="5">
                <c:v>228</c:v>
              </c:pt>
              <c:pt idx="6">
                <c:v>213.60000000000002</c:v>
              </c:pt>
              <c:pt idx="7">
                <c:v>199.20000000000002</c:v>
              </c:pt>
              <c:pt idx="8">
                <c:v>186.4</c:v>
              </c:pt>
              <c:pt idx="9">
                <c:v>175.20000000000002</c:v>
              </c:pt>
              <c:pt idx="10">
                <c:v>164</c:v>
              </c:pt>
              <c:pt idx="11">
                <c:v>149.6</c:v>
              </c:pt>
              <c:pt idx="12">
                <c:v>135.20000000000002</c:v>
              </c:pt>
              <c:pt idx="13">
                <c:v>126.4</c:v>
              </c:pt>
              <c:pt idx="14">
                <c:v>122.4</c:v>
              </c:pt>
              <c:pt idx="15">
                <c:v>118.4</c:v>
              </c:pt>
              <c:pt idx="16">
                <c:v>115.2</c:v>
              </c:pt>
              <c:pt idx="17">
                <c:v>111.2</c:v>
              </c:pt>
              <c:pt idx="18">
                <c:v>109.60000000000001</c:v>
              </c:pt>
              <c:pt idx="19">
                <c:v>109.60000000000001</c:v>
              </c:pt>
              <c:pt idx="20">
                <c:v>109.60000000000001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755-48FF-964C-1CE194F49978}"/>
            </c:ext>
          </c:extLst>
        </c:ser>
        <c:ser>
          <c:idx val="6"/>
          <c:order val="5"/>
          <c:tx>
            <c:v>BNEF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21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</c:numLit>
          </c:xVal>
          <c:yVal>
            <c:numLit>
              <c:formatCode>General</c:formatCode>
              <c:ptCount val="21"/>
              <c:pt idx="0">
                <c:v>391.20000000000005</c:v>
              </c:pt>
              <c:pt idx="1">
                <c:v>369.6</c:v>
              </c:pt>
              <c:pt idx="2">
                <c:v>348</c:v>
              </c:pt>
              <c:pt idx="3">
                <c:v>326.40000000000003</c:v>
              </c:pt>
              <c:pt idx="4">
                <c:v>304.8</c:v>
              </c:pt>
              <c:pt idx="5">
                <c:v>283.2</c:v>
              </c:pt>
              <c:pt idx="6">
                <c:v>253.60000000000002</c:v>
              </c:pt>
              <c:pt idx="7">
                <c:v>224</c:v>
              </c:pt>
              <c:pt idx="8">
                <c:v>202.4</c:v>
              </c:pt>
              <c:pt idx="9">
                <c:v>188</c:v>
              </c:pt>
              <c:pt idx="10">
                <c:v>172.8</c:v>
              </c:pt>
              <c:pt idx="11">
                <c:v>154.4</c:v>
              </c:pt>
              <c:pt idx="12">
                <c:v>136.80000000000001</c:v>
              </c:pt>
              <c:pt idx="13">
                <c:v>126.4</c:v>
              </c:pt>
              <c:pt idx="14">
                <c:v>122.4</c:v>
              </c:pt>
              <c:pt idx="15">
                <c:v>118.4</c:v>
              </c:pt>
              <c:pt idx="16">
                <c:v>115.2</c:v>
              </c:pt>
              <c:pt idx="17">
                <c:v>111.2</c:v>
              </c:pt>
              <c:pt idx="18">
                <c:v>109.60000000000001</c:v>
              </c:pt>
              <c:pt idx="19">
                <c:v>109.60000000000001</c:v>
              </c:pt>
              <c:pt idx="20">
                <c:v>109.60000000000001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D755-48FF-964C-1CE194F49978}"/>
            </c:ext>
          </c:extLst>
        </c:ser>
        <c:ser>
          <c:idx val="7"/>
          <c:order val="6"/>
          <c:tx>
            <c:v>Average (Excl EIA)</c:v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rgbClr val="FF0000"/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55-48FF-964C-1CE194F4997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55-48FF-964C-1CE194F4997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55-48FF-964C-1CE194F4997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55-48FF-964C-1CE194F4997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55-48FF-964C-1CE194F4997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55-48FF-964C-1CE194F4997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55-48FF-964C-1CE194F4997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55-48FF-964C-1CE194F4997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55-48FF-964C-1CE194F4997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55-48FF-964C-1CE194F4997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755-48FF-964C-1CE194F4997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755-48FF-964C-1CE194F4997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755-48FF-964C-1CE194F4997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755-48FF-964C-1CE194F4997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755-48FF-964C-1CE194F4997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755-48FF-964C-1CE194F4997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Lit>
              <c:formatCode>General</c:formatCode>
              <c:ptCount val="21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</c:numLit>
          </c:xVal>
          <c:yVal>
            <c:numLit>
              <c:formatCode>General</c:formatCode>
              <c:ptCount val="21"/>
              <c:pt idx="0">
                <c:v>400</c:v>
              </c:pt>
              <c:pt idx="1">
                <c:v>364.67500000000007</c:v>
              </c:pt>
              <c:pt idx="2">
                <c:v>335.8</c:v>
              </c:pt>
              <c:pt idx="3">
                <c:v>310.72500000000002</c:v>
              </c:pt>
              <c:pt idx="4">
                <c:v>286.64999999999998</c:v>
              </c:pt>
              <c:pt idx="5">
                <c:v>265</c:v>
              </c:pt>
              <c:pt idx="6">
                <c:v>244.55</c:v>
              </c:pt>
              <c:pt idx="7">
                <c:v>226.15</c:v>
              </c:pt>
              <c:pt idx="8">
                <c:v>210.75</c:v>
              </c:pt>
              <c:pt idx="9">
                <c:v>198.32500000000002</c:v>
              </c:pt>
              <c:pt idx="10">
                <c:v>185</c:v>
              </c:pt>
              <c:pt idx="11">
                <c:v>171.27500000000001</c:v>
              </c:pt>
              <c:pt idx="12">
                <c:v>156.65000000000003</c:v>
              </c:pt>
              <c:pt idx="13">
                <c:v>145.22499999999999</c:v>
              </c:pt>
              <c:pt idx="14">
                <c:v>137.6</c:v>
              </c:pt>
              <c:pt idx="15">
                <c:v>130</c:v>
              </c:pt>
              <c:pt idx="16">
                <c:v>124.15</c:v>
              </c:pt>
              <c:pt idx="17">
                <c:v>121.35</c:v>
              </c:pt>
              <c:pt idx="18">
                <c:v>119.55000000000001</c:v>
              </c:pt>
              <c:pt idx="19">
                <c:v>120</c:v>
              </c:pt>
              <c:pt idx="20">
                <c:v>120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6-D755-48FF-964C-1CE194F49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54064"/>
        <c:axId val="442853280"/>
      </c:scatterChart>
      <c:valAx>
        <c:axId val="442854064"/>
        <c:scaling>
          <c:orientation val="minMax"/>
          <c:max val="2035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53280"/>
        <c:crosses val="autoZero"/>
        <c:crossBetween val="midCat"/>
        <c:majorUnit val="5"/>
      </c:valAx>
      <c:valAx>
        <c:axId val="4428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Projected Battery Price ($/kWh)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5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132895473373885"/>
          <c:w val="1"/>
          <c:h val="9.9307886745103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cap="none" baseline="0"/>
              <a:t>Lithium-Ion Cost Projections (DC Energy Cost) </a:t>
            </a:r>
          </a:p>
          <a:p>
            <a:pPr>
              <a:defRPr sz="1200" cap="none"/>
            </a:pPr>
            <a:r>
              <a:rPr lang="en-US" sz="1200" cap="none" baseline="0"/>
              <a:t>(2015 USD/kWh: 2015 - 2035)</a:t>
            </a:r>
          </a:p>
        </c:rich>
      </c:tx>
      <c:layout>
        <c:manualLayout>
          <c:xMode val="edge"/>
          <c:yMode val="edge"/>
          <c:x val="0.2394435933621612"/>
          <c:y val="1.713358757366507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04824146266269E-2"/>
          <c:y val="0.18518571638791112"/>
          <c:w val="0.86788411882436667"/>
          <c:h val="0.7417663444677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'Li-Ion Battery Pack Projections'!$B$2</c:f>
              <c:strCache>
                <c:ptCount val="1"/>
                <c:pt idx="0">
                  <c:v>CSIRO Base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'Li-Ion Battery Pack Projections'!$A$3:$A$23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'Li-Ion Battery Pack Projections'!$B$3:$B$23</c:f>
              <c:numCache>
                <c:formatCode>0</c:formatCode>
                <c:ptCount val="21"/>
                <c:pt idx="0">
                  <c:v>431.20000000000005</c:v>
                </c:pt>
                <c:pt idx="1">
                  <c:v>375.20000000000005</c:v>
                </c:pt>
                <c:pt idx="2">
                  <c:v>334.40000000000003</c:v>
                </c:pt>
                <c:pt idx="3">
                  <c:v>308.8</c:v>
                </c:pt>
                <c:pt idx="4">
                  <c:v>287.2</c:v>
                </c:pt>
                <c:pt idx="5">
                  <c:v>267.2</c:v>
                </c:pt>
                <c:pt idx="6">
                  <c:v>248</c:v>
                </c:pt>
                <c:pt idx="7">
                  <c:v>234.4</c:v>
                </c:pt>
                <c:pt idx="8">
                  <c:v>223.20000000000002</c:v>
                </c:pt>
                <c:pt idx="9">
                  <c:v>213.60000000000002</c:v>
                </c:pt>
                <c:pt idx="10">
                  <c:v>204</c:v>
                </c:pt>
                <c:pt idx="11">
                  <c:v>193.60000000000002</c:v>
                </c:pt>
                <c:pt idx="12">
                  <c:v>181.60000000000002</c:v>
                </c:pt>
                <c:pt idx="13">
                  <c:v>169.60000000000002</c:v>
                </c:pt>
                <c:pt idx="14">
                  <c:v>161.60000000000002</c:v>
                </c:pt>
                <c:pt idx="15">
                  <c:v>156</c:v>
                </c:pt>
                <c:pt idx="16">
                  <c:v>151.20000000000002</c:v>
                </c:pt>
                <c:pt idx="17">
                  <c:v>148</c:v>
                </c:pt>
                <c:pt idx="18">
                  <c:v>144</c:v>
                </c:pt>
                <c:pt idx="19">
                  <c:v>141.6</c:v>
                </c:pt>
                <c:pt idx="20">
                  <c:v>139.20000000000002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7B-46DA-AF39-BCB97FAB80AA}"/>
            </c:ext>
          </c:extLst>
        </c:ser>
        <c:ser>
          <c:idx val="4"/>
          <c:order val="1"/>
          <c:tx>
            <c:strRef>
              <c:f>'Li-Ion Battery Pack Projections'!$E$2</c:f>
              <c:strCache>
                <c:ptCount val="1"/>
                <c:pt idx="0">
                  <c:v>EIA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12700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'Li-Ion Battery Pack Projections'!$A$3:$A$23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'Li-Ion Battery Pack Projections'!$E$3:$E$23</c:f>
              <c:numCache>
                <c:formatCode>0</c:formatCode>
                <c:ptCount val="21"/>
                <c:pt idx="0">
                  <c:v>455.20000000000005</c:v>
                </c:pt>
                <c:pt idx="1">
                  <c:v>452</c:v>
                </c:pt>
                <c:pt idx="2">
                  <c:v>448.8</c:v>
                </c:pt>
                <c:pt idx="3">
                  <c:v>445.6</c:v>
                </c:pt>
                <c:pt idx="4">
                  <c:v>442.40000000000003</c:v>
                </c:pt>
                <c:pt idx="5">
                  <c:v>438.40000000000003</c:v>
                </c:pt>
                <c:pt idx="6">
                  <c:v>423.20000000000005</c:v>
                </c:pt>
                <c:pt idx="7">
                  <c:v>408.8</c:v>
                </c:pt>
                <c:pt idx="8">
                  <c:v>394.40000000000003</c:v>
                </c:pt>
                <c:pt idx="9">
                  <c:v>380</c:v>
                </c:pt>
                <c:pt idx="10">
                  <c:v>364.8</c:v>
                </c:pt>
                <c:pt idx="11">
                  <c:v>352</c:v>
                </c:pt>
                <c:pt idx="12">
                  <c:v>339.20000000000005</c:v>
                </c:pt>
                <c:pt idx="13">
                  <c:v>329.6</c:v>
                </c:pt>
                <c:pt idx="14">
                  <c:v>322.40000000000003</c:v>
                </c:pt>
                <c:pt idx="15">
                  <c:v>315.20000000000005</c:v>
                </c:pt>
                <c:pt idx="16">
                  <c:v>311.20000000000005</c:v>
                </c:pt>
                <c:pt idx="17">
                  <c:v>307.20000000000005</c:v>
                </c:pt>
                <c:pt idx="18">
                  <c:v>304.8</c:v>
                </c:pt>
                <c:pt idx="19">
                  <c:v>303.2</c:v>
                </c:pt>
                <c:pt idx="20">
                  <c:v>301.60000000000002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7B-46DA-AF39-BCB97FAB80AA}"/>
            </c:ext>
          </c:extLst>
        </c:ser>
        <c:ser>
          <c:idx val="5"/>
          <c:order val="2"/>
          <c:tx>
            <c:strRef>
              <c:f>'Li-Ion Battery Pack Projections'!$F$2</c:f>
              <c:strCache>
                <c:ptCount val="1"/>
                <c:pt idx="0">
                  <c:v>Navigant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'Li-Ion Battery Pack Projections'!$A$3:$A$23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'Li-Ion Battery Pack Projections'!$F$3:$F$23</c:f>
              <c:numCache>
                <c:formatCode>0</c:formatCode>
                <c:ptCount val="21"/>
                <c:pt idx="0">
                  <c:v>336</c:v>
                </c:pt>
                <c:pt idx="1">
                  <c:v>314.40000000000003</c:v>
                </c:pt>
                <c:pt idx="2">
                  <c:v>292.8</c:v>
                </c:pt>
                <c:pt idx="3">
                  <c:v>271.2</c:v>
                </c:pt>
                <c:pt idx="4">
                  <c:v>249.60000000000002</c:v>
                </c:pt>
                <c:pt idx="5">
                  <c:v>228</c:v>
                </c:pt>
                <c:pt idx="6">
                  <c:v>213.60000000000002</c:v>
                </c:pt>
                <c:pt idx="7">
                  <c:v>199.20000000000002</c:v>
                </c:pt>
                <c:pt idx="8">
                  <c:v>186.4</c:v>
                </c:pt>
                <c:pt idx="9">
                  <c:v>175.20000000000002</c:v>
                </c:pt>
                <c:pt idx="10">
                  <c:v>164</c:v>
                </c:pt>
                <c:pt idx="11">
                  <c:v>149.6</c:v>
                </c:pt>
                <c:pt idx="12">
                  <c:v>135.20000000000002</c:v>
                </c:pt>
                <c:pt idx="13">
                  <c:v>126.4</c:v>
                </c:pt>
                <c:pt idx="14">
                  <c:v>122.4</c:v>
                </c:pt>
                <c:pt idx="15">
                  <c:v>118.4</c:v>
                </c:pt>
                <c:pt idx="16">
                  <c:v>115.2</c:v>
                </c:pt>
                <c:pt idx="17">
                  <c:v>111.2</c:v>
                </c:pt>
                <c:pt idx="18">
                  <c:v>109.60000000000001</c:v>
                </c:pt>
                <c:pt idx="19">
                  <c:v>109.60000000000001</c:v>
                </c:pt>
                <c:pt idx="20">
                  <c:v>109.60000000000001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7B-46DA-AF39-BCB97FAB80AA}"/>
            </c:ext>
          </c:extLst>
        </c:ser>
        <c:ser>
          <c:idx val="6"/>
          <c:order val="3"/>
          <c:tx>
            <c:strRef>
              <c:f>'Li-Ion Battery Pack Projections'!$G$2</c:f>
              <c:strCache>
                <c:ptCount val="1"/>
                <c:pt idx="0">
                  <c:v>BNEF</c:v>
                </c:pt>
              </c:strCache>
            </c:strRef>
          </c:tx>
          <c:spPr>
            <a:ln w="15875" cap="rnd">
              <a:solidFill>
                <a:srgbClr val="0000FF"/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12700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'Li-Ion Battery Pack Projections'!$A$3:$A$23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'Li-Ion Battery Pack Projections'!$G$3:$G$23</c:f>
              <c:numCache>
                <c:formatCode>0</c:formatCode>
                <c:ptCount val="21"/>
                <c:pt idx="0">
                  <c:v>391.20000000000005</c:v>
                </c:pt>
                <c:pt idx="1">
                  <c:v>369.6</c:v>
                </c:pt>
                <c:pt idx="2">
                  <c:v>348</c:v>
                </c:pt>
                <c:pt idx="3">
                  <c:v>326.40000000000003</c:v>
                </c:pt>
                <c:pt idx="4">
                  <c:v>304.8</c:v>
                </c:pt>
                <c:pt idx="5">
                  <c:v>283.2</c:v>
                </c:pt>
                <c:pt idx="6">
                  <c:v>253.60000000000002</c:v>
                </c:pt>
                <c:pt idx="7">
                  <c:v>224</c:v>
                </c:pt>
                <c:pt idx="8">
                  <c:v>202.4</c:v>
                </c:pt>
                <c:pt idx="9">
                  <c:v>188</c:v>
                </c:pt>
                <c:pt idx="10">
                  <c:v>172.8</c:v>
                </c:pt>
                <c:pt idx="11">
                  <c:v>154.4</c:v>
                </c:pt>
                <c:pt idx="12">
                  <c:v>136.80000000000001</c:v>
                </c:pt>
                <c:pt idx="13">
                  <c:v>126.4</c:v>
                </c:pt>
                <c:pt idx="14">
                  <c:v>122.4</c:v>
                </c:pt>
                <c:pt idx="15">
                  <c:v>118.4</c:v>
                </c:pt>
                <c:pt idx="16">
                  <c:v>115.2</c:v>
                </c:pt>
                <c:pt idx="17">
                  <c:v>111.2</c:v>
                </c:pt>
                <c:pt idx="18">
                  <c:v>109.60000000000001</c:v>
                </c:pt>
                <c:pt idx="19">
                  <c:v>109.60000000000001</c:v>
                </c:pt>
                <c:pt idx="20">
                  <c:v>109.60000000000001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7B-46DA-AF39-BCB97FAB80AA}"/>
            </c:ext>
          </c:extLst>
        </c:ser>
        <c:ser>
          <c:idx val="0"/>
          <c:order val="4"/>
          <c:tx>
            <c:strRef>
              <c:f>'Li-Ion Battery Pack Projections'!$H$2</c:f>
              <c:strCache>
                <c:ptCount val="1"/>
                <c:pt idx="0">
                  <c:v>Apricum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'Li-Ion Battery Pack Projections'!$A$3:$A$23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'Li-Ion Battery Pack Projections'!$H$3:$H$23</c:f>
              <c:numCache>
                <c:formatCode>0</c:formatCode>
                <c:ptCount val="21"/>
                <c:pt idx="0">
                  <c:v>431</c:v>
                </c:pt>
                <c:pt idx="1">
                  <c:v>399.5</c:v>
                </c:pt>
                <c:pt idx="2">
                  <c:v>368</c:v>
                </c:pt>
                <c:pt idx="3">
                  <c:v>336.5</c:v>
                </c:pt>
                <c:pt idx="4">
                  <c:v>305</c:v>
                </c:pt>
                <c:pt idx="5">
                  <c:v>284</c:v>
                </c:pt>
                <c:pt idx="6">
                  <c:v>263</c:v>
                </c:pt>
                <c:pt idx="7">
                  <c:v>247</c:v>
                </c:pt>
                <c:pt idx="8">
                  <c:v>231</c:v>
                </c:pt>
                <c:pt idx="9">
                  <c:v>216.5</c:v>
                </c:pt>
                <c:pt idx="10">
                  <c:v>202</c:v>
                </c:pt>
                <c:pt idx="11">
                  <c:v>187.5</c:v>
                </c:pt>
                <c:pt idx="12">
                  <c:v>173</c:v>
                </c:pt>
                <c:pt idx="13">
                  <c:v>158.5</c:v>
                </c:pt>
                <c:pt idx="14">
                  <c:v>144</c:v>
                </c:pt>
                <c:pt idx="15">
                  <c:v>129.5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9-4D5F-A671-5D0F992CF4AF}"/>
            </c:ext>
          </c:extLst>
        </c:ser>
        <c:ser>
          <c:idx val="7"/>
          <c:order val="5"/>
          <c:tx>
            <c:strRef>
              <c:f>'Li-Ion Battery Pack Projections'!$I$2</c:f>
              <c:strCache>
                <c:ptCount val="1"/>
                <c:pt idx="0">
                  <c:v>Average (Excl EIA)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97B-46DA-AF39-BCB97FAB80A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97B-46DA-AF39-BCB97FAB80A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97B-46DA-AF39-BCB97FAB80A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97B-46DA-AF39-BCB97FAB80A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97B-46DA-AF39-BCB97FAB80A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97B-46DA-AF39-BCB97FAB80A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97B-46DA-AF39-BCB97FAB80A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97B-46DA-AF39-BCB97FAB80A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97B-46DA-AF39-BCB97FAB80A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97B-46DA-AF39-BCB97FAB80A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97B-46DA-AF39-BCB97FAB80A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97B-46DA-AF39-BCB97FAB80A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97B-46DA-AF39-BCB97FAB80A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97B-46DA-AF39-BCB97FAB80A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97B-46DA-AF39-BCB97FAB80A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97B-46DA-AF39-BCB97FAB80A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'Li-Ion Battery Pack Projections'!$A$3:$A$23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'Li-Ion Battery Pack Projections'!$I$3:$I$23</c:f>
              <c:numCache>
                <c:formatCode>0</c:formatCode>
                <c:ptCount val="21"/>
                <c:pt idx="0">
                  <c:v>400</c:v>
                </c:pt>
                <c:pt idx="1">
                  <c:v>364.67500000000007</c:v>
                </c:pt>
                <c:pt idx="2">
                  <c:v>335.8</c:v>
                </c:pt>
                <c:pt idx="3">
                  <c:v>310.72500000000002</c:v>
                </c:pt>
                <c:pt idx="4">
                  <c:v>286.64999999999998</c:v>
                </c:pt>
                <c:pt idx="5">
                  <c:v>265</c:v>
                </c:pt>
                <c:pt idx="6">
                  <c:v>244.55</c:v>
                </c:pt>
                <c:pt idx="7">
                  <c:v>226.15</c:v>
                </c:pt>
                <c:pt idx="8">
                  <c:v>210.75</c:v>
                </c:pt>
                <c:pt idx="9">
                  <c:v>198.32500000000002</c:v>
                </c:pt>
                <c:pt idx="10">
                  <c:v>185</c:v>
                </c:pt>
                <c:pt idx="11">
                  <c:v>171.27500000000001</c:v>
                </c:pt>
                <c:pt idx="12">
                  <c:v>156.65000000000003</c:v>
                </c:pt>
                <c:pt idx="13">
                  <c:v>145.22499999999999</c:v>
                </c:pt>
                <c:pt idx="14">
                  <c:v>137.6</c:v>
                </c:pt>
                <c:pt idx="15">
                  <c:v>130</c:v>
                </c:pt>
                <c:pt idx="16">
                  <c:v>124.15</c:v>
                </c:pt>
                <c:pt idx="17">
                  <c:v>121.35</c:v>
                </c:pt>
                <c:pt idx="18">
                  <c:v>119.55000000000001</c:v>
                </c:pt>
                <c:pt idx="19">
                  <c:v>118.95</c:v>
                </c:pt>
                <c:pt idx="2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7B-46DA-AF39-BCB97FAB80AA}"/>
            </c:ext>
          </c:extLst>
        </c:ser>
        <c:ser>
          <c:idx val="2"/>
          <c:order val="6"/>
          <c:tx>
            <c:strRef>
              <c:f>'Li-Ion Battery Pack Projections'!$D$2</c:f>
              <c:strCache>
                <c:ptCount val="1"/>
                <c:pt idx="0">
                  <c:v>CSIRO High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'Li-Ion Battery Pack Projections'!$A$3:$A$23</c:f>
              <c:numCache>
                <c:formatCode>General</c:formatCode>
                <c:ptCount val="2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</c:numCache>
            </c:numRef>
          </c:xVal>
          <c:yVal>
            <c:numRef>
              <c:f>'Li-Ion Battery Pack Projections'!$D$3:$D$23</c:f>
              <c:numCache>
                <c:formatCode>0</c:formatCode>
                <c:ptCount val="21"/>
                <c:pt idx="0">
                  <c:v>448</c:v>
                </c:pt>
                <c:pt idx="1">
                  <c:v>402.40000000000003</c:v>
                </c:pt>
                <c:pt idx="2">
                  <c:v>368</c:v>
                </c:pt>
                <c:pt idx="3">
                  <c:v>345.6</c:v>
                </c:pt>
                <c:pt idx="4">
                  <c:v>324</c:v>
                </c:pt>
                <c:pt idx="5">
                  <c:v>305.60000000000002</c:v>
                </c:pt>
                <c:pt idx="6">
                  <c:v>292</c:v>
                </c:pt>
                <c:pt idx="7">
                  <c:v>285.60000000000002</c:v>
                </c:pt>
                <c:pt idx="8">
                  <c:v>275.2</c:v>
                </c:pt>
                <c:pt idx="9">
                  <c:v>272</c:v>
                </c:pt>
                <c:pt idx="10">
                  <c:v>265.60000000000002</c:v>
                </c:pt>
                <c:pt idx="11">
                  <c:v>258.40000000000003</c:v>
                </c:pt>
                <c:pt idx="12">
                  <c:v>248</c:v>
                </c:pt>
                <c:pt idx="13">
                  <c:v>236.8</c:v>
                </c:pt>
                <c:pt idx="14">
                  <c:v>228</c:v>
                </c:pt>
                <c:pt idx="15">
                  <c:v>222.4</c:v>
                </c:pt>
                <c:pt idx="16">
                  <c:v>216.8</c:v>
                </c:pt>
                <c:pt idx="17">
                  <c:v>212.8</c:v>
                </c:pt>
                <c:pt idx="18">
                  <c:v>209.60000000000002</c:v>
                </c:pt>
                <c:pt idx="19">
                  <c:v>207.20000000000002</c:v>
                </c:pt>
                <c:pt idx="20">
                  <c:v>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7-421C-8280-3A475110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180000"/>
        <c:axId val="943337472"/>
      </c:scatterChart>
      <c:valAx>
        <c:axId val="941180000"/>
        <c:scaling>
          <c:orientation val="minMax"/>
          <c:max val="2035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37472"/>
        <c:crosses val="autoZero"/>
        <c:crossBetween val="midCat"/>
        <c:majorUnit val="5"/>
      </c:valAx>
      <c:valAx>
        <c:axId val="9433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cap="none" baseline="0"/>
                  <a:t>Projected Battery Cost ($/kWh)</a:t>
                </a:r>
              </a:p>
            </c:rich>
          </c:tx>
          <c:layout>
            <c:manualLayout>
              <c:xMode val="edge"/>
              <c:yMode val="edge"/>
              <c:x val="7.001463267398208E-3"/>
              <c:y val="0.24463354836525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310686303010408E-2"/>
          <c:y val="0.11780133321897601"/>
          <c:w val="0.89999994865279487"/>
          <c:h val="6.1955467827178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Levelised Cost of Energy from Solar PV </a:t>
            </a:r>
            <a:r>
              <a:rPr lang="en-US" sz="1200" b="1" baseline="0"/>
              <a:t> &amp; </a:t>
            </a:r>
            <a:r>
              <a:rPr lang="en-US" sz="1200" b="1"/>
              <a:t>Wind Power: 2015 - 2050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220266138612106E-2"/>
          <c:y val="8.8081768195646351E-2"/>
          <c:w val="0.87915992776775254"/>
          <c:h val="0.75628177811625541"/>
        </c:manualLayout>
      </c:layout>
      <c:lineChart>
        <c:grouping val="standard"/>
        <c:varyColors val="0"/>
        <c:ser>
          <c:idx val="3"/>
          <c:order val="0"/>
          <c:tx>
            <c:v>Expected Learning</c:v>
          </c:tx>
          <c:spPr>
            <a:ln w="38100">
              <a:solidFill>
                <a:schemeClr val="accent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07-4117-953A-90849F66A545}"/>
                </c:ext>
              </c:extLst>
            </c:dLbl>
            <c:dLbl>
              <c:idx val="35"/>
              <c:layout>
                <c:manualLayout>
                  <c:x val="-4.86256431905389E-2"/>
                  <c:y val="3.83108932389556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66-4128-9A61-984E037765A8}"/>
                </c:ext>
              </c:extLst>
            </c:dLbl>
            <c:spPr>
              <a:solidFill>
                <a:sysClr val="window" lastClr="FFFFFF"/>
              </a:solidFill>
              <a:ln w="19050">
                <a:solidFill>
                  <a:srgbClr val="FFC000"/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(data)'!$C$27:$AL$27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0.58911132080971285</c:v>
                </c:pt>
                <c:pt idx="2">
                  <c:v>0.56738569348466772</c:v>
                </c:pt>
                <c:pt idx="3">
                  <c:v>0.54900623797239889</c:v>
                </c:pt>
                <c:pt idx="4">
                  <c:v>0.53935206741672859</c:v>
                </c:pt>
                <c:pt idx="5">
                  <c:v>0.53389689801377826</c:v>
                </c:pt>
                <c:pt idx="6">
                  <c:v>0.52844172861082817</c:v>
                </c:pt>
                <c:pt idx="7">
                  <c:v>0.52298655920787784</c:v>
                </c:pt>
                <c:pt idx="8">
                  <c:v>0.51753138980492763</c:v>
                </c:pt>
                <c:pt idx="9">
                  <c:v>0.51207622040197753</c:v>
                </c:pt>
                <c:pt idx="10">
                  <c:v>0.50662105099902732</c:v>
                </c:pt>
                <c:pt idx="11">
                  <c:v>0.50116588159607711</c:v>
                </c:pt>
                <c:pt idx="12">
                  <c:v>0.49571071219312679</c:v>
                </c:pt>
                <c:pt idx="13">
                  <c:v>0.49025554279017669</c:v>
                </c:pt>
                <c:pt idx="14">
                  <c:v>0.48579883965979054</c:v>
                </c:pt>
                <c:pt idx="15">
                  <c:v>0.4813421365294045</c:v>
                </c:pt>
                <c:pt idx="16">
                  <c:v>0.47688543339901851</c:v>
                </c:pt>
                <c:pt idx="17">
                  <c:v>0.47242873026863241</c:v>
                </c:pt>
                <c:pt idx="18">
                  <c:v>0.46797202713824637</c:v>
                </c:pt>
                <c:pt idx="19">
                  <c:v>0.46351532400786022</c:v>
                </c:pt>
                <c:pt idx="20">
                  <c:v>0.45905862087747412</c:v>
                </c:pt>
                <c:pt idx="21">
                  <c:v>0.45460191774708808</c:v>
                </c:pt>
                <c:pt idx="22">
                  <c:v>0.45014521461670198</c:v>
                </c:pt>
                <c:pt idx="23">
                  <c:v>0.445688511486316</c:v>
                </c:pt>
                <c:pt idx="24">
                  <c:v>0.44162783637611402</c:v>
                </c:pt>
                <c:pt idx="25">
                  <c:v>0.43756716126591205</c:v>
                </c:pt>
                <c:pt idx="26">
                  <c:v>0.43350648615570997</c:v>
                </c:pt>
                <c:pt idx="27">
                  <c:v>0.429445811045508</c:v>
                </c:pt>
                <c:pt idx="28">
                  <c:v>0.42538513593530602</c:v>
                </c:pt>
                <c:pt idx="29">
                  <c:v>0.42132446082510405</c:v>
                </c:pt>
                <c:pt idx="30">
                  <c:v>0.41726378571490197</c:v>
                </c:pt>
                <c:pt idx="31">
                  <c:v>0.4132031106047</c:v>
                </c:pt>
                <c:pt idx="32">
                  <c:v>0.40914243549449797</c:v>
                </c:pt>
                <c:pt idx="33">
                  <c:v>0.40508176038429589</c:v>
                </c:pt>
                <c:pt idx="34">
                  <c:v>0.40102108527409369</c:v>
                </c:pt>
                <c:pt idx="35">
                  <c:v>0.39696041016389155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4-4304-A16C-60942AB56825}"/>
            </c:ext>
          </c:extLst>
        </c:ser>
        <c:ser>
          <c:idx val="1"/>
          <c:order val="1"/>
          <c:tx>
            <c:v>Expected Learning</c:v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15"/>
              <c:spPr>
                <a:solidFill>
                  <a:sysClr val="window" lastClr="FFFFFF"/>
                </a:solidFill>
                <a:ln w="12700">
                  <a:solidFill>
                    <a:srgbClr val="2F5597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EF07-4117-953A-90849F66A545}"/>
                </c:ext>
              </c:extLst>
            </c:dLbl>
            <c:dLbl>
              <c:idx val="35"/>
              <c:layout>
                <c:manualLayout>
                  <c:x val="-5.6389830470729332E-2"/>
                  <c:y val="-6.436181579965143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66-4128-9A61-984E037765A8}"/>
                </c:ext>
              </c:extLst>
            </c:dLbl>
            <c:spPr>
              <a:solidFill>
                <a:sysClr val="window" lastClr="FFFFFF"/>
              </a:solidFill>
              <a:ln w="12700">
                <a:solidFill>
                  <a:srgbClr val="2F5597"/>
                </a:solidFill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'Wind Costs &amp; Learning'!$C$27:$AL$27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0.61508444641598004</c:v>
                </c:pt>
                <c:pt idx="6">
                  <c:v>0.60971532403918027</c:v>
                </c:pt>
                <c:pt idx="7">
                  <c:v>0.6041380071590603</c:v>
                </c:pt>
                <c:pt idx="8">
                  <c:v>0.59892054792768679</c:v>
                </c:pt>
                <c:pt idx="9">
                  <c:v>0.59386556937088064</c:v>
                </c:pt>
                <c:pt idx="10">
                  <c:v>0.58896744494578113</c:v>
                </c:pt>
                <c:pt idx="11">
                  <c:v>0.58422082825083721</c:v>
                </c:pt>
                <c:pt idx="12">
                  <c:v>0.57962066287197811</c:v>
                </c:pt>
                <c:pt idx="13">
                  <c:v>0.57516213546044415</c:v>
                </c:pt>
                <c:pt idx="14">
                  <c:v>0.57084067779719716</c:v>
                </c:pt>
                <c:pt idx="15">
                  <c:v>0.56665195273234781</c:v>
                </c:pt>
                <c:pt idx="16">
                  <c:v>0.56259183454369976</c:v>
                </c:pt>
                <c:pt idx="17">
                  <c:v>0.5586564035280176</c:v>
                </c:pt>
                <c:pt idx="18">
                  <c:v>0.55484192818808376</c:v>
                </c:pt>
                <c:pt idx="19">
                  <c:v>0.55114485811923053</c:v>
                </c:pt>
                <c:pt idx="20">
                  <c:v>0.54756181427783213</c:v>
                </c:pt>
                <c:pt idx="21">
                  <c:v>0.54408958631255933</c:v>
                </c:pt>
                <c:pt idx="22">
                  <c:v>0.5407251048216023</c:v>
                </c:pt>
                <c:pt idx="23">
                  <c:v>0.53746545913571531</c:v>
                </c:pt>
                <c:pt idx="24">
                  <c:v>0.53430787069214969</c:v>
                </c:pt>
                <c:pt idx="25">
                  <c:v>0.53125193939801307</c:v>
                </c:pt>
                <c:pt idx="26">
                  <c:v>0.52829041488151762</c:v>
                </c:pt>
                <c:pt idx="27">
                  <c:v>0.52542338489057339</c:v>
                </c:pt>
                <c:pt idx="28">
                  <c:v>0.52264855708126212</c:v>
                </c:pt>
                <c:pt idx="29">
                  <c:v>0.5199637535789996</c:v>
                </c:pt>
                <c:pt idx="30">
                  <c:v>0.5173668966698004</c:v>
                </c:pt>
                <c:pt idx="31">
                  <c:v>0.51485601036096218</c:v>
                </c:pt>
                <c:pt idx="32">
                  <c:v>0.51242920986936824</c:v>
                </c:pt>
                <c:pt idx="33">
                  <c:v>0.51008470065459655</c:v>
                </c:pt>
                <c:pt idx="34">
                  <c:v>0.50782077764311284</c:v>
                </c:pt>
                <c:pt idx="35">
                  <c:v>0.50563581555073767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74-4304-A16C-60942AB56825}"/>
            </c:ext>
          </c:extLst>
        </c:ser>
        <c:ser>
          <c:idx val="4"/>
          <c:order val="2"/>
          <c:tx>
            <c:v>Optimistic Learning</c:v>
          </c:tx>
          <c:spPr>
            <a:ln w="28575">
              <a:solidFill>
                <a:schemeClr val="accent4"/>
              </a:solidFill>
              <a:prstDash val="sysDash"/>
            </a:ln>
          </c:spPr>
          <c:marker>
            <c:symbol val="none"/>
          </c:marker>
          <c:dLbls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07-4117-953A-90849F66A545}"/>
                </c:ext>
              </c:extLst>
            </c:dLbl>
            <c:dLbl>
              <c:idx val="35"/>
              <c:layout>
                <c:manualLayout>
                  <c:x val="-4.7057074055360117E-2"/>
                  <c:y val="3.83108932389557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66-4128-9A61-984E037765A8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FFC000"/>
                </a:solidFill>
                <a:prstDash val="sysDash"/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(data)'!$C$26:$AL$26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0.56044589948137347</c:v>
                </c:pt>
                <c:pt idx="2">
                  <c:v>0.51682305667430839</c:v>
                </c:pt>
                <c:pt idx="3">
                  <c:v>0.49651090953637883</c:v>
                </c:pt>
                <c:pt idx="4">
                  <c:v>0.48575722855688619</c:v>
                </c:pt>
                <c:pt idx="5">
                  <c:v>0.47500354757739333</c:v>
                </c:pt>
                <c:pt idx="6">
                  <c:v>0.46424986659790068</c:v>
                </c:pt>
                <c:pt idx="7">
                  <c:v>0.45349618561840793</c:v>
                </c:pt>
                <c:pt idx="8">
                  <c:v>0.44274250463891524</c:v>
                </c:pt>
                <c:pt idx="9">
                  <c:v>0.43198882365942259</c:v>
                </c:pt>
                <c:pt idx="10">
                  <c:v>0.42123514267992979</c:v>
                </c:pt>
                <c:pt idx="11">
                  <c:v>0.41048146170043714</c:v>
                </c:pt>
                <c:pt idx="12">
                  <c:v>0.39972778072094439</c:v>
                </c:pt>
                <c:pt idx="13">
                  <c:v>0.39123892303259905</c:v>
                </c:pt>
                <c:pt idx="14">
                  <c:v>0.38297321260059136</c:v>
                </c:pt>
                <c:pt idx="15">
                  <c:v>0.37697232545973081</c:v>
                </c:pt>
                <c:pt idx="16">
                  <c:v>0.37097143831887031</c:v>
                </c:pt>
                <c:pt idx="17">
                  <c:v>0.36497055117800975</c:v>
                </c:pt>
                <c:pt idx="18">
                  <c:v>0.35896966403714914</c:v>
                </c:pt>
                <c:pt idx="19">
                  <c:v>0.35296877689628864</c:v>
                </c:pt>
                <c:pt idx="20">
                  <c:v>0.34696788975542814</c:v>
                </c:pt>
                <c:pt idx="21">
                  <c:v>0.34096700261456758</c:v>
                </c:pt>
                <c:pt idx="22">
                  <c:v>0.33496611547370708</c:v>
                </c:pt>
                <c:pt idx="23">
                  <c:v>0.32896522833284636</c:v>
                </c:pt>
                <c:pt idx="24">
                  <c:v>0.3229990038473296</c:v>
                </c:pt>
                <c:pt idx="25">
                  <c:v>0.31703277936181284</c:v>
                </c:pt>
                <c:pt idx="26">
                  <c:v>0.31106655487629603</c:v>
                </c:pt>
                <c:pt idx="27">
                  <c:v>0.30510033039077927</c:v>
                </c:pt>
                <c:pt idx="28">
                  <c:v>0.29913410590526252</c:v>
                </c:pt>
                <c:pt idx="29">
                  <c:v>0.29316788141974581</c:v>
                </c:pt>
                <c:pt idx="30">
                  <c:v>0.287201656934229</c:v>
                </c:pt>
                <c:pt idx="31">
                  <c:v>0.28123543244871224</c:v>
                </c:pt>
                <c:pt idx="32">
                  <c:v>0.27526920796319559</c:v>
                </c:pt>
                <c:pt idx="33">
                  <c:v>0.26930298347767878</c:v>
                </c:pt>
                <c:pt idx="34">
                  <c:v>0.26333675899216202</c:v>
                </c:pt>
                <c:pt idx="35">
                  <c:v>0.25737053450664521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4-4304-A16C-60942AB56825}"/>
            </c:ext>
          </c:extLst>
        </c:ser>
        <c:ser>
          <c:idx val="0"/>
          <c:order val="3"/>
          <c:tx>
            <c:v>Optimistic Learning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4.7079689318648733E-2"/>
                  <c:y val="-2.410129911493995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07-4117-953A-90849F66A545}"/>
                </c:ext>
              </c:extLst>
            </c:dLbl>
            <c:dLbl>
              <c:idx val="35"/>
              <c:layout>
                <c:manualLayout>
                  <c:x val="-5.1584278289994567E-2"/>
                  <c:y val="-5.015222167563562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66-4128-9A61-984E037765A8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4472C4"/>
                </a:solidFill>
                <a:prstDash val="sysDash"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'Wind Costs &amp; Learning'!$C$26:$AL$26</c:f>
              <c:numCache>
                <c:formatCode>0.00</c:formatCode>
                <c:ptCount val="36"/>
                <c:pt idx="0">
                  <c:v>0.61508444641598004</c:v>
                </c:pt>
                <c:pt idx="1">
                  <c:v>0.60148116512293825</c:v>
                </c:pt>
                <c:pt idx="2">
                  <c:v>0.58866442196823288</c:v>
                </c:pt>
                <c:pt idx="3">
                  <c:v>0.57657460808373673</c:v>
                </c:pt>
                <c:pt idx="4">
                  <c:v>0.56515821621143947</c:v>
                </c:pt>
                <c:pt idx="5">
                  <c:v>0.55436709296861664</c:v>
                </c:pt>
                <c:pt idx="6">
                  <c:v>0.54407054948979428</c:v>
                </c:pt>
                <c:pt idx="7">
                  <c:v>0.53392950498031333</c:v>
                </c:pt>
                <c:pt idx="8">
                  <c:v>0.52452282812253603</c:v>
                </c:pt>
                <c:pt idx="9">
                  <c:v>0.51561161282027856</c:v>
                </c:pt>
                <c:pt idx="10">
                  <c:v>0.50716527725643168</c:v>
                </c:pt>
                <c:pt idx="11">
                  <c:v>0.49915597259607491</c:v>
                </c:pt>
                <c:pt idx="12">
                  <c:v>0.49155827949712227</c:v>
                </c:pt>
                <c:pt idx="13">
                  <c:v>0.48434896781218828</c:v>
                </c:pt>
                <c:pt idx="14">
                  <c:v>0.47750678022359988</c:v>
                </c:pt>
                <c:pt idx="15">
                  <c:v>0.47101224480998838</c:v>
                </c:pt>
                <c:pt idx="16">
                  <c:v>0.46484750422317789</c:v>
                </c:pt>
                <c:pt idx="17">
                  <c:v>0.45899616741843735</c:v>
                </c:pt>
                <c:pt idx="18">
                  <c:v>0.45344318122077032</c:v>
                </c:pt>
                <c:pt idx="19">
                  <c:v>0.44817470818425093</c:v>
                </c:pt>
                <c:pt idx="20">
                  <c:v>0.44317802608194723</c:v>
                </c:pt>
                <c:pt idx="21">
                  <c:v>0.43844143869770907</c:v>
                </c:pt>
                <c:pt idx="22">
                  <c:v>0.4339541910746616</c:v>
                </c:pt>
                <c:pt idx="23">
                  <c:v>0.42970639926562609</c:v>
                </c:pt>
                <c:pt idx="24">
                  <c:v>0.42568897697571001</c:v>
                </c:pt>
                <c:pt idx="25">
                  <c:v>0.42190365663524243</c:v>
                </c:pt>
                <c:pt idx="26">
                  <c:v>0.41832155988830322</c:v>
                </c:pt>
                <c:pt idx="27">
                  <c:v>0.41494688476353975</c:v>
                </c:pt>
                <c:pt idx="28">
                  <c:v>0.41177324039911989</c:v>
                </c:pt>
                <c:pt idx="29">
                  <c:v>0.40879480016175418</c:v>
                </c:pt>
                <c:pt idx="30">
                  <c:v>0.40600628807184136</c:v>
                </c:pt>
                <c:pt idx="31">
                  <c:v>0.40340292604358208</c:v>
                </c:pt>
                <c:pt idx="32">
                  <c:v>0.40098042489973207</c:v>
                </c:pt>
                <c:pt idx="33">
                  <c:v>0.39873495711718798</c:v>
                </c:pt>
                <c:pt idx="34">
                  <c:v>0.39666313527459496</c:v>
                </c:pt>
                <c:pt idx="35">
                  <c:v>0.39476200393388211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C74-4304-A16C-60942AB56825}"/>
            </c:ext>
          </c:extLst>
        </c:ser>
        <c:ser>
          <c:idx val="5"/>
          <c:order val="4"/>
          <c:tx>
            <c:v>No learning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15"/>
              <c:layout>
                <c:manualLayout>
                  <c:x val="-2.8216318884179595E-2"/>
                  <c:y val="3.831089323895577E-2"/>
                </c:manualLayout>
              </c:layout>
              <c:spPr>
                <a:solidFill>
                  <a:sysClr val="window" lastClr="FFFFFF"/>
                </a:solidFill>
                <a:ln w="15875">
                  <a:solidFill>
                    <a:srgbClr val="ED7D31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EF07-4117-953A-90849F66A545}"/>
                </c:ext>
              </c:extLst>
            </c:dLbl>
            <c:dLbl>
              <c:idx val="35"/>
              <c:layout>
                <c:manualLayout>
                  <c:x val="-5.3422517677805557E-2"/>
                  <c:y val="9.8917049909241338E-3"/>
                </c:manualLayout>
              </c:layout>
              <c:spPr>
                <a:solidFill>
                  <a:sysClr val="window" lastClr="FFFFFF"/>
                </a:solidFill>
                <a:ln w="15875">
                  <a:solidFill>
                    <a:srgbClr val="ED7D31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1566-4128-9A61-984E037765A8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ED7D31">
                    <a:lumMod val="50000"/>
                  </a:srgbClr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(data)'!$C$28:$AL$28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0.62007816382281689</c:v>
                </c:pt>
                <c:pt idx="2">
                  <c:v>0.62007816382281689</c:v>
                </c:pt>
                <c:pt idx="3">
                  <c:v>0.62007816382281689</c:v>
                </c:pt>
                <c:pt idx="4">
                  <c:v>0.62007816382281689</c:v>
                </c:pt>
                <c:pt idx="5">
                  <c:v>0.61305718072759818</c:v>
                </c:pt>
                <c:pt idx="6">
                  <c:v>0.60636656975116177</c:v>
                </c:pt>
                <c:pt idx="7">
                  <c:v>0.60077809662620341</c:v>
                </c:pt>
                <c:pt idx="8">
                  <c:v>0.59543541418050672</c:v>
                </c:pt>
                <c:pt idx="9">
                  <c:v>0.59030835172456464</c:v>
                </c:pt>
                <c:pt idx="10">
                  <c:v>0.58464199864368394</c:v>
                </c:pt>
                <c:pt idx="11">
                  <c:v>0.57934579197857616</c:v>
                </c:pt>
                <c:pt idx="12">
                  <c:v>0.57367394047117504</c:v>
                </c:pt>
                <c:pt idx="13">
                  <c:v>0.56830395409668377</c:v>
                </c:pt>
                <c:pt idx="14">
                  <c:v>0.56319409250119623</c:v>
                </c:pt>
                <c:pt idx="15">
                  <c:v>0.55622681655976991</c:v>
                </c:pt>
                <c:pt idx="16">
                  <c:v>0.55362564405210268</c:v>
                </c:pt>
                <c:pt idx="17">
                  <c:v>0.54911631239215963</c:v>
                </c:pt>
                <c:pt idx="18">
                  <c:v>0.54476325741679599</c:v>
                </c:pt>
                <c:pt idx="19">
                  <c:v>0.54055012533982505</c:v>
                </c:pt>
                <c:pt idx="20">
                  <c:v>0.53609939591699718</c:v>
                </c:pt>
                <c:pt idx="21">
                  <c:v>0.53267672596305993</c:v>
                </c:pt>
                <c:pt idx="22">
                  <c:v>0.52899403279827906</c:v>
                </c:pt>
                <c:pt idx="23">
                  <c:v>0.5254057962480928</c:v>
                </c:pt>
                <c:pt idx="24">
                  <c:v>0.52190405911324556</c:v>
                </c:pt>
                <c:pt idx="25">
                  <c:v>0.518481807665092</c:v>
                </c:pt>
                <c:pt idx="26">
                  <c:v>0.51513282965955254</c:v>
                </c:pt>
                <c:pt idx="27">
                  <c:v>0.51185159794511725</c:v>
                </c:pt>
                <c:pt idx="28">
                  <c:v>0.50863317433953836</c:v>
                </c:pt>
                <c:pt idx="29">
                  <c:v>0.50547312969660596</c:v>
                </c:pt>
                <c:pt idx="30">
                  <c:v>0.50354033311251212</c:v>
                </c:pt>
                <c:pt idx="31">
                  <c:v>0.50117240127218599</c:v>
                </c:pt>
                <c:pt idx="32">
                  <c:v>0.49880446943185996</c:v>
                </c:pt>
                <c:pt idx="33">
                  <c:v>0.49643653759153378</c:v>
                </c:pt>
                <c:pt idx="34">
                  <c:v>0.49406860575120748</c:v>
                </c:pt>
                <c:pt idx="35">
                  <c:v>0.49170067391088135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74-4304-A16C-60942AB56825}"/>
            </c:ext>
          </c:extLst>
        </c:ser>
        <c:ser>
          <c:idx val="2"/>
          <c:order val="5"/>
          <c:tx>
            <c:v>No Learning</c:v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07-4117-953A-90849F66A545}"/>
                </c:ext>
              </c:extLst>
            </c:dLbl>
            <c:dLbl>
              <c:idx val="35"/>
              <c:layout>
                <c:manualLayout>
                  <c:x val="-5.9707519757547386E-2"/>
                  <c:y val="-3.120609617694786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66-4128-9A61-984E037765A8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'Wind Costs &amp; Learning'!$C$28:$AL$28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0.62134757794679907</c:v>
                </c:pt>
                <c:pt idx="6">
                  <c:v>0.62134757794679907</c:v>
                </c:pt>
                <c:pt idx="7">
                  <c:v>0.62134757794679907</c:v>
                </c:pt>
                <c:pt idx="8">
                  <c:v>0.62134757794679907</c:v>
                </c:pt>
                <c:pt idx="9">
                  <c:v>0.62134757794679907</c:v>
                </c:pt>
                <c:pt idx="10">
                  <c:v>0.62134757794679907</c:v>
                </c:pt>
                <c:pt idx="11">
                  <c:v>0.62134757794679907</c:v>
                </c:pt>
                <c:pt idx="12">
                  <c:v>0.62134757794679907</c:v>
                </c:pt>
                <c:pt idx="13">
                  <c:v>0.62134757794679907</c:v>
                </c:pt>
                <c:pt idx="14">
                  <c:v>0.62134757794679907</c:v>
                </c:pt>
                <c:pt idx="15">
                  <c:v>0.62134757794679907</c:v>
                </c:pt>
                <c:pt idx="16">
                  <c:v>0.62134757794679907</c:v>
                </c:pt>
                <c:pt idx="17">
                  <c:v>0.62134757794679907</c:v>
                </c:pt>
                <c:pt idx="18">
                  <c:v>0.62134757794679907</c:v>
                </c:pt>
                <c:pt idx="19">
                  <c:v>0.62134757794679907</c:v>
                </c:pt>
                <c:pt idx="20">
                  <c:v>0.62134757794679907</c:v>
                </c:pt>
                <c:pt idx="21">
                  <c:v>0.62134757794679907</c:v>
                </c:pt>
                <c:pt idx="22">
                  <c:v>0.62134757794679907</c:v>
                </c:pt>
                <c:pt idx="23">
                  <c:v>0.62134757794679907</c:v>
                </c:pt>
                <c:pt idx="24">
                  <c:v>0.62134757794679907</c:v>
                </c:pt>
                <c:pt idx="25">
                  <c:v>0.62134757794679907</c:v>
                </c:pt>
                <c:pt idx="26">
                  <c:v>0.62134757794679907</c:v>
                </c:pt>
                <c:pt idx="27">
                  <c:v>0.62134757794679907</c:v>
                </c:pt>
                <c:pt idx="28">
                  <c:v>0.62134757794679907</c:v>
                </c:pt>
                <c:pt idx="29">
                  <c:v>0.62134757794679907</c:v>
                </c:pt>
                <c:pt idx="30">
                  <c:v>0.62134757794679907</c:v>
                </c:pt>
                <c:pt idx="31">
                  <c:v>0.62134757794679907</c:v>
                </c:pt>
                <c:pt idx="32">
                  <c:v>0.62134757794679907</c:v>
                </c:pt>
                <c:pt idx="33">
                  <c:v>0.62134757794679907</c:v>
                </c:pt>
                <c:pt idx="34">
                  <c:v>0.62134757794679907</c:v>
                </c:pt>
                <c:pt idx="35">
                  <c:v>0.62134757794679907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74-4304-A16C-60942AB5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06800"/>
        <c:axId val="1509255392"/>
      </c:lineChart>
      <c:catAx>
        <c:axId val="5720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55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925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Levelised Cost of Energy - LCOE: (2016</a:t>
                </a:r>
                <a:r>
                  <a:rPr lang="en-US" sz="1050" baseline="0"/>
                  <a:t> R/kWh)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6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781566043265924"/>
          <c:y val="0.89758982895350226"/>
          <c:w val="0.78451911202442226"/>
          <c:h val="8.4684904306821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Levelised Cost of Energy from Solar PV:</a:t>
            </a:r>
            <a:r>
              <a:rPr lang="en-US" sz="1200" b="1" baseline="0"/>
              <a:t> </a:t>
            </a:r>
            <a:r>
              <a:rPr lang="en-US" sz="1200" b="1"/>
              <a:t>2015 - 2050 (2016 R/kWh)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220266138612106E-2"/>
          <c:y val="8.8081768195646351E-2"/>
          <c:w val="0.8590796033076562"/>
          <c:h val="0.75628177811625541"/>
        </c:manualLayout>
      </c:layout>
      <c:lineChart>
        <c:grouping val="standard"/>
        <c:varyColors val="0"/>
        <c:ser>
          <c:idx val="3"/>
          <c:order val="0"/>
          <c:tx>
            <c:v>Reference: Expected Learning</c:v>
          </c:tx>
          <c:spPr>
            <a:ln w="38100">
              <a:solidFill>
                <a:schemeClr val="accent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A8-4EA2-A048-8D76E3B0098D}"/>
                </c:ext>
              </c:extLst>
            </c:dLbl>
            <c:dLbl>
              <c:idx val="3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A8-4EA2-A048-8D76E3B0098D}"/>
                </c:ext>
              </c:extLst>
            </c:dLbl>
            <c:spPr>
              <a:solidFill>
                <a:sysClr val="window" lastClr="FFFFFF"/>
              </a:solidFill>
              <a:ln w="19050">
                <a:solidFill>
                  <a:srgbClr val="FFC000"/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(data)'!$C$27:$AL$27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0.58911132080971285</c:v>
                </c:pt>
                <c:pt idx="2">
                  <c:v>0.56738569348466772</c:v>
                </c:pt>
                <c:pt idx="3">
                  <c:v>0.54900623797239889</c:v>
                </c:pt>
                <c:pt idx="4">
                  <c:v>0.53935206741672859</c:v>
                </c:pt>
                <c:pt idx="5">
                  <c:v>0.53389689801377826</c:v>
                </c:pt>
                <c:pt idx="6">
                  <c:v>0.52844172861082817</c:v>
                </c:pt>
                <c:pt idx="7">
                  <c:v>0.52298655920787784</c:v>
                </c:pt>
                <c:pt idx="8">
                  <c:v>0.51753138980492763</c:v>
                </c:pt>
                <c:pt idx="9">
                  <c:v>0.51207622040197753</c:v>
                </c:pt>
                <c:pt idx="10">
                  <c:v>0.50662105099902732</c:v>
                </c:pt>
                <c:pt idx="11">
                  <c:v>0.50116588159607711</c:v>
                </c:pt>
                <c:pt idx="12">
                  <c:v>0.49571071219312679</c:v>
                </c:pt>
                <c:pt idx="13">
                  <c:v>0.49025554279017669</c:v>
                </c:pt>
                <c:pt idx="14">
                  <c:v>0.48579883965979054</c:v>
                </c:pt>
                <c:pt idx="15">
                  <c:v>0.4813421365294045</c:v>
                </c:pt>
                <c:pt idx="16">
                  <c:v>0.47688543339901851</c:v>
                </c:pt>
                <c:pt idx="17">
                  <c:v>0.47242873026863241</c:v>
                </c:pt>
                <c:pt idx="18">
                  <c:v>0.46797202713824637</c:v>
                </c:pt>
                <c:pt idx="19">
                  <c:v>0.46351532400786022</c:v>
                </c:pt>
                <c:pt idx="20">
                  <c:v>0.45905862087747412</c:v>
                </c:pt>
                <c:pt idx="21">
                  <c:v>0.45460191774708808</c:v>
                </c:pt>
                <c:pt idx="22">
                  <c:v>0.45014521461670198</c:v>
                </c:pt>
                <c:pt idx="23">
                  <c:v>0.445688511486316</c:v>
                </c:pt>
                <c:pt idx="24">
                  <c:v>0.44162783637611402</c:v>
                </c:pt>
                <c:pt idx="25">
                  <c:v>0.43756716126591205</c:v>
                </c:pt>
                <c:pt idx="26">
                  <c:v>0.43350648615570997</c:v>
                </c:pt>
                <c:pt idx="27">
                  <c:v>0.429445811045508</c:v>
                </c:pt>
                <c:pt idx="28">
                  <c:v>0.42538513593530602</c:v>
                </c:pt>
                <c:pt idx="29">
                  <c:v>0.42132446082510405</c:v>
                </c:pt>
                <c:pt idx="30">
                  <c:v>0.41726378571490197</c:v>
                </c:pt>
                <c:pt idx="31">
                  <c:v>0.4132031106047</c:v>
                </c:pt>
                <c:pt idx="32">
                  <c:v>0.40914243549449797</c:v>
                </c:pt>
                <c:pt idx="33">
                  <c:v>0.40508176038429589</c:v>
                </c:pt>
                <c:pt idx="34">
                  <c:v>0.40102108527409369</c:v>
                </c:pt>
                <c:pt idx="35">
                  <c:v>0.39696041016389155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8-4EA2-A048-8D76E3B0098D}"/>
            </c:ext>
          </c:extLst>
        </c:ser>
        <c:ser>
          <c:idx val="4"/>
          <c:order val="2"/>
          <c:tx>
            <c:v>Worst Case CIPPs: Optimistic Learning</c:v>
          </c:tx>
          <c:spPr>
            <a:ln w="28575">
              <a:solidFill>
                <a:schemeClr val="accent4"/>
              </a:solidFill>
              <a:prstDash val="sysDash"/>
            </a:ln>
          </c:spPr>
          <c:marker>
            <c:symbol val="none"/>
          </c:marker>
          <c:dLbls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A8-4EA2-A048-8D76E3B0098D}"/>
                </c:ext>
              </c:extLst>
            </c:dLbl>
            <c:dLbl>
              <c:idx val="3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A8-4EA2-A048-8D76E3B0098D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FFC000"/>
                </a:solidFill>
                <a:prstDash val="sysDash"/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(data)'!$C$26:$AL$26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0.56044589948137347</c:v>
                </c:pt>
                <c:pt idx="2">
                  <c:v>0.51682305667430839</c:v>
                </c:pt>
                <c:pt idx="3">
                  <c:v>0.49651090953637883</c:v>
                </c:pt>
                <c:pt idx="4">
                  <c:v>0.48575722855688619</c:v>
                </c:pt>
                <c:pt idx="5">
                  <c:v>0.47500354757739333</c:v>
                </c:pt>
                <c:pt idx="6">
                  <c:v>0.46424986659790068</c:v>
                </c:pt>
                <c:pt idx="7">
                  <c:v>0.45349618561840793</c:v>
                </c:pt>
                <c:pt idx="8">
                  <c:v>0.44274250463891524</c:v>
                </c:pt>
                <c:pt idx="9">
                  <c:v>0.43198882365942259</c:v>
                </c:pt>
                <c:pt idx="10">
                  <c:v>0.42123514267992979</c:v>
                </c:pt>
                <c:pt idx="11">
                  <c:v>0.41048146170043714</c:v>
                </c:pt>
                <c:pt idx="12">
                  <c:v>0.39972778072094439</c:v>
                </c:pt>
                <c:pt idx="13">
                  <c:v>0.39123892303259905</c:v>
                </c:pt>
                <c:pt idx="14">
                  <c:v>0.38297321260059136</c:v>
                </c:pt>
                <c:pt idx="15">
                  <c:v>0.37697232545973081</c:v>
                </c:pt>
                <c:pt idx="16">
                  <c:v>0.37097143831887031</c:v>
                </c:pt>
                <c:pt idx="17">
                  <c:v>0.36497055117800975</c:v>
                </c:pt>
                <c:pt idx="18">
                  <c:v>0.35896966403714914</c:v>
                </c:pt>
                <c:pt idx="19">
                  <c:v>0.35296877689628864</c:v>
                </c:pt>
                <c:pt idx="20">
                  <c:v>0.34696788975542814</c:v>
                </c:pt>
                <c:pt idx="21">
                  <c:v>0.34096700261456758</c:v>
                </c:pt>
                <c:pt idx="22">
                  <c:v>0.33496611547370708</c:v>
                </c:pt>
                <c:pt idx="23">
                  <c:v>0.32896522833284636</c:v>
                </c:pt>
                <c:pt idx="24">
                  <c:v>0.3229990038473296</c:v>
                </c:pt>
                <c:pt idx="25">
                  <c:v>0.31703277936181284</c:v>
                </c:pt>
                <c:pt idx="26">
                  <c:v>0.31106655487629603</c:v>
                </c:pt>
                <c:pt idx="27">
                  <c:v>0.30510033039077927</c:v>
                </c:pt>
                <c:pt idx="28">
                  <c:v>0.29913410590526252</c:v>
                </c:pt>
                <c:pt idx="29">
                  <c:v>0.29316788141974581</c:v>
                </c:pt>
                <c:pt idx="30">
                  <c:v>0.287201656934229</c:v>
                </c:pt>
                <c:pt idx="31">
                  <c:v>0.28123543244871224</c:v>
                </c:pt>
                <c:pt idx="32">
                  <c:v>0.27526920796319559</c:v>
                </c:pt>
                <c:pt idx="33">
                  <c:v>0.26930298347767878</c:v>
                </c:pt>
                <c:pt idx="34">
                  <c:v>0.26333675899216202</c:v>
                </c:pt>
                <c:pt idx="35">
                  <c:v>0.25737053450664521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A8-4EA2-A048-8D76E3B0098D}"/>
            </c:ext>
          </c:extLst>
        </c:ser>
        <c:ser>
          <c:idx val="5"/>
          <c:order val="4"/>
          <c:tx>
            <c:v>Best Case CIPPs: Pessimistic Learning</c:v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9.7928738248859726E-3"/>
                  <c:y val="-4.355960972963602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8A-4757-8CFE-AB2E65F8056A}"/>
                </c:ext>
              </c:extLst>
            </c:dLbl>
            <c:dLbl>
              <c:idx val="15"/>
              <c:spPr>
                <a:solidFill>
                  <a:sysClr val="window" lastClr="FFFFFF"/>
                </a:solidFill>
                <a:ln w="15875">
                  <a:solidFill>
                    <a:srgbClr val="ED7D31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C5A8-4EA2-A048-8D76E3B0098D}"/>
                </c:ext>
              </c:extLst>
            </c:dLbl>
            <c:dLbl>
              <c:idx val="35"/>
              <c:spPr>
                <a:solidFill>
                  <a:sysClr val="window" lastClr="FFFFFF"/>
                </a:solidFill>
                <a:ln w="15875">
                  <a:solidFill>
                    <a:srgbClr val="ED7D31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C5A8-4EA2-A048-8D76E3B0098D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ED7D31"/>
                </a:solidFill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(data)'!$C$28:$AL$28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0.62007816382281689</c:v>
                </c:pt>
                <c:pt idx="2">
                  <c:v>0.62007816382281689</c:v>
                </c:pt>
                <c:pt idx="3">
                  <c:v>0.62007816382281689</c:v>
                </c:pt>
                <c:pt idx="4">
                  <c:v>0.62007816382281689</c:v>
                </c:pt>
                <c:pt idx="5">
                  <c:v>0.61305718072759818</c:v>
                </c:pt>
                <c:pt idx="6">
                  <c:v>0.60636656975116177</c:v>
                </c:pt>
                <c:pt idx="7">
                  <c:v>0.60077809662620341</c:v>
                </c:pt>
                <c:pt idx="8">
                  <c:v>0.59543541418050672</c:v>
                </c:pt>
                <c:pt idx="9">
                  <c:v>0.59030835172456464</c:v>
                </c:pt>
                <c:pt idx="10">
                  <c:v>0.58464199864368394</c:v>
                </c:pt>
                <c:pt idx="11">
                  <c:v>0.57934579197857616</c:v>
                </c:pt>
                <c:pt idx="12">
                  <c:v>0.57367394047117504</c:v>
                </c:pt>
                <c:pt idx="13">
                  <c:v>0.56830395409668377</c:v>
                </c:pt>
                <c:pt idx="14">
                  <c:v>0.56319409250119623</c:v>
                </c:pt>
                <c:pt idx="15">
                  <c:v>0.55622681655976991</c:v>
                </c:pt>
                <c:pt idx="16">
                  <c:v>0.55362564405210268</c:v>
                </c:pt>
                <c:pt idx="17">
                  <c:v>0.54911631239215963</c:v>
                </c:pt>
                <c:pt idx="18">
                  <c:v>0.54476325741679599</c:v>
                </c:pt>
                <c:pt idx="19">
                  <c:v>0.54055012533982505</c:v>
                </c:pt>
                <c:pt idx="20">
                  <c:v>0.53609939591699718</c:v>
                </c:pt>
                <c:pt idx="21">
                  <c:v>0.53267672596305993</c:v>
                </c:pt>
                <c:pt idx="22">
                  <c:v>0.52899403279827906</c:v>
                </c:pt>
                <c:pt idx="23">
                  <c:v>0.5254057962480928</c:v>
                </c:pt>
                <c:pt idx="24">
                  <c:v>0.52190405911324556</c:v>
                </c:pt>
                <c:pt idx="25">
                  <c:v>0.518481807665092</c:v>
                </c:pt>
                <c:pt idx="26">
                  <c:v>0.51513282965955254</c:v>
                </c:pt>
                <c:pt idx="27">
                  <c:v>0.51185159794511725</c:v>
                </c:pt>
                <c:pt idx="28">
                  <c:v>0.50863317433953836</c:v>
                </c:pt>
                <c:pt idx="29">
                  <c:v>0.50547312969660596</c:v>
                </c:pt>
                <c:pt idx="30">
                  <c:v>0.50354033311251212</c:v>
                </c:pt>
                <c:pt idx="31">
                  <c:v>0.50117240127218599</c:v>
                </c:pt>
                <c:pt idx="32">
                  <c:v>0.49880446943185996</c:v>
                </c:pt>
                <c:pt idx="33">
                  <c:v>0.49643653759153378</c:v>
                </c:pt>
                <c:pt idx="34">
                  <c:v>0.49406860575120748</c:v>
                </c:pt>
                <c:pt idx="35">
                  <c:v>0.49170067391088135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A8-4EA2-A048-8D76E3B0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06800"/>
        <c:axId val="1509255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Reference: Expected Learning</c:v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</c:spPr>
                <c:marker>
                  <c:symbol val="none"/>
                </c:marker>
                <c:dLbls>
                  <c:dLbl>
                    <c:idx val="15"/>
                    <c:spPr>
                      <a:solidFill>
                        <a:sysClr val="window" lastClr="FFFFFF"/>
                      </a:solidFill>
                      <a:ln w="12700">
                        <a:solidFill>
                          <a:srgbClr val="2F5597"/>
                        </a:solidFill>
                      </a:ln>
                      <a:effectLst/>
                    </c:spPr>
                    <c:txPr>
                      <a:bodyPr wrap="square" lIns="38100" tIns="19050" rIns="38100" bIns="19050" anchor="ctr">
                        <a:spAutoFit/>
                      </a:bodyPr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03-C5A8-4EA2-A048-8D76E3B0098D}"/>
                      </c:ext>
                    </c:extLst>
                  </c:dLbl>
                  <c:dLbl>
                    <c:idx val="35"/>
                    <c:layout>
                      <c:manualLayout>
                        <c:x val="-5.6389830470729332E-2"/>
                        <c:y val="-6.4361815799651431E-2"/>
                      </c:manualLayout>
                    </c:layout>
                    <c:dLblPos val="r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C5A8-4EA2-A048-8D76E3B0098D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 w="12700">
                      <a:solidFill>
                        <a:srgbClr val="2F5597"/>
                      </a:solidFill>
                    </a:ln>
                    <a:effectLst/>
                  </c:sp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'Wind Costs &amp; Learning'!$C$25:$AL$25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'Wind Costs &amp; Learning'!$C$27:$AL$27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0.62134757794679907</c:v>
                      </c:pt>
                      <c:pt idx="1">
                        <c:v>0.62134757794679907</c:v>
                      </c:pt>
                      <c:pt idx="2">
                        <c:v>0.62134757794679907</c:v>
                      </c:pt>
                      <c:pt idx="3">
                        <c:v>0.62134757794679907</c:v>
                      </c:pt>
                      <c:pt idx="4">
                        <c:v>0.62134757794679907</c:v>
                      </c:pt>
                      <c:pt idx="5">
                        <c:v>0.61508444641598004</c:v>
                      </c:pt>
                      <c:pt idx="6">
                        <c:v>0.60971532403918027</c:v>
                      </c:pt>
                      <c:pt idx="7">
                        <c:v>0.6041380071590603</c:v>
                      </c:pt>
                      <c:pt idx="8">
                        <c:v>0.59892054792768679</c:v>
                      </c:pt>
                      <c:pt idx="9">
                        <c:v>0.59386556937088064</c:v>
                      </c:pt>
                      <c:pt idx="10">
                        <c:v>0.58896744494578113</c:v>
                      </c:pt>
                      <c:pt idx="11">
                        <c:v>0.58422082825083721</c:v>
                      </c:pt>
                      <c:pt idx="12">
                        <c:v>0.57962066287197811</c:v>
                      </c:pt>
                      <c:pt idx="13">
                        <c:v>0.57516213546044415</c:v>
                      </c:pt>
                      <c:pt idx="14">
                        <c:v>0.57084067779719716</c:v>
                      </c:pt>
                      <c:pt idx="15">
                        <c:v>0.56665195273234781</c:v>
                      </c:pt>
                      <c:pt idx="16">
                        <c:v>0.56259183454369976</c:v>
                      </c:pt>
                      <c:pt idx="17">
                        <c:v>0.5586564035280176</c:v>
                      </c:pt>
                      <c:pt idx="18">
                        <c:v>0.55484192818808376</c:v>
                      </c:pt>
                      <c:pt idx="19">
                        <c:v>0.55114485811923053</c:v>
                      </c:pt>
                      <c:pt idx="20">
                        <c:v>0.54756181427783213</c:v>
                      </c:pt>
                      <c:pt idx="21">
                        <c:v>0.54408958631255933</c:v>
                      </c:pt>
                      <c:pt idx="22">
                        <c:v>0.5407251048216023</c:v>
                      </c:pt>
                      <c:pt idx="23">
                        <c:v>0.53746545913571531</c:v>
                      </c:pt>
                      <c:pt idx="24">
                        <c:v>0.53430787069214969</c:v>
                      </c:pt>
                      <c:pt idx="25">
                        <c:v>0.53125193939801307</c:v>
                      </c:pt>
                      <c:pt idx="26">
                        <c:v>0.52829041488151762</c:v>
                      </c:pt>
                      <c:pt idx="27">
                        <c:v>0.52542338489057339</c:v>
                      </c:pt>
                      <c:pt idx="28">
                        <c:v>0.52264855708126212</c:v>
                      </c:pt>
                      <c:pt idx="29">
                        <c:v>0.5199637535789996</c:v>
                      </c:pt>
                      <c:pt idx="30">
                        <c:v>0.5173668966698004</c:v>
                      </c:pt>
                      <c:pt idx="31">
                        <c:v>0.51485601036096218</c:v>
                      </c:pt>
                      <c:pt idx="32">
                        <c:v>0.51242920986936824</c:v>
                      </c:pt>
                      <c:pt idx="33">
                        <c:v>0.51008470065459655</c:v>
                      </c:pt>
                      <c:pt idx="34">
                        <c:v>0.50782077764311284</c:v>
                      </c:pt>
                      <c:pt idx="35">
                        <c:v>0.50563581555073767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5-C5A8-4EA2-A048-8D76E3B0098D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Worst Case CIPPs: Optimistic Learning</c:v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5"/>
                    <c:layout>
                      <c:manualLayout>
                        <c:x val="-4.7079689318648733E-2"/>
                        <c:y val="-2.4101299114939953E-2"/>
                      </c:manualLayout>
                    </c:layout>
                    <c:dLblPos val="r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C5A8-4EA2-A048-8D76E3B0098D}"/>
                      </c:ext>
                    </c:extLst>
                  </c:dLbl>
                  <c:dLbl>
                    <c:idx val="35"/>
                    <c:layout>
                      <c:manualLayout>
                        <c:x val="-5.1584278289994567E-2"/>
                        <c:y val="-5.0152221675635621E-2"/>
                      </c:manualLayout>
                    </c:layout>
                    <c:dLblPos val="r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C5A8-4EA2-A048-8D76E3B0098D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 w="15875">
                      <a:solidFill>
                        <a:srgbClr val="4472C4"/>
                      </a:solidFill>
                      <a:prstDash val="sysDash"/>
                    </a:ln>
                    <a:effectLst/>
                  </c:sp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Costs &amp; Learning'!$C$25:$AL$25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Costs &amp; Learning'!$C$26:$AL$26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0.61508444641598004</c:v>
                      </c:pt>
                      <c:pt idx="1">
                        <c:v>0.60148116512293825</c:v>
                      </c:pt>
                      <c:pt idx="2">
                        <c:v>0.58866442196823288</c:v>
                      </c:pt>
                      <c:pt idx="3">
                        <c:v>0.57657460808373673</c:v>
                      </c:pt>
                      <c:pt idx="4">
                        <c:v>0.56515821621143947</c:v>
                      </c:pt>
                      <c:pt idx="5">
                        <c:v>0.55436709296861664</c:v>
                      </c:pt>
                      <c:pt idx="6">
                        <c:v>0.54407054948979428</c:v>
                      </c:pt>
                      <c:pt idx="7">
                        <c:v>0.53392950498031333</c:v>
                      </c:pt>
                      <c:pt idx="8">
                        <c:v>0.52452282812253603</c:v>
                      </c:pt>
                      <c:pt idx="9">
                        <c:v>0.51561161282027856</c:v>
                      </c:pt>
                      <c:pt idx="10">
                        <c:v>0.50716527725643168</c:v>
                      </c:pt>
                      <c:pt idx="11">
                        <c:v>0.49915597259607491</c:v>
                      </c:pt>
                      <c:pt idx="12">
                        <c:v>0.49155827949712227</c:v>
                      </c:pt>
                      <c:pt idx="13">
                        <c:v>0.48434896781218828</c:v>
                      </c:pt>
                      <c:pt idx="14">
                        <c:v>0.47750678022359988</c:v>
                      </c:pt>
                      <c:pt idx="15">
                        <c:v>0.47101224480998838</c:v>
                      </c:pt>
                      <c:pt idx="16">
                        <c:v>0.46484750422317789</c:v>
                      </c:pt>
                      <c:pt idx="17">
                        <c:v>0.45899616741843735</c:v>
                      </c:pt>
                      <c:pt idx="18">
                        <c:v>0.45344318122077032</c:v>
                      </c:pt>
                      <c:pt idx="19">
                        <c:v>0.44817470818425093</c:v>
                      </c:pt>
                      <c:pt idx="20">
                        <c:v>0.44317802608194723</c:v>
                      </c:pt>
                      <c:pt idx="21">
                        <c:v>0.43844143869770907</c:v>
                      </c:pt>
                      <c:pt idx="22">
                        <c:v>0.4339541910746616</c:v>
                      </c:pt>
                      <c:pt idx="23">
                        <c:v>0.42970639926562609</c:v>
                      </c:pt>
                      <c:pt idx="24">
                        <c:v>0.42568897697571001</c:v>
                      </c:pt>
                      <c:pt idx="25">
                        <c:v>0.42190365663524243</c:v>
                      </c:pt>
                      <c:pt idx="26">
                        <c:v>0.41832155988830322</c:v>
                      </c:pt>
                      <c:pt idx="27">
                        <c:v>0.41494688476353975</c:v>
                      </c:pt>
                      <c:pt idx="28">
                        <c:v>0.41177324039911989</c:v>
                      </c:pt>
                      <c:pt idx="29">
                        <c:v>0.40879480016175418</c:v>
                      </c:pt>
                      <c:pt idx="30">
                        <c:v>0.40600628807184136</c:v>
                      </c:pt>
                      <c:pt idx="31">
                        <c:v>0.40340292604358208</c:v>
                      </c:pt>
                      <c:pt idx="32">
                        <c:v>0.40098042489973207</c:v>
                      </c:pt>
                      <c:pt idx="33">
                        <c:v>0.39873495711718798</c:v>
                      </c:pt>
                      <c:pt idx="34">
                        <c:v>0.39666313527459496</c:v>
                      </c:pt>
                      <c:pt idx="35">
                        <c:v>0.39476200393388211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5A8-4EA2-A048-8D76E3B0098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Best Case CIPPs: No Learning</c:v>
                </c:tx>
                <c:spPr>
                  <a:ln w="3810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5"/>
                    <c:dLblPos val="t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C5A8-4EA2-A048-8D76E3B0098D}"/>
                      </c:ext>
                    </c:extLst>
                  </c:dLbl>
                  <c:dLbl>
                    <c:idx val="35"/>
                    <c:layout>
                      <c:manualLayout>
                        <c:x val="-5.9707519757547386E-2"/>
                        <c:y val="-3.1206096176947862E-2"/>
                      </c:manualLayout>
                    </c:layout>
                    <c:dLblPos val="r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C5A8-4EA2-A048-8D76E3B0098D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 w="15875">
                      <a:solidFill>
                        <a:sysClr val="windowText" lastClr="000000"/>
                      </a:solidFill>
                    </a:ln>
                    <a:effectLst/>
                  </c:sp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Costs &amp; Learning'!$C$25:$AL$25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Costs &amp; Learning'!$C$28:$AL$28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0.62134757794679907</c:v>
                      </c:pt>
                      <c:pt idx="1">
                        <c:v>0.62134757794679907</c:v>
                      </c:pt>
                      <c:pt idx="2">
                        <c:v>0.62134757794679907</c:v>
                      </c:pt>
                      <c:pt idx="3">
                        <c:v>0.62134757794679907</c:v>
                      </c:pt>
                      <c:pt idx="4">
                        <c:v>0.62134757794679907</c:v>
                      </c:pt>
                      <c:pt idx="5">
                        <c:v>0.62134757794679907</c:v>
                      </c:pt>
                      <c:pt idx="6">
                        <c:v>0.62134757794679907</c:v>
                      </c:pt>
                      <c:pt idx="7">
                        <c:v>0.62134757794679907</c:v>
                      </c:pt>
                      <c:pt idx="8">
                        <c:v>0.62134757794679907</c:v>
                      </c:pt>
                      <c:pt idx="9">
                        <c:v>0.62134757794679907</c:v>
                      </c:pt>
                      <c:pt idx="10">
                        <c:v>0.62134757794679907</c:v>
                      </c:pt>
                      <c:pt idx="11">
                        <c:v>0.62134757794679907</c:v>
                      </c:pt>
                      <c:pt idx="12">
                        <c:v>0.62134757794679907</c:v>
                      </c:pt>
                      <c:pt idx="13">
                        <c:v>0.62134757794679907</c:v>
                      </c:pt>
                      <c:pt idx="14">
                        <c:v>0.62134757794679907</c:v>
                      </c:pt>
                      <c:pt idx="15">
                        <c:v>0.62134757794679907</c:v>
                      </c:pt>
                      <c:pt idx="16">
                        <c:v>0.62134757794679907</c:v>
                      </c:pt>
                      <c:pt idx="17">
                        <c:v>0.62134757794679907</c:v>
                      </c:pt>
                      <c:pt idx="18">
                        <c:v>0.62134757794679907</c:v>
                      </c:pt>
                      <c:pt idx="19">
                        <c:v>0.62134757794679907</c:v>
                      </c:pt>
                      <c:pt idx="20">
                        <c:v>0.62134757794679907</c:v>
                      </c:pt>
                      <c:pt idx="21">
                        <c:v>0.62134757794679907</c:v>
                      </c:pt>
                      <c:pt idx="22">
                        <c:v>0.62134757794679907</c:v>
                      </c:pt>
                      <c:pt idx="23">
                        <c:v>0.62134757794679907</c:v>
                      </c:pt>
                      <c:pt idx="24">
                        <c:v>0.62134757794679907</c:v>
                      </c:pt>
                      <c:pt idx="25">
                        <c:v>0.62134757794679907</c:v>
                      </c:pt>
                      <c:pt idx="26">
                        <c:v>0.62134757794679907</c:v>
                      </c:pt>
                      <c:pt idx="27">
                        <c:v>0.62134757794679907</c:v>
                      </c:pt>
                      <c:pt idx="28">
                        <c:v>0.62134757794679907</c:v>
                      </c:pt>
                      <c:pt idx="29">
                        <c:v>0.62134757794679907</c:v>
                      </c:pt>
                      <c:pt idx="30">
                        <c:v>0.62134757794679907</c:v>
                      </c:pt>
                      <c:pt idx="31">
                        <c:v>0.62134757794679907</c:v>
                      </c:pt>
                      <c:pt idx="32">
                        <c:v>0.62134757794679907</c:v>
                      </c:pt>
                      <c:pt idx="33">
                        <c:v>0.62134757794679907</c:v>
                      </c:pt>
                      <c:pt idx="34">
                        <c:v>0.62134757794679907</c:v>
                      </c:pt>
                      <c:pt idx="35">
                        <c:v>0.62134757794679907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5A8-4EA2-A048-8D76E3B0098D}"/>
                  </c:ext>
                </c:extLst>
              </c15:ser>
            </c15:filteredLineSeries>
          </c:ext>
        </c:extLst>
      </c:lineChart>
      <c:catAx>
        <c:axId val="5720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55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925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Levelised Cost of Energy - LCOE: (2016</a:t>
                </a:r>
                <a:r>
                  <a:rPr lang="en-US" sz="1050" baseline="0"/>
                  <a:t> R/kWh)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6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781569234666104"/>
          <c:y val="0.90750718358080307"/>
          <c:w val="0.78451911202442226"/>
          <c:h val="8.4684904306821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Levelised Cost of Energy from Wind:</a:t>
            </a:r>
            <a:r>
              <a:rPr lang="en-US" sz="1200" b="1" baseline="0"/>
              <a:t> </a:t>
            </a:r>
            <a:r>
              <a:rPr lang="en-US" sz="1200" b="1"/>
              <a:t>2015 - 2050 (2016 R/kWh)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220266138612106E-2"/>
          <c:y val="8.8081768195646351E-2"/>
          <c:w val="0.8590796033076562"/>
          <c:h val="0.75628177811625541"/>
        </c:manualLayout>
      </c:layout>
      <c:lineChart>
        <c:grouping val="standard"/>
        <c:varyColors val="0"/>
        <c:ser>
          <c:idx val="1"/>
          <c:order val="1"/>
          <c:tx>
            <c:v>Reference: Expected Learning</c:v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15"/>
              <c:spPr>
                <a:solidFill>
                  <a:sysClr val="window" lastClr="FFFFFF"/>
                </a:solidFill>
                <a:ln w="12700">
                  <a:solidFill>
                    <a:srgbClr val="2F5597"/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0556-4644-97F7-FC298CBC717A}"/>
                </c:ext>
              </c:extLst>
            </c:dLbl>
            <c:dLbl>
              <c:idx val="3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56-4644-97F7-FC298CBC717A}"/>
                </c:ext>
              </c:extLst>
            </c:dLbl>
            <c:spPr>
              <a:solidFill>
                <a:sysClr val="window" lastClr="FFFFFF"/>
              </a:solidFill>
              <a:ln w="12700">
                <a:solidFill>
                  <a:srgbClr val="2F5597"/>
                </a:solidFill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'Wind Costs &amp; Learning'!$C$27:$AL$27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0.61508444641598004</c:v>
                </c:pt>
                <c:pt idx="6">
                  <c:v>0.60971532403918027</c:v>
                </c:pt>
                <c:pt idx="7">
                  <c:v>0.6041380071590603</c:v>
                </c:pt>
                <c:pt idx="8">
                  <c:v>0.59892054792768679</c:v>
                </c:pt>
                <c:pt idx="9">
                  <c:v>0.59386556937088064</c:v>
                </c:pt>
                <c:pt idx="10">
                  <c:v>0.58896744494578113</c:v>
                </c:pt>
                <c:pt idx="11">
                  <c:v>0.58422082825083721</c:v>
                </c:pt>
                <c:pt idx="12">
                  <c:v>0.57962066287197811</c:v>
                </c:pt>
                <c:pt idx="13">
                  <c:v>0.57516213546044415</c:v>
                </c:pt>
                <c:pt idx="14">
                  <c:v>0.57084067779719716</c:v>
                </c:pt>
                <c:pt idx="15">
                  <c:v>0.56665195273234781</c:v>
                </c:pt>
                <c:pt idx="16">
                  <c:v>0.56259183454369976</c:v>
                </c:pt>
                <c:pt idx="17">
                  <c:v>0.5586564035280176</c:v>
                </c:pt>
                <c:pt idx="18">
                  <c:v>0.55484192818808376</c:v>
                </c:pt>
                <c:pt idx="19">
                  <c:v>0.55114485811923053</c:v>
                </c:pt>
                <c:pt idx="20">
                  <c:v>0.54756181427783213</c:v>
                </c:pt>
                <c:pt idx="21">
                  <c:v>0.54408958631255933</c:v>
                </c:pt>
                <c:pt idx="22">
                  <c:v>0.5407251048216023</c:v>
                </c:pt>
                <c:pt idx="23">
                  <c:v>0.53746545913571531</c:v>
                </c:pt>
                <c:pt idx="24">
                  <c:v>0.53430787069214969</c:v>
                </c:pt>
                <c:pt idx="25">
                  <c:v>0.53125193939801307</c:v>
                </c:pt>
                <c:pt idx="26">
                  <c:v>0.52829041488151762</c:v>
                </c:pt>
                <c:pt idx="27">
                  <c:v>0.52542338489057339</c:v>
                </c:pt>
                <c:pt idx="28">
                  <c:v>0.52264855708126212</c:v>
                </c:pt>
                <c:pt idx="29">
                  <c:v>0.5199637535789996</c:v>
                </c:pt>
                <c:pt idx="30">
                  <c:v>0.5173668966698004</c:v>
                </c:pt>
                <c:pt idx="31">
                  <c:v>0.51485601036096218</c:v>
                </c:pt>
                <c:pt idx="32">
                  <c:v>0.51242920986936824</c:v>
                </c:pt>
                <c:pt idx="33">
                  <c:v>0.51008470065459655</c:v>
                </c:pt>
                <c:pt idx="34">
                  <c:v>0.50782077764311284</c:v>
                </c:pt>
                <c:pt idx="35">
                  <c:v>0.50563581555073767</c:v>
                </c:pt>
              </c:numCache>
              <c:extLst xmlns:c15="http://schemas.microsoft.com/office/drawing/2012/chart"/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0556-4644-97F7-FC298CBC717A}"/>
            </c:ext>
          </c:extLst>
        </c:ser>
        <c:ser>
          <c:idx val="0"/>
          <c:order val="3"/>
          <c:tx>
            <c:v>Worst Case CIPPs: Optimistic Learning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556-4644-97F7-FC298CBC717A}"/>
                </c:ext>
              </c:extLst>
            </c:dLbl>
            <c:dLbl>
              <c:idx val="3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56-4644-97F7-FC298CBC717A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rgbClr val="4472C4"/>
                </a:solidFill>
                <a:prstDash val="sysDash"/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'Wind Costs &amp; Learning'!$C$26:$AL$26</c:f>
              <c:numCache>
                <c:formatCode>0.00</c:formatCode>
                <c:ptCount val="36"/>
                <c:pt idx="0">
                  <c:v>0.61508444641598004</c:v>
                </c:pt>
                <c:pt idx="1">
                  <c:v>0.60148116512293825</c:v>
                </c:pt>
                <c:pt idx="2">
                  <c:v>0.58866442196823288</c:v>
                </c:pt>
                <c:pt idx="3">
                  <c:v>0.57657460808373673</c:v>
                </c:pt>
                <c:pt idx="4">
                  <c:v>0.56515821621143947</c:v>
                </c:pt>
                <c:pt idx="5">
                  <c:v>0.55436709296861664</c:v>
                </c:pt>
                <c:pt idx="6">
                  <c:v>0.54407054948979428</c:v>
                </c:pt>
                <c:pt idx="7">
                  <c:v>0.53392950498031333</c:v>
                </c:pt>
                <c:pt idx="8">
                  <c:v>0.52452282812253603</c:v>
                </c:pt>
                <c:pt idx="9">
                  <c:v>0.51561161282027856</c:v>
                </c:pt>
                <c:pt idx="10">
                  <c:v>0.50716527725643168</c:v>
                </c:pt>
                <c:pt idx="11">
                  <c:v>0.49915597259607491</c:v>
                </c:pt>
                <c:pt idx="12">
                  <c:v>0.49155827949712227</c:v>
                </c:pt>
                <c:pt idx="13">
                  <c:v>0.48434896781218828</c:v>
                </c:pt>
                <c:pt idx="14">
                  <c:v>0.47750678022359988</c:v>
                </c:pt>
                <c:pt idx="15">
                  <c:v>0.47101224480998838</c:v>
                </c:pt>
                <c:pt idx="16">
                  <c:v>0.46484750422317789</c:v>
                </c:pt>
                <c:pt idx="17">
                  <c:v>0.45899616741843735</c:v>
                </c:pt>
                <c:pt idx="18">
                  <c:v>0.45344318122077032</c:v>
                </c:pt>
                <c:pt idx="19">
                  <c:v>0.44817470818425093</c:v>
                </c:pt>
                <c:pt idx="20">
                  <c:v>0.44317802608194723</c:v>
                </c:pt>
                <c:pt idx="21">
                  <c:v>0.43844143869770907</c:v>
                </c:pt>
                <c:pt idx="22">
                  <c:v>0.4339541910746616</c:v>
                </c:pt>
                <c:pt idx="23">
                  <c:v>0.42970639926562609</c:v>
                </c:pt>
                <c:pt idx="24">
                  <c:v>0.42568897697571001</c:v>
                </c:pt>
                <c:pt idx="25">
                  <c:v>0.42190365663524243</c:v>
                </c:pt>
                <c:pt idx="26">
                  <c:v>0.41832155988830322</c:v>
                </c:pt>
                <c:pt idx="27">
                  <c:v>0.41494688476353975</c:v>
                </c:pt>
                <c:pt idx="28">
                  <c:v>0.41177324039911989</c:v>
                </c:pt>
                <c:pt idx="29">
                  <c:v>0.40879480016175418</c:v>
                </c:pt>
                <c:pt idx="30">
                  <c:v>0.40600628807184136</c:v>
                </c:pt>
                <c:pt idx="31">
                  <c:v>0.40340292604358208</c:v>
                </c:pt>
                <c:pt idx="32">
                  <c:v>0.40098042489973207</c:v>
                </c:pt>
                <c:pt idx="33">
                  <c:v>0.39873495711718798</c:v>
                </c:pt>
                <c:pt idx="34">
                  <c:v>0.39666313527459496</c:v>
                </c:pt>
                <c:pt idx="35">
                  <c:v>0.39476200393388211</c:v>
                </c:pt>
              </c:numCache>
              <c:extLst xmlns:c15="http://schemas.microsoft.com/office/drawing/2012/chart"/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0556-4644-97F7-FC298CBC717A}"/>
            </c:ext>
          </c:extLst>
        </c:ser>
        <c:ser>
          <c:idx val="2"/>
          <c:order val="5"/>
          <c:tx>
            <c:v>Best Case CIPPs: No Learning</c:v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873771285736852E-3"/>
                  <c:y val="-4.355960972963602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556-4644-97F7-FC298CBC717A}"/>
                </c:ext>
              </c:extLst>
            </c:dLbl>
            <c:dLbl>
              <c:idx val="1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556-4644-97F7-FC298CBC717A}"/>
                </c:ext>
              </c:extLst>
            </c:dLbl>
            <c:dLbl>
              <c:idx val="3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556-4644-97F7-FC298CBC717A}"/>
                </c:ext>
              </c:extLst>
            </c:dLbl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'Wind Costs &amp; Learning'!$C$25:$AL$25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'Wind Costs &amp; Learning'!$C$28:$AL$28</c:f>
              <c:numCache>
                <c:formatCode>0.00</c:formatCode>
                <c:ptCount val="36"/>
                <c:pt idx="0">
                  <c:v>0.62134757794679907</c:v>
                </c:pt>
                <c:pt idx="1">
                  <c:v>0.62134757794679907</c:v>
                </c:pt>
                <c:pt idx="2">
                  <c:v>0.62134757794679907</c:v>
                </c:pt>
                <c:pt idx="3">
                  <c:v>0.62134757794679907</c:v>
                </c:pt>
                <c:pt idx="4">
                  <c:v>0.62134757794679907</c:v>
                </c:pt>
                <c:pt idx="5">
                  <c:v>0.62134757794679907</c:v>
                </c:pt>
                <c:pt idx="6">
                  <c:v>0.62134757794679907</c:v>
                </c:pt>
                <c:pt idx="7">
                  <c:v>0.62134757794679907</c:v>
                </c:pt>
                <c:pt idx="8">
                  <c:v>0.62134757794679907</c:v>
                </c:pt>
                <c:pt idx="9">
                  <c:v>0.62134757794679907</c:v>
                </c:pt>
                <c:pt idx="10">
                  <c:v>0.62134757794679907</c:v>
                </c:pt>
                <c:pt idx="11">
                  <c:v>0.62134757794679907</c:v>
                </c:pt>
                <c:pt idx="12">
                  <c:v>0.62134757794679907</c:v>
                </c:pt>
                <c:pt idx="13">
                  <c:v>0.62134757794679907</c:v>
                </c:pt>
                <c:pt idx="14">
                  <c:v>0.62134757794679907</c:v>
                </c:pt>
                <c:pt idx="15">
                  <c:v>0.62134757794679907</c:v>
                </c:pt>
                <c:pt idx="16">
                  <c:v>0.62134757794679907</c:v>
                </c:pt>
                <c:pt idx="17">
                  <c:v>0.62134757794679907</c:v>
                </c:pt>
                <c:pt idx="18">
                  <c:v>0.62134757794679907</c:v>
                </c:pt>
                <c:pt idx="19">
                  <c:v>0.62134757794679907</c:v>
                </c:pt>
                <c:pt idx="20">
                  <c:v>0.62134757794679907</c:v>
                </c:pt>
                <c:pt idx="21">
                  <c:v>0.62134757794679907</c:v>
                </c:pt>
                <c:pt idx="22">
                  <c:v>0.62134757794679907</c:v>
                </c:pt>
                <c:pt idx="23">
                  <c:v>0.62134757794679907</c:v>
                </c:pt>
                <c:pt idx="24">
                  <c:v>0.62134757794679907</c:v>
                </c:pt>
                <c:pt idx="25">
                  <c:v>0.62134757794679907</c:v>
                </c:pt>
                <c:pt idx="26">
                  <c:v>0.62134757794679907</c:v>
                </c:pt>
                <c:pt idx="27">
                  <c:v>0.62134757794679907</c:v>
                </c:pt>
                <c:pt idx="28">
                  <c:v>0.62134757794679907</c:v>
                </c:pt>
                <c:pt idx="29">
                  <c:v>0.62134757794679907</c:v>
                </c:pt>
                <c:pt idx="30">
                  <c:v>0.62134757794679907</c:v>
                </c:pt>
                <c:pt idx="31">
                  <c:v>0.62134757794679907</c:v>
                </c:pt>
                <c:pt idx="32">
                  <c:v>0.62134757794679907</c:v>
                </c:pt>
                <c:pt idx="33">
                  <c:v>0.62134757794679907</c:v>
                </c:pt>
                <c:pt idx="34">
                  <c:v>0.62134757794679907</c:v>
                </c:pt>
                <c:pt idx="35">
                  <c:v>0.62134757794679907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0556-4644-97F7-FC298CBC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06800"/>
        <c:axId val="1509255392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Reference: Expected Learning</c:v>
                </c:tx>
                <c:spPr>
                  <a:ln w="38100">
                    <a:solidFill>
                      <a:schemeClr val="accent4"/>
                    </a:solidFill>
                  </a:ln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</c:spPr>
                <c:marker>
                  <c:symbol val="none"/>
                </c:marker>
                <c:dLbls>
                  <c:dLbl>
                    <c:idx val="15"/>
                    <c:dLblPos val="b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0556-4644-97F7-FC298CBC717A}"/>
                      </c:ext>
                    </c:extLst>
                  </c:dLbl>
                  <c:dLbl>
                    <c:idx val="35"/>
                    <c:dLblPos val="b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0556-4644-97F7-FC298CBC717A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 w="19050">
                      <a:solidFill>
                        <a:srgbClr val="FFC000"/>
                      </a:solidFill>
                    </a:ln>
                    <a:effectLst/>
                  </c:spPr>
                  <c:dLblPos val="b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'Solar PV Learning (data)'!$C$25:$AL$25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'Solar PV Learning (data)'!$C$27:$AL$27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0.62007816382281689</c:v>
                      </c:pt>
                      <c:pt idx="1">
                        <c:v>0.58911132080971285</c:v>
                      </c:pt>
                      <c:pt idx="2">
                        <c:v>0.56738569348466772</c:v>
                      </c:pt>
                      <c:pt idx="3">
                        <c:v>0.54900623797239889</c:v>
                      </c:pt>
                      <c:pt idx="4">
                        <c:v>0.53935206741672859</c:v>
                      </c:pt>
                      <c:pt idx="5">
                        <c:v>0.53389689801377826</c:v>
                      </c:pt>
                      <c:pt idx="6">
                        <c:v>0.52844172861082817</c:v>
                      </c:pt>
                      <c:pt idx="7">
                        <c:v>0.52298655920787784</c:v>
                      </c:pt>
                      <c:pt idx="8">
                        <c:v>0.51753138980492763</c:v>
                      </c:pt>
                      <c:pt idx="9">
                        <c:v>0.51207622040197753</c:v>
                      </c:pt>
                      <c:pt idx="10">
                        <c:v>0.50662105099902732</c:v>
                      </c:pt>
                      <c:pt idx="11">
                        <c:v>0.50116588159607711</c:v>
                      </c:pt>
                      <c:pt idx="12">
                        <c:v>0.49571071219312679</c:v>
                      </c:pt>
                      <c:pt idx="13">
                        <c:v>0.49025554279017669</c:v>
                      </c:pt>
                      <c:pt idx="14">
                        <c:v>0.48579883965979054</c:v>
                      </c:pt>
                      <c:pt idx="15">
                        <c:v>0.4813421365294045</c:v>
                      </c:pt>
                      <c:pt idx="16">
                        <c:v>0.47688543339901851</c:v>
                      </c:pt>
                      <c:pt idx="17">
                        <c:v>0.47242873026863241</c:v>
                      </c:pt>
                      <c:pt idx="18">
                        <c:v>0.46797202713824637</c:v>
                      </c:pt>
                      <c:pt idx="19">
                        <c:v>0.46351532400786022</c:v>
                      </c:pt>
                      <c:pt idx="20">
                        <c:v>0.45905862087747412</c:v>
                      </c:pt>
                      <c:pt idx="21">
                        <c:v>0.45460191774708808</c:v>
                      </c:pt>
                      <c:pt idx="22">
                        <c:v>0.45014521461670198</c:v>
                      </c:pt>
                      <c:pt idx="23">
                        <c:v>0.445688511486316</c:v>
                      </c:pt>
                      <c:pt idx="24">
                        <c:v>0.44162783637611402</c:v>
                      </c:pt>
                      <c:pt idx="25">
                        <c:v>0.43756716126591205</c:v>
                      </c:pt>
                      <c:pt idx="26">
                        <c:v>0.43350648615570997</c:v>
                      </c:pt>
                      <c:pt idx="27">
                        <c:v>0.429445811045508</c:v>
                      </c:pt>
                      <c:pt idx="28">
                        <c:v>0.42538513593530602</c:v>
                      </c:pt>
                      <c:pt idx="29">
                        <c:v>0.42132446082510405</c:v>
                      </c:pt>
                      <c:pt idx="30">
                        <c:v>0.41726378571490197</c:v>
                      </c:pt>
                      <c:pt idx="31">
                        <c:v>0.4132031106047</c:v>
                      </c:pt>
                      <c:pt idx="32">
                        <c:v>0.40914243549449797</c:v>
                      </c:pt>
                      <c:pt idx="33">
                        <c:v>0.40508176038429589</c:v>
                      </c:pt>
                      <c:pt idx="34">
                        <c:v>0.40102108527409369</c:v>
                      </c:pt>
                      <c:pt idx="35">
                        <c:v>0.39696041016389155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556-4644-97F7-FC298CBC717A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v>Worst Case IPPs: Optimistic Learning</c:v>
                </c:tx>
                <c:spPr>
                  <a:ln w="28575">
                    <a:solidFill>
                      <a:schemeClr val="accent4"/>
                    </a:solidFill>
                    <a:prstDash val="sysDash"/>
                  </a:ln>
                </c:spPr>
                <c:marker>
                  <c:symbol val="none"/>
                </c:marker>
                <c:dLbls>
                  <c:dLbl>
                    <c:idx val="15"/>
                    <c:dLblPos val="b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0556-4644-97F7-FC298CBC717A}"/>
                      </c:ext>
                    </c:extLst>
                  </c:dLbl>
                  <c:dLbl>
                    <c:idx val="35"/>
                    <c:dLblPos val="b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0556-4644-97F7-FC298CBC717A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 w="15875">
                      <a:solidFill>
                        <a:srgbClr val="FFC000"/>
                      </a:solidFill>
                      <a:prstDash val="sysDash"/>
                    </a:ln>
                    <a:effectLst/>
                  </c:spPr>
                  <c:dLblPos val="b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'Solar PV Learning (data)'!$C$25:$AL$25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'Solar PV Learning (data)'!$C$26:$AL$26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0.62007816382281689</c:v>
                      </c:pt>
                      <c:pt idx="1">
                        <c:v>0.56044589948137347</c:v>
                      </c:pt>
                      <c:pt idx="2">
                        <c:v>0.51682305667430839</c:v>
                      </c:pt>
                      <c:pt idx="3">
                        <c:v>0.49651090953637883</c:v>
                      </c:pt>
                      <c:pt idx="4">
                        <c:v>0.48575722855688619</c:v>
                      </c:pt>
                      <c:pt idx="5">
                        <c:v>0.47500354757739333</c:v>
                      </c:pt>
                      <c:pt idx="6">
                        <c:v>0.46424986659790068</c:v>
                      </c:pt>
                      <c:pt idx="7">
                        <c:v>0.45349618561840793</c:v>
                      </c:pt>
                      <c:pt idx="8">
                        <c:v>0.44274250463891524</c:v>
                      </c:pt>
                      <c:pt idx="9">
                        <c:v>0.43198882365942259</c:v>
                      </c:pt>
                      <c:pt idx="10">
                        <c:v>0.42123514267992979</c:v>
                      </c:pt>
                      <c:pt idx="11">
                        <c:v>0.41048146170043714</c:v>
                      </c:pt>
                      <c:pt idx="12">
                        <c:v>0.39972778072094439</c:v>
                      </c:pt>
                      <c:pt idx="13">
                        <c:v>0.39123892303259905</c:v>
                      </c:pt>
                      <c:pt idx="14">
                        <c:v>0.38297321260059136</c:v>
                      </c:pt>
                      <c:pt idx="15">
                        <c:v>0.37697232545973081</c:v>
                      </c:pt>
                      <c:pt idx="16">
                        <c:v>0.37097143831887031</c:v>
                      </c:pt>
                      <c:pt idx="17">
                        <c:v>0.36497055117800975</c:v>
                      </c:pt>
                      <c:pt idx="18">
                        <c:v>0.35896966403714914</c:v>
                      </c:pt>
                      <c:pt idx="19">
                        <c:v>0.35296877689628864</c:v>
                      </c:pt>
                      <c:pt idx="20">
                        <c:v>0.34696788975542814</c:v>
                      </c:pt>
                      <c:pt idx="21">
                        <c:v>0.34096700261456758</c:v>
                      </c:pt>
                      <c:pt idx="22">
                        <c:v>0.33496611547370708</c:v>
                      </c:pt>
                      <c:pt idx="23">
                        <c:v>0.32896522833284636</c:v>
                      </c:pt>
                      <c:pt idx="24">
                        <c:v>0.3229990038473296</c:v>
                      </c:pt>
                      <c:pt idx="25">
                        <c:v>0.31703277936181284</c:v>
                      </c:pt>
                      <c:pt idx="26">
                        <c:v>0.31106655487629603</c:v>
                      </c:pt>
                      <c:pt idx="27">
                        <c:v>0.30510033039077927</c:v>
                      </c:pt>
                      <c:pt idx="28">
                        <c:v>0.29913410590526252</c:v>
                      </c:pt>
                      <c:pt idx="29">
                        <c:v>0.29316788141974581</c:v>
                      </c:pt>
                      <c:pt idx="30">
                        <c:v>0.287201656934229</c:v>
                      </c:pt>
                      <c:pt idx="31">
                        <c:v>0.28123543244871224</c:v>
                      </c:pt>
                      <c:pt idx="32">
                        <c:v>0.27526920796319559</c:v>
                      </c:pt>
                      <c:pt idx="33">
                        <c:v>0.26930298347767878</c:v>
                      </c:pt>
                      <c:pt idx="34">
                        <c:v>0.26333675899216202</c:v>
                      </c:pt>
                      <c:pt idx="35">
                        <c:v>0.25737053450664521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56-4644-97F7-FC298CBC717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v>Best Case CIPPs: Pesimistic Learning</c:v>
                </c:tx>
                <c:spPr>
                  <a:ln w="38100">
                    <a:solidFill>
                      <a:schemeClr val="accent4"/>
                    </a:solidFill>
                  </a:ln>
                </c:spPr>
                <c:marker>
                  <c:symbol val="none"/>
                </c:marker>
                <c:dLbls>
                  <c:dLbl>
                    <c:idx val="15"/>
                    <c:spPr>
                      <a:solidFill>
                        <a:sysClr val="window" lastClr="FFFFFF"/>
                      </a:solidFill>
                      <a:ln w="15875">
                        <a:solidFill>
                          <a:srgbClr val="FFC000"/>
                        </a:solidFill>
                      </a:ln>
                      <a:effectLst/>
                    </c:spPr>
                    <c:txPr>
                      <a:bodyPr wrap="square" lIns="38100" tIns="19050" rIns="38100" bIns="19050" anchor="ctr">
                        <a:spAutoFit/>
                      </a:bodyPr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06-0556-4644-97F7-FC298CBC717A}"/>
                      </c:ext>
                    </c:extLst>
                  </c:dLbl>
                  <c:dLbl>
                    <c:idx val="35"/>
                    <c:spPr>
                      <a:solidFill>
                        <a:sysClr val="window" lastClr="FFFFFF"/>
                      </a:solidFill>
                      <a:ln w="15875">
                        <a:solidFill>
                          <a:srgbClr val="FFC000"/>
                        </a:solidFill>
                      </a:ln>
                      <a:effectLst/>
                    </c:spPr>
                    <c:txPr>
                      <a:bodyPr wrap="square" lIns="38100" tIns="19050" rIns="38100" bIns="19050" anchor="ctr">
                        <a:spAutoFit/>
                      </a:bodyPr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dLblPos val="t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07-0556-4644-97F7-FC298CBC717A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 w="15875">
                      <a:solidFill>
                        <a:schemeClr val="accent4"/>
                      </a:solidFill>
                    </a:ln>
                    <a:effectLst/>
                  </c:sp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'Solar PV Learning (data)'!$C$25:$AL$25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'Solar PV Learning (data)'!$C$28:$AL$28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0.62007816382281689</c:v>
                      </c:pt>
                      <c:pt idx="1">
                        <c:v>0.62007816382281689</c:v>
                      </c:pt>
                      <c:pt idx="2">
                        <c:v>0.62007816382281689</c:v>
                      </c:pt>
                      <c:pt idx="3">
                        <c:v>0.62007816382281689</c:v>
                      </c:pt>
                      <c:pt idx="4">
                        <c:v>0.62007816382281689</c:v>
                      </c:pt>
                      <c:pt idx="5">
                        <c:v>0.61305718072759818</c:v>
                      </c:pt>
                      <c:pt idx="6">
                        <c:v>0.60636656975116177</c:v>
                      </c:pt>
                      <c:pt idx="7">
                        <c:v>0.60077809662620341</c:v>
                      </c:pt>
                      <c:pt idx="8">
                        <c:v>0.59543541418050672</c:v>
                      </c:pt>
                      <c:pt idx="9">
                        <c:v>0.59030835172456464</c:v>
                      </c:pt>
                      <c:pt idx="10">
                        <c:v>0.58464199864368394</c:v>
                      </c:pt>
                      <c:pt idx="11">
                        <c:v>0.57934579197857616</c:v>
                      </c:pt>
                      <c:pt idx="12">
                        <c:v>0.57367394047117504</c:v>
                      </c:pt>
                      <c:pt idx="13">
                        <c:v>0.56830395409668377</c:v>
                      </c:pt>
                      <c:pt idx="14">
                        <c:v>0.56319409250119623</c:v>
                      </c:pt>
                      <c:pt idx="15">
                        <c:v>0.55622681655976991</c:v>
                      </c:pt>
                      <c:pt idx="16">
                        <c:v>0.55362564405210268</c:v>
                      </c:pt>
                      <c:pt idx="17">
                        <c:v>0.54911631239215963</c:v>
                      </c:pt>
                      <c:pt idx="18">
                        <c:v>0.54476325741679599</c:v>
                      </c:pt>
                      <c:pt idx="19">
                        <c:v>0.54055012533982505</c:v>
                      </c:pt>
                      <c:pt idx="20">
                        <c:v>0.53609939591699718</c:v>
                      </c:pt>
                      <c:pt idx="21">
                        <c:v>0.53267672596305993</c:v>
                      </c:pt>
                      <c:pt idx="22">
                        <c:v>0.52899403279827906</c:v>
                      </c:pt>
                      <c:pt idx="23">
                        <c:v>0.5254057962480928</c:v>
                      </c:pt>
                      <c:pt idx="24">
                        <c:v>0.52190405911324556</c:v>
                      </c:pt>
                      <c:pt idx="25">
                        <c:v>0.518481807665092</c:v>
                      </c:pt>
                      <c:pt idx="26">
                        <c:v>0.51513282965955254</c:v>
                      </c:pt>
                      <c:pt idx="27">
                        <c:v>0.51185159794511725</c:v>
                      </c:pt>
                      <c:pt idx="28">
                        <c:v>0.50863317433953836</c:v>
                      </c:pt>
                      <c:pt idx="29">
                        <c:v>0.50547312969660596</c:v>
                      </c:pt>
                      <c:pt idx="30">
                        <c:v>0.50354033311251212</c:v>
                      </c:pt>
                      <c:pt idx="31">
                        <c:v>0.50117240127218599</c:v>
                      </c:pt>
                      <c:pt idx="32">
                        <c:v>0.49880446943185996</c:v>
                      </c:pt>
                      <c:pt idx="33">
                        <c:v>0.49643653759153378</c:v>
                      </c:pt>
                      <c:pt idx="34">
                        <c:v>0.49406860575120748</c:v>
                      </c:pt>
                      <c:pt idx="35">
                        <c:v>0.49170067391088135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56-4644-97F7-FC298CBC717A}"/>
                  </c:ext>
                </c:extLst>
              </c15:ser>
            </c15:filteredLineSeries>
          </c:ext>
        </c:extLst>
      </c:lineChart>
      <c:catAx>
        <c:axId val="5720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55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925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Levelised Cost of Energy - LCOE: (2016</a:t>
                </a:r>
                <a:r>
                  <a:rPr lang="en-US" sz="1050" baseline="0"/>
                  <a:t> R/kWh)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6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379962745464179"/>
          <c:y val="0.91411875899167738"/>
          <c:w val="0.78451911202442226"/>
          <c:h val="8.4684904306821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Wind  &amp; Solar PV Tariff Trends (April 2016 R/kWh)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41670738572832"/>
          <c:y val="0.13511839708561019"/>
          <c:w val="0.73608272434604183"/>
          <c:h val="0.60749164551152413"/>
        </c:manualLayout>
      </c:layout>
      <c:barChart>
        <c:barDir val="col"/>
        <c:grouping val="clustered"/>
        <c:varyColors val="0"/>
        <c:ser>
          <c:idx val="4"/>
          <c:order val="0"/>
          <c:tx>
            <c:v>PV Capacity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dLbl>
              <c:idx val="3"/>
              <c:layout>
                <c:manualLayout>
                  <c:x val="-2.5380715732186685E-3"/>
                  <c:y val="0.329260358848586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72-420E-BC9E-0C7C8D15694B}"/>
                </c:ext>
              </c:extLst>
            </c:dLbl>
            <c:spPr>
              <a:solidFill>
                <a:schemeClr val="accent4">
                  <a:lumMod val="20000"/>
                  <a:lumOff val="80000"/>
                  <a:alpha val="7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PPAs'!$C$4:$G$4</c:f>
              <c:numCache>
                <c:formatCode>General</c:formatCode>
                <c:ptCount val="5"/>
                <c:pt idx="0">
                  <c:v>627</c:v>
                </c:pt>
                <c:pt idx="1">
                  <c:v>417</c:v>
                </c:pt>
                <c:pt idx="2">
                  <c:v>435</c:v>
                </c:pt>
                <c:pt idx="3">
                  <c:v>813</c:v>
                </c:pt>
                <c:pt idx="4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76B-4244-80FB-23456A4C1B3E}"/>
            </c:ext>
          </c:extLst>
        </c:ser>
        <c:ser>
          <c:idx val="0"/>
          <c:order val="1"/>
          <c:tx>
            <c:v>Wind Capacity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>
                  <a:alpha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(data)'!$E$4:$I$4</c:f>
              <c:numCache>
                <c:formatCode>General</c:formatCode>
                <c:ptCount val="5"/>
                <c:pt idx="0">
                  <c:v>649</c:v>
                </c:pt>
                <c:pt idx="1">
                  <c:v>559</c:v>
                </c:pt>
                <c:pt idx="2">
                  <c:v>787</c:v>
                </c:pt>
                <c:pt idx="3">
                  <c:v>1363</c:v>
                </c:pt>
                <c:pt idx="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6B-4244-80FB-23456A4C1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991408"/>
        <c:axId val="546129616"/>
      </c:barChart>
      <c:lineChart>
        <c:grouping val="standard"/>
        <c:varyColors val="0"/>
        <c:ser>
          <c:idx val="7"/>
          <c:order val="2"/>
          <c:tx>
            <c:v>PV Average</c:v>
          </c:tx>
          <c:spPr>
            <a:ln w="38100">
              <a:solidFill>
                <a:schemeClr val="accent4"/>
              </a:solidFill>
            </a:ln>
          </c:spPr>
          <c:marker>
            <c:symbol val="diamond"/>
            <c:size val="8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7.3985585751945665E-2"/>
                  <c:y val="-5.4866256472039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72-420E-BC9E-0C7C8D15694B}"/>
                </c:ext>
              </c:extLst>
            </c:dLbl>
            <c:dLbl>
              <c:idx val="3"/>
              <c:layout>
                <c:manualLayout>
                  <c:x val="-7.6523657325164335E-2"/>
                  <c:y val="-5.4866256472039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72-420E-BC9E-0C7C8D15694B}"/>
                </c:ext>
              </c:extLst>
            </c:dLbl>
            <c:dLbl>
              <c:idx val="4"/>
              <c:layout>
                <c:manualLayout>
                  <c:x val="-7.9061728898383005E-2"/>
                  <c:y val="-5.12232692224947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72-420E-BC9E-0C7C8D15694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PPAs'!$C$5:$G$5</c:f>
              <c:numCache>
                <c:formatCode>General</c:formatCode>
                <c:ptCount val="5"/>
                <c:pt idx="0">
                  <c:v>3.65</c:v>
                </c:pt>
                <c:pt idx="1">
                  <c:v>2.1800000000000002</c:v>
                </c:pt>
                <c:pt idx="2">
                  <c:v>1.17</c:v>
                </c:pt>
                <c:pt idx="3">
                  <c:v>0.91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76B-4244-80FB-23456A4C1B3E}"/>
            </c:ext>
          </c:extLst>
        </c:ser>
        <c:ser>
          <c:idx val="1"/>
          <c:order val="3"/>
          <c:tx>
            <c:v>Wind Average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7.6881585371434786E-3"/>
                  <c:y val="-3.6430733043615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72-420E-BC9E-0C7C8D15694B}"/>
                </c:ext>
              </c:extLst>
            </c:dLbl>
            <c:dLbl>
              <c:idx val="3"/>
              <c:layout>
                <c:manualLayout>
                  <c:x val="-1.7840444830018246E-2"/>
                  <c:y val="-5.10026820417939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72-420E-BC9E-0C7C8D15694B}"/>
                </c:ext>
              </c:extLst>
            </c:dLbl>
            <c:dLbl>
              <c:idx val="4"/>
              <c:layout>
                <c:manualLayout>
                  <c:x val="-2.0378516403236822E-2"/>
                  <c:y val="-5.100268204179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72-420E-BC9E-0C7C8D15694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F559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(data)'!$E$5:$I$5</c:f>
              <c:numCache>
                <c:formatCode>General</c:formatCode>
                <c:ptCount val="5"/>
                <c:pt idx="0">
                  <c:v>1.51</c:v>
                </c:pt>
                <c:pt idx="1">
                  <c:v>1.19</c:v>
                </c:pt>
                <c:pt idx="2">
                  <c:v>0.87</c:v>
                </c:pt>
                <c:pt idx="3">
                  <c:v>0.75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76B-4244-80FB-23456A4C1B3E}"/>
            </c:ext>
          </c:extLst>
        </c:ser>
        <c:ser>
          <c:idx val="5"/>
          <c:order val="4"/>
          <c:tx>
            <c:v>PV Min</c:v>
          </c:tx>
          <c:spPr>
            <a:ln w="19050">
              <a:solidFill>
                <a:schemeClr val="accent4">
                  <a:alpha val="8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PPAs'!$C$6:$G$6</c:f>
              <c:numCache>
                <c:formatCode>General</c:formatCode>
                <c:ptCount val="5"/>
                <c:pt idx="0">
                  <c:v>3.22</c:v>
                </c:pt>
                <c:pt idx="1">
                  <c:v>1.85</c:v>
                </c:pt>
                <c:pt idx="2">
                  <c:v>1.02</c:v>
                </c:pt>
                <c:pt idx="3">
                  <c:v>0.86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76B-4244-80FB-23456A4C1B3E}"/>
            </c:ext>
          </c:extLst>
        </c:ser>
        <c:ser>
          <c:idx val="6"/>
          <c:order val="5"/>
          <c:tx>
            <c:v>PV Max</c:v>
          </c:tx>
          <c:spPr>
            <a:ln w="19050">
              <a:solidFill>
                <a:schemeClr val="accent4">
                  <a:alpha val="8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PPAs'!$C$7:$G$7</c:f>
              <c:numCache>
                <c:formatCode>General</c:formatCode>
                <c:ptCount val="5"/>
                <c:pt idx="0">
                  <c:v>3.77</c:v>
                </c:pt>
                <c:pt idx="1">
                  <c:v>2.54</c:v>
                </c:pt>
                <c:pt idx="2">
                  <c:v>1.3</c:v>
                </c:pt>
                <c:pt idx="3">
                  <c:v>0.97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76B-4244-80FB-23456A4C1B3E}"/>
            </c:ext>
          </c:extLst>
        </c:ser>
        <c:ser>
          <c:idx val="2"/>
          <c:order val="6"/>
          <c:tx>
            <c:v>Wind Min</c:v>
          </c:tx>
          <c:spPr>
            <a:ln w="1270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(data)'!$E$6:$I$6</c:f>
              <c:numCache>
                <c:formatCode>General</c:formatCode>
                <c:ptCount val="5"/>
                <c:pt idx="0">
                  <c:v>1.47</c:v>
                </c:pt>
                <c:pt idx="1">
                  <c:v>1.06</c:v>
                </c:pt>
                <c:pt idx="2">
                  <c:v>0.78</c:v>
                </c:pt>
                <c:pt idx="3">
                  <c:v>0.62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76B-4244-80FB-23456A4C1B3E}"/>
            </c:ext>
          </c:extLst>
        </c:ser>
        <c:ser>
          <c:idx val="3"/>
          <c:order val="7"/>
          <c:tx>
            <c:v>Wind Max</c:v>
          </c:tx>
          <c:spPr>
            <a:ln w="1905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 Costs &amp; Learning (data)'!$E$3:$I$3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'Wind Costs &amp; Learning (data)'!$E$7:$I$7</c:f>
              <c:numCache>
                <c:formatCode>General</c:formatCode>
                <c:ptCount val="5"/>
                <c:pt idx="0">
                  <c:v>1.52</c:v>
                </c:pt>
                <c:pt idx="1">
                  <c:v>1.29</c:v>
                </c:pt>
                <c:pt idx="2">
                  <c:v>0.94</c:v>
                </c:pt>
                <c:pt idx="3">
                  <c:v>0.84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76B-4244-80FB-23456A4C1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352112"/>
        <c:axId val="220513712"/>
      </c:lineChart>
      <c:catAx>
        <c:axId val="148735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Bidding Windows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39638942331616439"/>
              <c:y val="0.841692985098174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3712"/>
        <c:crosses val="autoZero"/>
        <c:auto val="1"/>
        <c:lblAlgn val="ctr"/>
        <c:lblOffset val="100"/>
        <c:noMultiLvlLbl val="0"/>
      </c:catAx>
      <c:valAx>
        <c:axId val="2205137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20</a:t>
                </a:r>
                <a:r>
                  <a:rPr lang="en-US" b="0" baseline="0"/>
                  <a:t> Year </a:t>
                </a:r>
                <a:r>
                  <a:rPr lang="en-US" b="0"/>
                  <a:t>PPA</a:t>
                </a:r>
                <a:r>
                  <a:rPr lang="en-US" b="0" baseline="0"/>
                  <a:t> Tariff (R/kWh)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42644158968015E-2"/>
              <c:y val="0.22937423805630852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52112"/>
        <c:crosses val="autoZero"/>
        <c:crossBetween val="between"/>
      </c:valAx>
      <c:valAx>
        <c:axId val="546129616"/>
        <c:scaling>
          <c:orientation val="minMax"/>
          <c:max val="15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Megawatts of Capacity Procured (MW)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91408"/>
        <c:crosses val="max"/>
        <c:crossBetween val="between"/>
        <c:majorUnit val="500"/>
      </c:valAx>
      <c:catAx>
        <c:axId val="57199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1296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2409579201722532E-2"/>
          <c:y val="0.89681767316074001"/>
          <c:w val="0.87487606916265026"/>
          <c:h val="0.10318232683926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Tariff Trends and Capacity Procured in SA REIPPPP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7687446712474"/>
          <c:y val="0.13329739442946989"/>
          <c:w val="0.73507417623752447"/>
          <c:h val="0.63928688159263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'REIPPPPs PPAs'!$B$12</c:f>
              <c:strCache>
                <c:ptCount val="1"/>
                <c:pt idx="0">
                  <c:v>Capacity (MW)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'REIPPPPs PPAs'!$C$11:$G$11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'REIPPPPs PPAs'!$C$12:$G$12</c:f>
              <c:numCache>
                <c:formatCode>General</c:formatCode>
                <c:ptCount val="5"/>
                <c:pt idx="0">
                  <c:v>649</c:v>
                </c:pt>
                <c:pt idx="1">
                  <c:v>559</c:v>
                </c:pt>
                <c:pt idx="2">
                  <c:v>787</c:v>
                </c:pt>
                <c:pt idx="3">
                  <c:v>1363</c:v>
                </c:pt>
                <c:pt idx="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7-4A58-BACF-8A4D31CC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991408"/>
        <c:axId val="546129616"/>
      </c:barChart>
      <c:lineChart>
        <c:grouping val="standard"/>
        <c:varyColors val="0"/>
        <c:ser>
          <c:idx val="1"/>
          <c:order val="1"/>
          <c:tx>
            <c:strRef>
              <c:f>'REIPPPPs PPAs'!$B$13</c:f>
              <c:strCache>
                <c:ptCount val="1"/>
                <c:pt idx="0">
                  <c:v>Average (R/kWh)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00FF"/>
              </a:solidFill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408746677365966E-2"/>
                  <c:y val="-5.6122701643426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19-4A41-8D4B-F9020E1400DC}"/>
                </c:ext>
              </c:extLst>
            </c:dLbl>
            <c:dLbl>
              <c:idx val="1"/>
              <c:layout>
                <c:manualLayout>
                  <c:x val="-3.5504288078639895E-2"/>
                  <c:y val="-5.2528811257083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19-4A41-8D4B-F9020E1400DC}"/>
                </c:ext>
              </c:extLst>
            </c:dLbl>
            <c:dLbl>
              <c:idx val="2"/>
              <c:layout>
                <c:manualLayout>
                  <c:x val="-3.8052058779276796E-2"/>
                  <c:y val="-5.6122701643426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9-4A41-8D4B-F9020E1400DC}"/>
                </c:ext>
              </c:extLst>
            </c:dLbl>
            <c:dLbl>
              <c:idx val="3"/>
              <c:layout>
                <c:manualLayout>
                  <c:x val="-4.0599829479913828E-2"/>
                  <c:y val="-5.971659202976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9-4A41-8D4B-F9020E1400DC}"/>
                </c:ext>
              </c:extLst>
            </c:dLbl>
            <c:dLbl>
              <c:idx val="4"/>
              <c:layout>
                <c:manualLayout>
                  <c:x val="-3.8052058779276698E-2"/>
                  <c:y val="-5.6122701643426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9-4A41-8D4B-F9020E1400D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'REIPPPPs PPAs'!$C$11:$G$11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'REIPPPPs PPAs'!$C$13:$G$13</c:f>
              <c:numCache>
                <c:formatCode>General</c:formatCode>
                <c:ptCount val="5"/>
                <c:pt idx="0">
                  <c:v>1.51</c:v>
                </c:pt>
                <c:pt idx="1">
                  <c:v>1.19</c:v>
                </c:pt>
                <c:pt idx="2">
                  <c:v>0.87</c:v>
                </c:pt>
                <c:pt idx="3">
                  <c:v>0.75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7-4A58-BACF-8A4D31CC131A}"/>
            </c:ext>
          </c:extLst>
        </c:ser>
        <c:ser>
          <c:idx val="2"/>
          <c:order val="2"/>
          <c:tx>
            <c:strRef>
              <c:f>'REIPPPPs PPAs'!$B$14</c:f>
              <c:strCache>
                <c:ptCount val="1"/>
                <c:pt idx="0">
                  <c:v>Min (R/kWh)</c:v>
                </c:pt>
              </c:strCache>
            </c:strRef>
          </c:tx>
          <c:spPr>
            <a:ln w="1905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'REIPPPPs PPAs'!$C$11:$G$11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'REIPPPPs PPAs'!$C$14:$G$14</c:f>
              <c:numCache>
                <c:formatCode>General</c:formatCode>
                <c:ptCount val="5"/>
                <c:pt idx="0">
                  <c:v>1.47</c:v>
                </c:pt>
                <c:pt idx="1">
                  <c:v>1.06</c:v>
                </c:pt>
                <c:pt idx="2">
                  <c:v>0.78</c:v>
                </c:pt>
                <c:pt idx="3">
                  <c:v>0.62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7-4A58-BACF-8A4D31CC131A}"/>
            </c:ext>
          </c:extLst>
        </c:ser>
        <c:ser>
          <c:idx val="3"/>
          <c:order val="3"/>
          <c:tx>
            <c:strRef>
              <c:f>'REIPPPPs PPAs'!$B$15</c:f>
              <c:strCache>
                <c:ptCount val="1"/>
                <c:pt idx="0">
                  <c:v>Max (R/kWh)</c:v>
                </c:pt>
              </c:strCache>
            </c:strRef>
          </c:tx>
          <c:spPr>
            <a:ln w="19050" cap="rnd">
              <a:solidFill>
                <a:srgbClr val="2F5597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'REIPPPPs PPAs'!$C$11:$G$11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
2015</c:v>
                </c:pt>
              </c:strCache>
            </c:strRef>
          </c:cat>
          <c:val>
            <c:numRef>
              <c:f>'REIPPPPs PPAs'!$C$15:$G$15</c:f>
              <c:numCache>
                <c:formatCode>General</c:formatCode>
                <c:ptCount val="5"/>
                <c:pt idx="0">
                  <c:v>1.52</c:v>
                </c:pt>
                <c:pt idx="1">
                  <c:v>1.29</c:v>
                </c:pt>
                <c:pt idx="2">
                  <c:v>0.94</c:v>
                </c:pt>
                <c:pt idx="3">
                  <c:v>0.84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D7-4A58-BACF-8A4D31CC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352112"/>
        <c:axId val="220513712"/>
      </c:lineChart>
      <c:catAx>
        <c:axId val="148735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Bidding</a:t>
                </a:r>
                <a:r>
                  <a:rPr lang="en-US" baseline="0"/>
                  <a:t> Windows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05859107039335"/>
              <c:y val="0.87751964966643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3712"/>
        <c:crosses val="autoZero"/>
        <c:auto val="1"/>
        <c:lblAlgn val="ctr"/>
        <c:lblOffset val="100"/>
        <c:noMultiLvlLbl val="0"/>
      </c:catAx>
      <c:valAx>
        <c:axId val="2205137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</a:t>
                </a:r>
                <a:r>
                  <a:rPr lang="en-US" baseline="0"/>
                  <a:t> Year PPA Tariff (2016 R/kWh)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550275719926688E-2"/>
              <c:y val="0.20577088241328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52112"/>
        <c:crosses val="autoZero"/>
        <c:crossBetween val="between"/>
      </c:valAx>
      <c:valAx>
        <c:axId val="546129616"/>
        <c:scaling>
          <c:orientation val="minMax"/>
          <c:max val="1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Megawatts</a:t>
                </a:r>
                <a:r>
                  <a:rPr lang="en-US" baseline="0"/>
                  <a:t> </a:t>
                </a:r>
                <a:r>
                  <a:rPr lang="en-US"/>
                  <a:t>Total</a:t>
                </a:r>
                <a:r>
                  <a:rPr lang="en-US" baseline="0"/>
                  <a:t> Capacity Procured (MW)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3119854178614014"/>
              <c:y val="0.14627416855911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91408"/>
        <c:crosses val="max"/>
        <c:crossBetween val="between"/>
        <c:majorUnit val="500"/>
      </c:valAx>
      <c:catAx>
        <c:axId val="57199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12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866597311839563E-2"/>
          <c:y val="0.92138322332349976"/>
          <c:w val="0.95348153262505109"/>
          <c:h val="6.0647324744784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Solar PV Tariffs and Capacity Procured in SA REIPPPP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US" sz="1400"/>
          </a:p>
        </c:rich>
      </c:tx>
      <c:layout>
        <c:manualLayout>
          <c:xMode val="edge"/>
          <c:yMode val="edge"/>
          <c:x val="0.13820295227155652"/>
          <c:y val="1.4571948998178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9316245332582"/>
          <c:y val="0.13511839708561019"/>
          <c:w val="0.74161684621759205"/>
          <c:h val="0.659860017497812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'REIPPPPs PPAs'!$B$4</c:f>
              <c:strCache>
                <c:ptCount val="1"/>
                <c:pt idx="0">
                  <c:v>Capacity (MW)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PPAs'!$C$4:$G$4</c:f>
              <c:numCache>
                <c:formatCode>General</c:formatCode>
                <c:ptCount val="5"/>
                <c:pt idx="0">
                  <c:v>627</c:v>
                </c:pt>
                <c:pt idx="1">
                  <c:v>417</c:v>
                </c:pt>
                <c:pt idx="2">
                  <c:v>435</c:v>
                </c:pt>
                <c:pt idx="3">
                  <c:v>813</c:v>
                </c:pt>
                <c:pt idx="4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6-4626-9226-18416A37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525360"/>
        <c:axId val="585171824"/>
      </c:barChart>
      <c:lineChart>
        <c:grouping val="standard"/>
        <c:varyColors val="0"/>
        <c:ser>
          <c:idx val="1"/>
          <c:order val="1"/>
          <c:tx>
            <c:strRef>
              <c:f>'REIPPPPs PPAs'!$B$5</c:f>
              <c:strCache>
                <c:ptCount val="1"/>
                <c:pt idx="0">
                  <c:v>Average (R/kWh)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582058559091825E-2"/>
                  <c:y val="-5.5067911593018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456-4626-9226-18416A378CE1}"/>
                </c:ext>
              </c:extLst>
            </c:dLbl>
            <c:dLbl>
              <c:idx val="1"/>
              <c:layout>
                <c:manualLayout>
                  <c:x val="-2.6502692463980588E-2"/>
                  <c:y val="-5.5067911593018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456-4626-9226-18416A378CE1}"/>
                </c:ext>
              </c:extLst>
            </c:dLbl>
            <c:dLbl>
              <c:idx val="2"/>
              <c:layout>
                <c:manualLayout>
                  <c:x val="-3.1582058559091825E-2"/>
                  <c:y val="-5.5067911593018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456-4626-9226-18416A378CE1}"/>
                </c:ext>
              </c:extLst>
            </c:dLbl>
            <c:dLbl>
              <c:idx val="3"/>
              <c:layout>
                <c:manualLayout>
                  <c:x val="-3.4121741606647493E-2"/>
                  <c:y val="-5.50679115930182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456-4626-9226-18416A378CE1}"/>
                </c:ext>
              </c:extLst>
            </c:dLbl>
            <c:dLbl>
              <c:idx val="4"/>
              <c:layout>
                <c:manualLayout>
                  <c:x val="-3.4121741606647493E-2"/>
                  <c:y val="-5.5067911593018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456-4626-9226-18416A378CE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PPAs'!$C$5:$G$5</c:f>
              <c:numCache>
                <c:formatCode>General</c:formatCode>
                <c:ptCount val="5"/>
                <c:pt idx="0">
                  <c:v>3.65</c:v>
                </c:pt>
                <c:pt idx="1">
                  <c:v>2.1800000000000002</c:v>
                </c:pt>
                <c:pt idx="2">
                  <c:v>1.17</c:v>
                </c:pt>
                <c:pt idx="3">
                  <c:v>0.91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56-4626-9226-18416A378CE1}"/>
            </c:ext>
          </c:extLst>
        </c:ser>
        <c:ser>
          <c:idx val="2"/>
          <c:order val="2"/>
          <c:tx>
            <c:strRef>
              <c:f>'REIPPPPs PPAs'!$B$6</c:f>
              <c:strCache>
                <c:ptCount val="1"/>
                <c:pt idx="0">
                  <c:v>Min (R/kWh)</c:v>
                </c:pt>
              </c:strCache>
            </c:strRef>
          </c:tx>
          <c:spPr>
            <a:ln w="19050" cap="rnd">
              <a:solidFill>
                <a:schemeClr val="accent4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PPAs'!$C$6:$G$6</c:f>
              <c:numCache>
                <c:formatCode>General</c:formatCode>
                <c:ptCount val="5"/>
                <c:pt idx="0">
                  <c:v>3.22</c:v>
                </c:pt>
                <c:pt idx="1">
                  <c:v>1.85</c:v>
                </c:pt>
                <c:pt idx="2">
                  <c:v>1.02</c:v>
                </c:pt>
                <c:pt idx="3">
                  <c:v>0.86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6-4626-9226-18416A378CE1}"/>
            </c:ext>
          </c:extLst>
        </c:ser>
        <c:ser>
          <c:idx val="3"/>
          <c:order val="3"/>
          <c:tx>
            <c:strRef>
              <c:f>'REIPPPPs PPAs'!$B$7</c:f>
              <c:strCache>
                <c:ptCount val="1"/>
                <c:pt idx="0">
                  <c:v>Max (R/kWh)</c:v>
                </c:pt>
              </c:strCache>
            </c:strRef>
          </c:tx>
          <c:spPr>
            <a:ln w="19050" cap="rnd">
              <a:solidFill>
                <a:schemeClr val="accent4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'REIPPPPs PPAs'!$C$3:$G$3</c:f>
              <c:strCache>
                <c:ptCount val="5"/>
                <c:pt idx="0">
                  <c:v>BW-1: 
Nov-2011</c:v>
                </c:pt>
                <c:pt idx="1">
                  <c:v>BW-2:
Mar-2013</c:v>
                </c:pt>
                <c:pt idx="2">
                  <c:v>BW-3:
Aug-2013</c:v>
                </c:pt>
                <c:pt idx="3">
                  <c:v>BW-4:
Aug-2014</c:v>
                </c:pt>
                <c:pt idx="4">
                  <c:v>BW-4-Exp: 2015</c:v>
                </c:pt>
              </c:strCache>
            </c:strRef>
          </c:cat>
          <c:val>
            <c:numRef>
              <c:f>'REIPPPPs PPAs'!$C$7:$G$7</c:f>
              <c:numCache>
                <c:formatCode>General</c:formatCode>
                <c:ptCount val="5"/>
                <c:pt idx="0">
                  <c:v>3.77</c:v>
                </c:pt>
                <c:pt idx="1">
                  <c:v>2.54</c:v>
                </c:pt>
                <c:pt idx="2">
                  <c:v>1.3</c:v>
                </c:pt>
                <c:pt idx="3">
                  <c:v>0.97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6-4626-9226-18416A37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01808"/>
        <c:axId val="220579808"/>
      </c:lineChart>
      <c:catAx>
        <c:axId val="57200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Bidding Windows</a:t>
                </a:r>
              </a:p>
            </c:rich>
          </c:tx>
          <c:layout>
            <c:manualLayout>
              <c:xMode val="edge"/>
              <c:yMode val="edge"/>
              <c:x val="0.39686347143876444"/>
              <c:y val="0.89041836983491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79808"/>
        <c:crosses val="autoZero"/>
        <c:auto val="1"/>
        <c:lblAlgn val="ctr"/>
        <c:lblOffset val="100"/>
        <c:noMultiLvlLbl val="0"/>
      </c:catAx>
      <c:valAx>
        <c:axId val="220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</a:t>
                </a:r>
                <a:r>
                  <a:rPr lang="en-US" baseline="0"/>
                  <a:t> year PPA Tariff (2016 R/kWh)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1808"/>
        <c:crosses val="autoZero"/>
        <c:crossBetween val="between"/>
      </c:valAx>
      <c:valAx>
        <c:axId val="585171824"/>
        <c:scaling>
          <c:orientation val="minMax"/>
          <c:max val="1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Megawatts of Capacity Procured (MW)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614592098906058"/>
              <c:y val="0.14326319865754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25360"/>
        <c:crosses val="max"/>
        <c:crossBetween val="between"/>
        <c:majorUnit val="500"/>
      </c:valAx>
      <c:catAx>
        <c:axId val="81152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517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852415988984972"/>
          <c:w val="1"/>
          <c:h val="6.1475840110150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and Solar</a:t>
            </a:r>
            <a:r>
              <a:rPr lang="en-US" baseline="0"/>
              <a:t> Caps on Capacity Additions </a:t>
            </a:r>
          </a:p>
          <a:p>
            <a:pPr>
              <a:defRPr/>
            </a:pPr>
            <a:r>
              <a:rPr lang="en-US" baseline="0"/>
              <a:t>(GW per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Solar PV Annual Cap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1.1111111111111162E-2"/>
                  <c:y val="4.16666666666667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57-4953-98A4-795DB56F7783}"/>
                </c:ext>
              </c:extLst>
            </c:dLbl>
            <c:dLbl>
              <c:idx val="17"/>
              <c:layout>
                <c:manualLayout>
                  <c:x val="-2.7777777777777779E-3"/>
                  <c:y val="7.407407407407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57-4953-98A4-795DB56F778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'REIPPPPs PPAs'!$D$43:$AA$43</c:f>
              <c:numCache>
                <c:formatCode>General</c:formatCode>
                <c:ptCount val="2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xVal>
          <c:yVal>
            <c:numRef>
              <c:f>'REIPPPPs PPAs'!$D$44:$AA$44</c:f>
              <c:numCache>
                <c:formatCode>General</c:formatCode>
                <c:ptCount val="24"/>
                <c:pt idx="0">
                  <c:v>0.41699999999999998</c:v>
                </c:pt>
                <c:pt idx="1">
                  <c:v>0.435</c:v>
                </c:pt>
                <c:pt idx="2">
                  <c:v>0.81299999999999994</c:v>
                </c:pt>
                <c:pt idx="3">
                  <c:v>1.4039999999999999</c:v>
                </c:pt>
                <c:pt idx="4">
                  <c:v>1.4039999999999999</c:v>
                </c:pt>
                <c:pt idx="5">
                  <c:v>1.4039999999999999</c:v>
                </c:pt>
                <c:pt idx="6">
                  <c:v>1.4039999999999999</c:v>
                </c:pt>
                <c:pt idx="7">
                  <c:v>1.4039999999999999</c:v>
                </c:pt>
                <c:pt idx="8">
                  <c:v>1.9950000000000001</c:v>
                </c:pt>
                <c:pt idx="9">
                  <c:v>2.5859999999999999</c:v>
                </c:pt>
                <c:pt idx="10">
                  <c:v>3.177</c:v>
                </c:pt>
                <c:pt idx="11">
                  <c:v>3.7679999999999998</c:v>
                </c:pt>
                <c:pt idx="12">
                  <c:v>4.359</c:v>
                </c:pt>
                <c:pt idx="13">
                  <c:v>4.95</c:v>
                </c:pt>
                <c:pt idx="14">
                  <c:v>5.5410000000000004</c:v>
                </c:pt>
                <c:pt idx="15">
                  <c:v>6.1319999999999997</c:v>
                </c:pt>
                <c:pt idx="16">
                  <c:v>6.7229999999999999</c:v>
                </c:pt>
                <c:pt idx="17">
                  <c:v>7.3140000000000001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6-4E7D-B007-1BFBD83E7394}"/>
            </c:ext>
          </c:extLst>
        </c:ser>
        <c:ser>
          <c:idx val="1"/>
          <c:order val="1"/>
          <c:tx>
            <c:v>Wind Annual Cap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11111111111111"/>
                  <c:y val="-0.1064814814814815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57-4953-98A4-795DB56F7783}"/>
                </c:ext>
              </c:extLst>
            </c:dLbl>
            <c:dLbl>
              <c:idx val="3"/>
              <c:layout>
                <c:manualLayout>
                  <c:x val="-5.5555555555555552E-2"/>
                  <c:y val="-6.94444444444444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57-4953-98A4-795DB56F7783}"/>
                </c:ext>
              </c:extLst>
            </c:dLbl>
            <c:dLbl>
              <c:idx val="9"/>
              <c:layout>
                <c:manualLayout>
                  <c:x val="-0.11666666666666672"/>
                  <c:y val="-7.87037037037037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57-4953-98A4-795DB56F7783}"/>
                </c:ext>
              </c:extLst>
            </c:dLbl>
            <c:dLbl>
              <c:idx val="17"/>
              <c:layout>
                <c:manualLayout>
                  <c:x val="-0.20833333333333334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57-4953-98A4-795DB56F778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'REIPPPPs PPAs'!$D$43:$AA$43</c:f>
              <c:numCache>
                <c:formatCode>General</c:formatCode>
                <c:ptCount val="2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xVal>
          <c:yVal>
            <c:numRef>
              <c:f>'REIPPPPs PPAs'!$D$45:$AA$45</c:f>
              <c:numCache>
                <c:formatCode>General</c:formatCode>
                <c:ptCount val="24"/>
                <c:pt idx="0">
                  <c:v>0.55900000000000005</c:v>
                </c:pt>
                <c:pt idx="1">
                  <c:v>0.78700000000000003</c:v>
                </c:pt>
                <c:pt idx="2">
                  <c:v>1.363</c:v>
                </c:pt>
                <c:pt idx="3">
                  <c:v>2.044</c:v>
                </c:pt>
                <c:pt idx="4">
                  <c:v>2.044</c:v>
                </c:pt>
                <c:pt idx="5">
                  <c:v>2.044</c:v>
                </c:pt>
                <c:pt idx="6">
                  <c:v>2.044</c:v>
                </c:pt>
                <c:pt idx="7">
                  <c:v>2.044</c:v>
                </c:pt>
                <c:pt idx="8">
                  <c:v>2.044</c:v>
                </c:pt>
                <c:pt idx="9">
                  <c:v>2.7250000000000001</c:v>
                </c:pt>
                <c:pt idx="10">
                  <c:v>3.4060000000000001</c:v>
                </c:pt>
                <c:pt idx="11">
                  <c:v>4.0869999999999997</c:v>
                </c:pt>
                <c:pt idx="12">
                  <c:v>4.7679999999999998</c:v>
                </c:pt>
                <c:pt idx="13">
                  <c:v>5.4489999999999998</c:v>
                </c:pt>
                <c:pt idx="14">
                  <c:v>6.13</c:v>
                </c:pt>
                <c:pt idx="15">
                  <c:v>6.8109999999999999</c:v>
                </c:pt>
                <c:pt idx="16">
                  <c:v>7.492</c:v>
                </c:pt>
                <c:pt idx="17">
                  <c:v>8.173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6-4E7D-B007-1BFBD83E7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36240"/>
        <c:axId val="1210263760"/>
      </c:scatterChart>
      <c:valAx>
        <c:axId val="89893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63760"/>
        <c:crosses val="autoZero"/>
        <c:crossBetween val="midCat"/>
      </c:valAx>
      <c:valAx>
        <c:axId val="12102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3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 Cost of Energy from Solar PV: 2015-2050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Expected Learning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49-4DD0-AC19-B5E91FE7AE31}"/>
                </c:ext>
              </c:extLst>
            </c:dLbl>
            <c:dLbl>
              <c:idx val="1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49-4DD0-AC19-B5E91FE7AE31}"/>
                </c:ext>
              </c:extLst>
            </c:dLbl>
            <c:dLbl>
              <c:idx val="2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49-4DD0-AC19-B5E91FE7AE31}"/>
                </c:ext>
              </c:extLst>
            </c:dLbl>
            <c:dLbl>
              <c:idx val="3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49-4DD0-AC19-B5E91FE7AE3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(data)'!$C$27:$AL$27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0.58911132080971285</c:v>
                </c:pt>
                <c:pt idx="2">
                  <c:v>0.56738569348466772</c:v>
                </c:pt>
                <c:pt idx="3">
                  <c:v>0.54900623797239889</c:v>
                </c:pt>
                <c:pt idx="4">
                  <c:v>0.53935206741672859</c:v>
                </c:pt>
                <c:pt idx="5">
                  <c:v>0.53389689801377826</c:v>
                </c:pt>
                <c:pt idx="6">
                  <c:v>0.52844172861082817</c:v>
                </c:pt>
                <c:pt idx="7">
                  <c:v>0.52298655920787784</c:v>
                </c:pt>
                <c:pt idx="8">
                  <c:v>0.51753138980492763</c:v>
                </c:pt>
                <c:pt idx="9">
                  <c:v>0.51207622040197753</c:v>
                </c:pt>
                <c:pt idx="10">
                  <c:v>0.50662105099902732</c:v>
                </c:pt>
                <c:pt idx="11">
                  <c:v>0.50116588159607711</c:v>
                </c:pt>
                <c:pt idx="12">
                  <c:v>0.49571071219312679</c:v>
                </c:pt>
                <c:pt idx="13">
                  <c:v>0.49025554279017669</c:v>
                </c:pt>
                <c:pt idx="14">
                  <c:v>0.48579883965979054</c:v>
                </c:pt>
                <c:pt idx="15">
                  <c:v>0.4813421365294045</c:v>
                </c:pt>
                <c:pt idx="16">
                  <c:v>0.47688543339901851</c:v>
                </c:pt>
                <c:pt idx="17">
                  <c:v>0.47242873026863241</c:v>
                </c:pt>
                <c:pt idx="18">
                  <c:v>0.46797202713824637</c:v>
                </c:pt>
                <c:pt idx="19">
                  <c:v>0.46351532400786022</c:v>
                </c:pt>
                <c:pt idx="20">
                  <c:v>0.45905862087747412</c:v>
                </c:pt>
                <c:pt idx="21">
                  <c:v>0.45460191774708808</c:v>
                </c:pt>
                <c:pt idx="22">
                  <c:v>0.45014521461670198</c:v>
                </c:pt>
                <c:pt idx="23">
                  <c:v>0.445688511486316</c:v>
                </c:pt>
                <c:pt idx="24">
                  <c:v>0.44162783637611402</c:v>
                </c:pt>
                <c:pt idx="25">
                  <c:v>0.43756716126591205</c:v>
                </c:pt>
                <c:pt idx="26">
                  <c:v>0.43350648615570997</c:v>
                </c:pt>
                <c:pt idx="27">
                  <c:v>0.429445811045508</c:v>
                </c:pt>
                <c:pt idx="28">
                  <c:v>0.42538513593530602</c:v>
                </c:pt>
                <c:pt idx="29">
                  <c:v>0.42132446082510405</c:v>
                </c:pt>
                <c:pt idx="30">
                  <c:v>0.41726378571490197</c:v>
                </c:pt>
                <c:pt idx="31">
                  <c:v>0.4132031106047</c:v>
                </c:pt>
                <c:pt idx="32">
                  <c:v>0.40914243549449797</c:v>
                </c:pt>
                <c:pt idx="33">
                  <c:v>0.40508176038429589</c:v>
                </c:pt>
                <c:pt idx="34">
                  <c:v>0.40102108527409369</c:v>
                </c:pt>
                <c:pt idx="35">
                  <c:v>0.39696041016389155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249-4DD0-AC19-B5E91FE7AE31}"/>
            </c:ext>
          </c:extLst>
        </c:ser>
        <c:ser>
          <c:idx val="0"/>
          <c:order val="1"/>
          <c:tx>
            <c:v>Optimistic Learning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49-4DD0-AC19-B5E91FE7AE31}"/>
                </c:ext>
              </c:extLst>
            </c:dLbl>
            <c:dLbl>
              <c:idx val="1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49-4DD0-AC19-B5E91FE7AE31}"/>
                </c:ext>
              </c:extLst>
            </c:dLbl>
            <c:dLbl>
              <c:idx val="2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49-4DD0-AC19-B5E91FE7AE31}"/>
                </c:ext>
              </c:extLst>
            </c:dLbl>
            <c:dLbl>
              <c:idx val="3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49-4DD0-AC19-B5E91FE7AE3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(data)'!$C$26:$AL$26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0.56044589948137347</c:v>
                </c:pt>
                <c:pt idx="2">
                  <c:v>0.51682305667430839</c:v>
                </c:pt>
                <c:pt idx="3">
                  <c:v>0.49651090953637883</c:v>
                </c:pt>
                <c:pt idx="4">
                  <c:v>0.48575722855688619</c:v>
                </c:pt>
                <c:pt idx="5">
                  <c:v>0.47500354757739333</c:v>
                </c:pt>
                <c:pt idx="6">
                  <c:v>0.46424986659790068</c:v>
                </c:pt>
                <c:pt idx="7">
                  <c:v>0.45349618561840793</c:v>
                </c:pt>
                <c:pt idx="8">
                  <c:v>0.44274250463891524</c:v>
                </c:pt>
                <c:pt idx="9">
                  <c:v>0.43198882365942259</c:v>
                </c:pt>
                <c:pt idx="10">
                  <c:v>0.42123514267992979</c:v>
                </c:pt>
                <c:pt idx="11">
                  <c:v>0.41048146170043714</c:v>
                </c:pt>
                <c:pt idx="12">
                  <c:v>0.39972778072094439</c:v>
                </c:pt>
                <c:pt idx="13">
                  <c:v>0.39123892303259905</c:v>
                </c:pt>
                <c:pt idx="14">
                  <c:v>0.38297321260059136</c:v>
                </c:pt>
                <c:pt idx="15">
                  <c:v>0.37697232545973081</c:v>
                </c:pt>
                <c:pt idx="16">
                  <c:v>0.37097143831887031</c:v>
                </c:pt>
                <c:pt idx="17">
                  <c:v>0.36497055117800975</c:v>
                </c:pt>
                <c:pt idx="18">
                  <c:v>0.35896966403714914</c:v>
                </c:pt>
                <c:pt idx="19">
                  <c:v>0.35296877689628864</c:v>
                </c:pt>
                <c:pt idx="20">
                  <c:v>0.34696788975542814</c:v>
                </c:pt>
                <c:pt idx="21">
                  <c:v>0.34096700261456758</c:v>
                </c:pt>
                <c:pt idx="22">
                  <c:v>0.33496611547370708</c:v>
                </c:pt>
                <c:pt idx="23">
                  <c:v>0.32896522833284636</c:v>
                </c:pt>
                <c:pt idx="24">
                  <c:v>0.3229990038473296</c:v>
                </c:pt>
                <c:pt idx="25">
                  <c:v>0.31703277936181284</c:v>
                </c:pt>
                <c:pt idx="26">
                  <c:v>0.31106655487629603</c:v>
                </c:pt>
                <c:pt idx="27">
                  <c:v>0.30510033039077927</c:v>
                </c:pt>
                <c:pt idx="28">
                  <c:v>0.29913410590526252</c:v>
                </c:pt>
                <c:pt idx="29">
                  <c:v>0.29316788141974581</c:v>
                </c:pt>
                <c:pt idx="30">
                  <c:v>0.287201656934229</c:v>
                </c:pt>
                <c:pt idx="31">
                  <c:v>0.28123543244871224</c:v>
                </c:pt>
                <c:pt idx="32">
                  <c:v>0.27526920796319559</c:v>
                </c:pt>
                <c:pt idx="33">
                  <c:v>0.26930298347767878</c:v>
                </c:pt>
                <c:pt idx="34">
                  <c:v>0.26333675899216202</c:v>
                </c:pt>
                <c:pt idx="35">
                  <c:v>0.25737053450664521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6249-4DD0-AC19-B5E91FE7AE31}"/>
            </c:ext>
          </c:extLst>
        </c:ser>
        <c:ser>
          <c:idx val="2"/>
          <c:order val="2"/>
          <c:tx>
            <c:v>No 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082791684576841E-2"/>
                  <c:y val="-5.115589511707074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49-4DD0-AC19-B5E91FE7AE31}"/>
                </c:ext>
              </c:extLst>
            </c:dLbl>
            <c:dLbl>
              <c:idx val="5"/>
              <c:layout>
                <c:manualLayout>
                  <c:x val="3.7657015023305263E-2"/>
                  <c:y val="-5.445622515007406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3C-4AC8-8DF7-CBB8AB070C82}"/>
                </c:ext>
              </c:extLst>
            </c:dLbl>
            <c:dLbl>
              <c:idx val="35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49-4DD0-AC19-B5E91FE7AE3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'Solar PV Learning (data)'!$C$25:$AL$25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'Solar PV Learning (data)'!$C$28:$AL$28</c:f>
              <c:numCache>
                <c:formatCode>0.00</c:formatCode>
                <c:ptCount val="36"/>
                <c:pt idx="0">
                  <c:v>0.62007816382281689</c:v>
                </c:pt>
                <c:pt idx="1">
                  <c:v>0.62007816382281689</c:v>
                </c:pt>
                <c:pt idx="2">
                  <c:v>0.62007816382281689</c:v>
                </c:pt>
                <c:pt idx="3">
                  <c:v>0.62007816382281689</c:v>
                </c:pt>
                <c:pt idx="4">
                  <c:v>0.62007816382281689</c:v>
                </c:pt>
                <c:pt idx="5">
                  <c:v>0.61305718072759818</c:v>
                </c:pt>
                <c:pt idx="6">
                  <c:v>0.60636656975116177</c:v>
                </c:pt>
                <c:pt idx="7">
                  <c:v>0.60077809662620341</c:v>
                </c:pt>
                <c:pt idx="8">
                  <c:v>0.59543541418050672</c:v>
                </c:pt>
                <c:pt idx="9">
                  <c:v>0.59030835172456464</c:v>
                </c:pt>
                <c:pt idx="10">
                  <c:v>0.58464199864368394</c:v>
                </c:pt>
                <c:pt idx="11">
                  <c:v>0.57934579197857616</c:v>
                </c:pt>
                <c:pt idx="12">
                  <c:v>0.57367394047117504</c:v>
                </c:pt>
                <c:pt idx="13">
                  <c:v>0.56830395409668377</c:v>
                </c:pt>
                <c:pt idx="14">
                  <c:v>0.56319409250119623</c:v>
                </c:pt>
                <c:pt idx="15">
                  <c:v>0.55622681655976991</c:v>
                </c:pt>
                <c:pt idx="16">
                  <c:v>0.55362564405210268</c:v>
                </c:pt>
                <c:pt idx="17">
                  <c:v>0.54911631239215963</c:v>
                </c:pt>
                <c:pt idx="18">
                  <c:v>0.54476325741679599</c:v>
                </c:pt>
                <c:pt idx="19">
                  <c:v>0.54055012533982505</c:v>
                </c:pt>
                <c:pt idx="20">
                  <c:v>0.53609939591699718</c:v>
                </c:pt>
                <c:pt idx="21">
                  <c:v>0.53267672596305993</c:v>
                </c:pt>
                <c:pt idx="22">
                  <c:v>0.52899403279827906</c:v>
                </c:pt>
                <c:pt idx="23">
                  <c:v>0.5254057962480928</c:v>
                </c:pt>
                <c:pt idx="24">
                  <c:v>0.52190405911324556</c:v>
                </c:pt>
                <c:pt idx="25">
                  <c:v>0.518481807665092</c:v>
                </c:pt>
                <c:pt idx="26">
                  <c:v>0.51513282965955254</c:v>
                </c:pt>
                <c:pt idx="27">
                  <c:v>0.51185159794511725</c:v>
                </c:pt>
                <c:pt idx="28">
                  <c:v>0.50863317433953836</c:v>
                </c:pt>
                <c:pt idx="29">
                  <c:v>0.50547312969660596</c:v>
                </c:pt>
                <c:pt idx="30">
                  <c:v>0.50354033311251212</c:v>
                </c:pt>
                <c:pt idx="31">
                  <c:v>0.50117240127218599</c:v>
                </c:pt>
                <c:pt idx="32">
                  <c:v>0.49880446943185996</c:v>
                </c:pt>
                <c:pt idx="33">
                  <c:v>0.49643653759153378</c:v>
                </c:pt>
                <c:pt idx="34">
                  <c:v>0.49406860575120748</c:v>
                </c:pt>
                <c:pt idx="35">
                  <c:v>0.49170067391088135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49-4DD0-AC19-B5E91FE7A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39488"/>
        <c:axId val="1794479296"/>
      </c:lineChart>
      <c:catAx>
        <c:axId val="19863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792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447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LCOE (2016 R/kWh)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8.xml"/><Relationship Id="rId2" Type="http://schemas.openxmlformats.org/officeDocument/2006/relationships/chart" Target="../charts/chart5.xml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3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2.xml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5.png"/><Relationship Id="rId1" Type="http://schemas.openxmlformats.org/officeDocument/2006/relationships/chart" Target="../charts/chart19.xml"/><Relationship Id="rId5" Type="http://schemas.microsoft.com/office/2007/relationships/hdphoto" Target="../media/hdphoto3.wdp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24423</xdr:colOff>
      <xdr:row>26</xdr:row>
      <xdr:rowOff>147108</xdr:rowOff>
    </xdr:from>
    <xdr:to>
      <xdr:col>8</xdr:col>
      <xdr:colOff>82712</xdr:colOff>
      <xdr:row>46</xdr:row>
      <xdr:rowOff>21696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3D02C7-1627-4A78-B574-6EF941FDA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358775</xdr:colOff>
      <xdr:row>6</xdr:row>
      <xdr:rowOff>156129</xdr:rowOff>
    </xdr:from>
    <xdr:to>
      <xdr:col>38</xdr:col>
      <xdr:colOff>542001</xdr:colOff>
      <xdr:row>34</xdr:row>
      <xdr:rowOff>133463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637C6B-DE4E-4C80-9303-EC5C5DB9E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000692" y="1299129"/>
          <a:ext cx="11232226" cy="5311334"/>
        </a:xfrm>
        <a:prstGeom prst="rect">
          <a:avLst/>
        </a:prstGeom>
      </xdr:spPr>
    </xdr:pic>
    <xdr:clientData/>
  </xdr:twoCellAnchor>
  <xdr:twoCellAnchor>
    <xdr:from>
      <xdr:col>9</xdr:col>
      <xdr:colOff>133351</xdr:colOff>
      <xdr:row>26</xdr:row>
      <xdr:rowOff>101602</xdr:rowOff>
    </xdr:from>
    <xdr:to>
      <xdr:col>19</xdr:col>
      <xdr:colOff>361950</xdr:colOff>
      <xdr:row>46</xdr:row>
      <xdr:rowOff>133349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A1C008-4906-4F6F-8C39-C4985FCF4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257175</xdr:colOff>
      <xdr:row>5</xdr:row>
      <xdr:rowOff>133350</xdr:rowOff>
    </xdr:from>
    <xdr:to>
      <xdr:col>19</xdr:col>
      <xdr:colOff>485774</xdr:colOff>
      <xdr:row>25</xdr:row>
      <xdr:rowOff>165097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C46A74-33B8-44EC-A7AB-26660FFB8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5</xdr:row>
      <xdr:rowOff>47625</xdr:rowOff>
    </xdr:from>
    <xdr:to>
      <xdr:col>9</xdr:col>
      <xdr:colOff>28574</xdr:colOff>
      <xdr:row>25</xdr:row>
      <xdr:rowOff>79372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EE2CD2-FE91-44C6-B6AB-EEE91531A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192616</xdr:colOff>
      <xdr:row>0</xdr:row>
      <xdr:rowOff>89259</xdr:rowOff>
    </xdr:from>
    <xdr:to>
      <xdr:col>27</xdr:col>
      <xdr:colOff>520741</xdr:colOff>
      <xdr:row>16</xdr:row>
      <xdr:rowOff>62442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711EEB-2B89-4C3B-9D0F-BC91DAC08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2591" y="89259"/>
          <a:ext cx="7033725" cy="3449808"/>
        </a:xfrm>
        <a:prstGeom prst="rect">
          <a:avLst/>
        </a:prstGeom>
      </xdr:spPr>
    </xdr:pic>
    <xdr:clientData/>
  </xdr:twoCellAnchor>
  <xdr:twoCellAnchor>
    <xdr:from>
      <xdr:col>0</xdr:col>
      <xdr:colOff>754593</xdr:colOff>
      <xdr:row>17</xdr:row>
      <xdr:rowOff>65616</xdr:rowOff>
    </xdr:from>
    <xdr:to>
      <xdr:col>7</xdr:col>
      <xdr:colOff>32808</xdr:colOff>
      <xdr:row>35</xdr:row>
      <xdr:rowOff>187854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261D98-0762-410A-8B5E-9E239A463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19</xdr:row>
      <xdr:rowOff>5291</xdr:rowOff>
    </xdr:from>
    <xdr:to>
      <xdr:col>16</xdr:col>
      <xdr:colOff>17992</xdr:colOff>
      <xdr:row>37</xdr:row>
      <xdr:rowOff>110066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A841E-C79C-40FC-B804-8A4C1D301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405341</xdr:colOff>
      <xdr:row>1</xdr:row>
      <xdr:rowOff>21166</xdr:rowOff>
    </xdr:from>
    <xdr:to>
      <xdr:col>15</xdr:col>
      <xdr:colOff>511173</xdr:colOff>
      <xdr:row>18</xdr:row>
      <xdr:rowOff>125941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0EFA85-28C9-440A-A841-D6C21F96B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431272</xdr:colOff>
      <xdr:row>54</xdr:row>
      <xdr:rowOff>75146</xdr:rowOff>
    </xdr:from>
    <xdr:to>
      <xdr:col>30</xdr:col>
      <xdr:colOff>190500</xdr:colOff>
      <xdr:row>76</xdr:row>
      <xdr:rowOff>74084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5B75470-EC1B-4745-A7CB-8BDD9A952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30189" y="10552646"/>
          <a:ext cx="7125228" cy="4189938"/>
        </a:xfrm>
        <a:prstGeom prst="rect">
          <a:avLst/>
        </a:prstGeom>
      </xdr:spPr>
    </xdr:pic>
    <xdr:clientData/>
  </xdr:twoCellAnchor>
  <xdr:twoCellAnchor editAs="oneCell">
    <xdr:from>
      <xdr:col>16</xdr:col>
      <xdr:colOff>194733</xdr:colOff>
      <xdr:row>17</xdr:row>
      <xdr:rowOff>80222</xdr:rowOff>
    </xdr:from>
    <xdr:to>
      <xdr:col>27</xdr:col>
      <xdr:colOff>488852</xdr:colOff>
      <xdr:row>35</xdr:row>
      <xdr:rowOff>11089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CFCEE1C-787A-4AC9-8569-00D85CC95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24708" y="3699722"/>
          <a:ext cx="6999719" cy="3359867"/>
        </a:xfrm>
        <a:prstGeom prst="rect">
          <a:avLst/>
        </a:prstGeom>
      </xdr:spPr>
    </xdr:pic>
    <xdr:clientData/>
  </xdr:twoCellAnchor>
  <xdr:twoCellAnchor>
    <xdr:from>
      <xdr:col>6</xdr:col>
      <xdr:colOff>238126</xdr:colOff>
      <xdr:row>48</xdr:row>
      <xdr:rowOff>104775</xdr:rowOff>
    </xdr:from>
    <xdr:to>
      <xdr:col>13</xdr:col>
      <xdr:colOff>407459</xdr:colOff>
      <xdr:row>62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803DC0-9D65-457F-9311-6E7CF416D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373857</xdr:colOff>
      <xdr:row>25</xdr:row>
      <xdr:rowOff>126207</xdr:rowOff>
    </xdr:from>
    <xdr:to>
      <xdr:col>16</xdr:col>
      <xdr:colOff>340519</xdr:colOff>
      <xdr:row>45</xdr:row>
      <xdr:rowOff>183357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DD701-8EE2-4E4C-B5E9-CB92DFFF1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502260</xdr:colOff>
      <xdr:row>35</xdr:row>
      <xdr:rowOff>54769</xdr:rowOff>
    </xdr:from>
    <xdr:to>
      <xdr:col>28</xdr:col>
      <xdr:colOff>18682</xdr:colOff>
      <xdr:row>54</xdr:row>
      <xdr:rowOff>119857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18E55-0D97-4B52-9F07-B309ABFD2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566737</xdr:colOff>
      <xdr:row>6</xdr:row>
      <xdr:rowOff>107156</xdr:rowOff>
    </xdr:from>
    <xdr:to>
      <xdr:col>30</xdr:col>
      <xdr:colOff>392907</xdr:colOff>
      <xdr:row>34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55BAA1-035C-41A7-8C2F-CBC8D1D0F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485775</xdr:colOff>
      <xdr:row>51</xdr:row>
      <xdr:rowOff>145547</xdr:rowOff>
    </xdr:from>
    <xdr:to>
      <xdr:col>37</xdr:col>
      <xdr:colOff>55168</xdr:colOff>
      <xdr:row>79</xdr:row>
      <xdr:rowOff>122881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ECC67C-F44F-496B-A40B-8FB4AF9D9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839700" y="9746747"/>
          <a:ext cx="11151793" cy="5311334"/>
        </a:xfrm>
        <a:prstGeom prst="rect">
          <a:avLst/>
        </a:prstGeom>
      </xdr:spPr>
    </xdr:pic>
    <xdr:clientData/>
  </xdr:twoCellAnchor>
  <xdr:twoCellAnchor>
    <xdr:from>
      <xdr:col>2</xdr:col>
      <xdr:colOff>631032</xdr:colOff>
      <xdr:row>3</xdr:row>
      <xdr:rowOff>119065</xdr:rowOff>
    </xdr:from>
    <xdr:to>
      <xdr:col>16</xdr:col>
      <xdr:colOff>333376</xdr:colOff>
      <xdr:row>23</xdr:row>
      <xdr:rowOff>71440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33C58-4AE2-4581-8D5E-E2E2FCFBA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-1</xdr:colOff>
      <xdr:row>25</xdr:row>
      <xdr:rowOff>11907</xdr:rowOff>
    </xdr:from>
    <xdr:to>
      <xdr:col>16</xdr:col>
      <xdr:colOff>232038</xdr:colOff>
      <xdr:row>53</xdr:row>
      <xdr:rowOff>40481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0AA543-A46C-46A9-A37E-6EFD2F09E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64</xdr:row>
      <xdr:rowOff>152400</xdr:rowOff>
    </xdr:from>
    <xdr:to>
      <xdr:col>15</xdr:col>
      <xdr:colOff>3586</xdr:colOff>
      <xdr:row>91</xdr:row>
      <xdr:rowOff>151757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CDBA0D-72C3-44F6-8A4E-DFA94488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12249150"/>
          <a:ext cx="8961905" cy="5142857"/>
        </a:xfrm>
        <a:prstGeom prst="rect">
          <a:avLst/>
        </a:prstGeom>
      </xdr:spPr>
    </xdr:pic>
    <xdr:clientData/>
  </xdr:twoCellAnchor>
  <xdr:twoCellAnchor editAs="oneCell">
    <xdr:from>
      <xdr:col>16</xdr:col>
      <xdr:colOff>66675</xdr:colOff>
      <xdr:row>64</xdr:row>
      <xdr:rowOff>38100</xdr:rowOff>
    </xdr:from>
    <xdr:to>
      <xdr:col>31</xdr:col>
      <xdr:colOff>170295</xdr:colOff>
      <xdr:row>87</xdr:row>
      <xdr:rowOff>66124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EA9D05-C301-4AC7-A880-DE21CF785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53775" y="12134850"/>
          <a:ext cx="9247619" cy="4409524"/>
        </a:xfrm>
        <a:prstGeom prst="rect">
          <a:avLst/>
        </a:prstGeom>
      </xdr:spPr>
    </xdr:pic>
    <xdr:clientData/>
  </xdr:twoCellAnchor>
  <xdr:twoCellAnchor>
    <xdr:from>
      <xdr:col>3</xdr:col>
      <xdr:colOff>508000</xdr:colOff>
      <xdr:row>2</xdr:row>
      <xdr:rowOff>31751</xdr:rowOff>
    </xdr:from>
    <xdr:to>
      <xdr:col>14</xdr:col>
      <xdr:colOff>241300</xdr:colOff>
      <xdr:row>24</xdr:row>
      <xdr:rowOff>31751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FC139-1582-420C-A4AE-42340EF75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84666</xdr:colOff>
      <xdr:row>2</xdr:row>
      <xdr:rowOff>138162</xdr:rowOff>
    </xdr:from>
    <xdr:to>
      <xdr:col>24</xdr:col>
      <xdr:colOff>53302</xdr:colOff>
      <xdr:row>27</xdr:row>
      <xdr:rowOff>130562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141E49-BC70-4FB9-A013-683E299FB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39</xdr:row>
      <xdr:rowOff>28575</xdr:rowOff>
    </xdr:from>
    <xdr:to>
      <xdr:col>31</xdr:col>
      <xdr:colOff>56030</xdr:colOff>
      <xdr:row>66</xdr:row>
      <xdr:rowOff>27932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46EF78-084B-4F8E-9D3A-012157102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5225" y="8810625"/>
          <a:ext cx="8961905" cy="5142857"/>
        </a:xfrm>
        <a:prstGeom prst="rect">
          <a:avLst/>
        </a:prstGeom>
      </xdr:spPr>
    </xdr:pic>
    <xdr:clientData/>
  </xdr:twoCellAnchor>
  <xdr:twoCellAnchor>
    <xdr:from>
      <xdr:col>11</xdr:col>
      <xdr:colOff>581024</xdr:colOff>
      <xdr:row>28</xdr:row>
      <xdr:rowOff>9525</xdr:rowOff>
    </xdr:from>
    <xdr:to>
      <xdr:col>22</xdr:col>
      <xdr:colOff>28575</xdr:colOff>
      <xdr:row>53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AA36CF-F0EC-4E53-8559-9A20E1F17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31751</xdr:colOff>
      <xdr:row>1</xdr:row>
      <xdr:rowOff>31139</xdr:rowOff>
    </xdr:from>
    <xdr:to>
      <xdr:col>19</xdr:col>
      <xdr:colOff>63500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2C35E-E798-455D-9886-21F97FA5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762000</xdr:colOff>
      <xdr:row>26</xdr:row>
      <xdr:rowOff>100853</xdr:rowOff>
    </xdr:from>
    <xdr:to>
      <xdr:col>37</xdr:col>
      <xdr:colOff>291353</xdr:colOff>
      <xdr:row>28</xdr:row>
      <xdr:rowOff>78441</xdr:rowOff>
    </xdr:to>
    <xdr:sp macro="" textlink="">
      <xdr:nvSpPr>
        <xdr:cNvPr id="2" name="Down Arrow 2">
          <a:extLst>
            <a:ext uri="{FF2B5EF4-FFF2-40B4-BE49-F238E27FC236}">
              <a16:creationId xmlns:a16="http://schemas.microsoft.com/office/drawing/2014/main" id="{7EFC229C-A76B-47A9-B17E-D9DEC2D1E71B}"/>
            </a:ext>
          </a:extLst>
        </xdr:cNvPr>
        <xdr:cNvSpPr/>
      </xdr:nvSpPr>
      <xdr:spPr>
        <a:xfrm>
          <a:off x="28527375" y="5434853"/>
          <a:ext cx="481853" cy="35858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8</xdr:col>
      <xdr:colOff>268942</xdr:colOff>
      <xdr:row>5</xdr:row>
      <xdr:rowOff>97492</xdr:rowOff>
    </xdr:from>
    <xdr:to>
      <xdr:col>17</xdr:col>
      <xdr:colOff>537883</xdr:colOff>
      <xdr:row>26</xdr:row>
      <xdr:rowOff>116542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8194D-41C5-41E9-8D1D-709B3C17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1589</xdr:rowOff>
    </xdr:from>
    <xdr:to>
      <xdr:col>18</xdr:col>
      <xdr:colOff>587375</xdr:colOff>
      <xdr:row>19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61711-5B3F-4B9C-B006-25109B717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173182</xdr:colOff>
      <xdr:row>34</xdr:row>
      <xdr:rowOff>155864</xdr:rowOff>
    </xdr:from>
    <xdr:to>
      <xdr:col>15</xdr:col>
      <xdr:colOff>319348</xdr:colOff>
      <xdr:row>42</xdr:row>
      <xdr:rowOff>35214</xdr:rowOff>
    </xdr:to>
    <xdr:pic>
      <xdr:nvPicPr>
        <xdr:cNvPr id="4" name="picture" descr="https://lh3.googleusercontent.com/7eKscXDjVqEU4OQIrKSrijjH2-WL94GyZbD_0-hg4EteKiXnHeQjeeVYszCqbaLLLQaNFNr0-WL4Co2DRFyP9cp_BnJ6CUz9W5EEVvjsiuJqcleNzFOAKWPPRnezNFaTLh0KFyw1">
          <a:extLst>
            <a:ext uri="{FF2B5EF4-FFF2-40B4-BE49-F238E27FC236}">
              <a16:creationId xmlns:a16="http://schemas.microsoft.com/office/drawing/2014/main" id="{D757D7CE-A36A-4985-B7E7-9266AAC46BDF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74" r="4790" b="6904"/>
        <a:stretch/>
      </xdr:blipFill>
      <xdr:spPr bwMode="auto">
        <a:xfrm>
          <a:off x="6425046" y="6477000"/>
          <a:ext cx="3436620" cy="1403350"/>
        </a:xfrm>
        <a:prstGeom prst="rect">
          <a:avLst/>
        </a:prstGeom>
        <a:ln>
          <a:noFill/>
        </a:ln>
        <a:extLst>
          <a:ext uri="{53640926-AAD7-44d8-BBD7-CCE9431645EC}">
            <a14:shadowObscured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  <xdr:twoCellAnchor editAs="oneCell">
    <xdr:from>
      <xdr:col>15</xdr:col>
      <xdr:colOff>346364</xdr:colOff>
      <xdr:row>34</xdr:row>
      <xdr:rowOff>17318</xdr:rowOff>
    </xdr:from>
    <xdr:to>
      <xdr:col>19</xdr:col>
      <xdr:colOff>3059</xdr:colOff>
      <xdr:row>41</xdr:row>
      <xdr:rowOff>130348</xdr:rowOff>
    </xdr:to>
    <xdr:pic>
      <xdr:nvPicPr>
        <xdr:cNvPr id="5" name="picture" descr="https://lh5.googleusercontent.com/TKK3tL8DVmh61E9U79BeoS1S7dGqWO5UO4lH-bpNPGG7pDjxRgfhlzpM8t21pGcdnQq3ZA1zjr8qEaDArdRDtyD_DoEYZfLVihZek3Du9niLT_627jiZ_D4Z9CtlnAFC_fK_htBs">
          <a:extLst>
            <a:ext uri="{FF2B5EF4-FFF2-40B4-BE49-F238E27FC236}">
              <a16:creationId xmlns:a16="http://schemas.microsoft.com/office/drawing/2014/main" id="{06E1B4D5-7508-4907-9B34-2C3EB94040E6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3505"/>
        <a:stretch/>
      </xdr:blipFill>
      <xdr:spPr bwMode="auto">
        <a:xfrm>
          <a:off x="9888682" y="6338454"/>
          <a:ext cx="2237105" cy="1446530"/>
        </a:xfrm>
        <a:prstGeom prst="rect">
          <a:avLst/>
        </a:prstGeom>
        <a:ln>
          <a:noFill/>
        </a:ln>
        <a:extLst>
          <a:ext uri="{53640926-AAD7-44d8-BBD7-CCE9431645EC}">
            <a14:shadowObscured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energy.gov.za/files/renewable-energy-status-report/Market-Overview-and-Current-Levels-of-Renewable-Energy-Deployment-NERSA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atb.nrel.gov/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s://www.eia.gov/electricity/generatorcosts/" TargetMode="External"/><Relationship Id="rId1" Type="http://schemas.openxmlformats.org/officeDocument/2006/relationships/hyperlink" Target="https://solargis.com/assets/publication/2012/Suri-et-al--SASEC2012--PV-potential-in-South-Africa.pdf" TargetMode="External"/><Relationship Id="rId6" Type="http://schemas.openxmlformats.org/officeDocument/2006/relationships/hyperlink" Target="https://www.ise.fraunhofer.de/content/dam/ise/de/documents/publications/studies/AgoraEnergiewende_Current_and_Future_Cost_of_PV_Feb2015_web.pdf" TargetMode="External"/><Relationship Id="rId5" Type="http://schemas.openxmlformats.org/officeDocument/2006/relationships/hyperlink" Target="http://redis.energy.gov.za/national/" TargetMode="External"/><Relationship Id="rId4" Type="http://schemas.openxmlformats.org/officeDocument/2006/relationships/hyperlink" Target="https://www.eia.gov/todayinenergy/detail.php?id=30912" TargetMode="External"/><Relationship Id="rId9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https://www.agora-energiewende.de/fileadmin/Projekte/2017/Future_Cost_of_Wind/Agora_Future-Cost-of-Wind_WEB.pdf" TargetMode="External"/><Relationship Id="rId7" Type="http://schemas.openxmlformats.org/officeDocument/2006/relationships/hyperlink" Target="https://www.agora-energiewende.de/fileadmin/Projekte/2017/Future_Cost_of_Wind/Agora_Future-Cost-of-Wind_WEB.pdf" TargetMode="External"/><Relationship Id="rId2" Type="http://schemas.openxmlformats.org/officeDocument/2006/relationships/hyperlink" Target="http://eta-publications.lbl.gov/sites/default/files/lbnl-1005717.pdf" TargetMode="External"/><Relationship Id="rId1" Type="http://schemas.openxmlformats.org/officeDocument/2006/relationships/hyperlink" Target="https://atb.nrel.gov/" TargetMode="External"/><Relationship Id="rId6" Type="http://schemas.openxmlformats.org/officeDocument/2006/relationships/hyperlink" Target="http://eta-publications.lbl.gov/sites/default/files/lbnl-1005717.pdf" TargetMode="External"/><Relationship Id="rId5" Type="http://schemas.openxmlformats.org/officeDocument/2006/relationships/hyperlink" Target="https://atb.nrel.gov/" TargetMode="External"/><Relationship Id="rId4" Type="http://schemas.openxmlformats.org/officeDocument/2006/relationships/hyperlink" Target="http://www.energy.gov.za/files/renewable-energy-status-report/Market-Overview-and-Current-Levels-of-Renewable-Energy-Deployment-NERSA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gora-energiewende.de/fileadmin/Projekte/2017/Future_Cost_of_Wind/Agora_Future-Cost-of-Wind_WEB.pdf" TargetMode="External"/><Relationship Id="rId2" Type="http://schemas.openxmlformats.org/officeDocument/2006/relationships/hyperlink" Target="http://eta-publications.lbl.gov/sites/default/files/lbnl-1005717.pdf" TargetMode="External"/><Relationship Id="rId1" Type="http://schemas.openxmlformats.org/officeDocument/2006/relationships/hyperlink" Target="https://atb.nrel.gov/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http://www.energy.gov.za/files/renewable-energy-status-report/Market-Overview-and-Current-Levels-of-Renewable-Energy-Deployment-NERSA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s://www.eia.gov/electricity/generatorcosts/" TargetMode="External"/><Relationship Id="rId1" Type="http://schemas.openxmlformats.org/officeDocument/2006/relationships/hyperlink" Target="https://solargis.com/assets/publication/2012/Suri-et-al--SASEC2012--PV-potential-in-South-Africa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redis.energy.gov.za/national/" TargetMode="External"/><Relationship Id="rId4" Type="http://schemas.openxmlformats.org/officeDocument/2006/relationships/hyperlink" Target="https://www.eia.gov/todayinenergy/detail.php?id=3091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L28"/>
  <sheetViews>
    <sheetView zoomScaleNormal="100" workbookViewId="0">
      <selection activeCell="B2" sqref="B2"/>
    </sheetView>
  </sheetViews>
  <sheetFormatPr defaultRowHeight="15" x14ac:dyDescent="0.25"/>
  <cols>
    <col min="1" max="1" width="19.5703125" customWidth="1"/>
    <col min="2" max="2" width="18.140625" customWidth="1"/>
    <col min="3" max="3" width="10.42578125" style="30" customWidth="1"/>
    <col min="4" max="38" width="9.140625" style="30"/>
  </cols>
  <sheetData>
    <row r="2" spans="2:2" ht="18.75" x14ac:dyDescent="0.3">
      <c r="B2" s="135" t="s">
        <v>201</v>
      </c>
    </row>
    <row r="27" spans="20:30" x14ac:dyDescent="0.25"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</row>
    <row r="28" spans="20:30" x14ac:dyDescent="0.25"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O53"/>
  <sheetViews>
    <sheetView zoomScaleNormal="100" workbookViewId="0">
      <selection activeCell="B1" sqref="B1"/>
    </sheetView>
  </sheetViews>
  <sheetFormatPr defaultRowHeight="15" x14ac:dyDescent="0.25"/>
  <cols>
    <col min="1" max="1" width="17.28515625" customWidth="1"/>
    <col min="2" max="2" width="18.140625" customWidth="1"/>
    <col min="3" max="3" width="10.42578125" style="30" customWidth="1"/>
    <col min="4" max="4" width="11.140625" style="30" customWidth="1"/>
    <col min="5" max="6" width="9.140625" style="30"/>
    <col min="7" max="7" width="10.85546875" style="30" customWidth="1"/>
    <col min="8" max="38" width="9.140625" style="30"/>
  </cols>
  <sheetData>
    <row r="1" spans="2:38" ht="18.75" x14ac:dyDescent="0.3">
      <c r="B1" s="135" t="s">
        <v>201</v>
      </c>
    </row>
    <row r="2" spans="2:38" x14ac:dyDescent="0.25">
      <c r="B2" t="s">
        <v>184</v>
      </c>
    </row>
    <row r="3" spans="2:38" ht="30" x14ac:dyDescent="0.25">
      <c r="B3" s="66"/>
      <c r="C3" s="67" t="s">
        <v>87</v>
      </c>
      <c r="D3" s="67" t="s">
        <v>88</v>
      </c>
      <c r="E3" s="67" t="s">
        <v>89</v>
      </c>
      <c r="F3" s="67" t="s">
        <v>90</v>
      </c>
      <c r="G3" s="67" t="s">
        <v>91</v>
      </c>
    </row>
    <row r="4" spans="2:38" x14ac:dyDescent="0.25">
      <c r="B4" s="67" t="s">
        <v>186</v>
      </c>
      <c r="C4" s="67">
        <v>627</v>
      </c>
      <c r="D4" s="67">
        <v>417</v>
      </c>
      <c r="E4" s="67">
        <v>435</v>
      </c>
      <c r="F4" s="67">
        <v>813</v>
      </c>
      <c r="G4" s="67">
        <v>591</v>
      </c>
      <c r="AD4" s="68" t="s">
        <v>86</v>
      </c>
    </row>
    <row r="5" spans="2:38" x14ac:dyDescent="0.25">
      <c r="B5" s="59" t="s">
        <v>187</v>
      </c>
      <c r="C5" s="50">
        <v>3.65</v>
      </c>
      <c r="D5" s="50">
        <v>2.1800000000000002</v>
      </c>
      <c r="E5" s="50">
        <v>1.17</v>
      </c>
      <c r="F5" s="50">
        <v>0.91</v>
      </c>
      <c r="G5" s="50">
        <v>0.62</v>
      </c>
      <c r="H5" s="6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2:38" x14ac:dyDescent="0.25">
      <c r="B6" s="59" t="s">
        <v>188</v>
      </c>
      <c r="C6" s="50">
        <v>3.22</v>
      </c>
      <c r="D6" s="50">
        <v>1.85</v>
      </c>
      <c r="E6" s="50">
        <v>1.02</v>
      </c>
      <c r="F6" s="50">
        <v>0.86</v>
      </c>
      <c r="G6" s="50">
        <v>0.6</v>
      </c>
      <c r="H6" s="65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2:38" x14ac:dyDescent="0.25">
      <c r="B7" s="59" t="s">
        <v>189</v>
      </c>
      <c r="C7" s="50">
        <v>3.77</v>
      </c>
      <c r="D7" s="50">
        <v>2.54</v>
      </c>
      <c r="E7" s="50">
        <v>1.3</v>
      </c>
      <c r="F7" s="50">
        <v>0.97</v>
      </c>
      <c r="G7" s="50">
        <v>0.64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2:38" x14ac:dyDescent="0.25"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2:38" x14ac:dyDescent="0.25"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1" spans="2:38" ht="30" x14ac:dyDescent="0.25">
      <c r="B11" s="50"/>
      <c r="C11" s="67" t="s">
        <v>87</v>
      </c>
      <c r="D11" s="67" t="s">
        <v>88</v>
      </c>
      <c r="E11" s="67" t="s">
        <v>89</v>
      </c>
      <c r="F11" s="67" t="s">
        <v>90</v>
      </c>
      <c r="G11" s="67" t="s">
        <v>92</v>
      </c>
    </row>
    <row r="12" spans="2:38" x14ac:dyDescent="0.25">
      <c r="B12" s="67" t="s">
        <v>186</v>
      </c>
      <c r="C12" s="67">
        <v>649</v>
      </c>
      <c r="D12" s="67">
        <v>559</v>
      </c>
      <c r="E12" s="67">
        <v>787</v>
      </c>
      <c r="F12" s="67">
        <v>1363</v>
      </c>
      <c r="G12" s="67">
        <v>681</v>
      </c>
    </row>
    <row r="13" spans="2:38" x14ac:dyDescent="0.25">
      <c r="B13" s="59" t="s">
        <v>187</v>
      </c>
      <c r="C13" s="50">
        <v>1.51</v>
      </c>
      <c r="D13" s="50">
        <v>1.19</v>
      </c>
      <c r="E13" s="50">
        <v>0.87</v>
      </c>
      <c r="F13" s="50">
        <v>0.75</v>
      </c>
      <c r="G13" s="50">
        <v>0.62</v>
      </c>
    </row>
    <row r="14" spans="2:38" x14ac:dyDescent="0.25">
      <c r="B14" s="59" t="s">
        <v>188</v>
      </c>
      <c r="C14" s="50">
        <v>1.47</v>
      </c>
      <c r="D14" s="50">
        <v>1.06</v>
      </c>
      <c r="E14" s="50">
        <v>0.78</v>
      </c>
      <c r="F14" s="50">
        <v>0.62</v>
      </c>
      <c r="G14" s="50">
        <v>0.57999999999999996</v>
      </c>
    </row>
    <row r="15" spans="2:38" x14ac:dyDescent="0.25">
      <c r="B15" s="59" t="s">
        <v>189</v>
      </c>
      <c r="C15" s="50">
        <v>1.52</v>
      </c>
      <c r="D15" s="50">
        <v>1.29</v>
      </c>
      <c r="E15" s="50">
        <v>0.94</v>
      </c>
      <c r="F15" s="50">
        <v>0.84</v>
      </c>
      <c r="G15" s="50">
        <v>0.64</v>
      </c>
    </row>
    <row r="40" spans="3:41" x14ac:dyDescent="0.25">
      <c r="C40" s="89" t="s">
        <v>193</v>
      </c>
    </row>
    <row r="41" spans="3:41" x14ac:dyDescent="0.25">
      <c r="C41" s="89" t="s">
        <v>194</v>
      </c>
    </row>
    <row r="42" spans="3:41" x14ac:dyDescent="0.25">
      <c r="C42" s="89" t="s">
        <v>195</v>
      </c>
    </row>
    <row r="43" spans="3:41" x14ac:dyDescent="0.25">
      <c r="D43" s="30">
        <v>2013</v>
      </c>
      <c r="E43" s="30">
        <v>2014</v>
      </c>
      <c r="F43" s="30">
        <v>2015</v>
      </c>
      <c r="G43" s="30">
        <v>2016</v>
      </c>
      <c r="H43" s="30">
        <v>2017</v>
      </c>
      <c r="I43" s="30">
        <v>2018</v>
      </c>
      <c r="J43" s="30">
        <v>2019</v>
      </c>
      <c r="K43" s="30">
        <v>2020</v>
      </c>
      <c r="L43" s="30">
        <v>2021</v>
      </c>
      <c r="M43" s="30">
        <v>2022</v>
      </c>
      <c r="N43" s="30">
        <v>2023</v>
      </c>
      <c r="O43" s="30">
        <v>2024</v>
      </c>
      <c r="P43" s="30">
        <v>2025</v>
      </c>
      <c r="Q43" s="30">
        <v>2026</v>
      </c>
      <c r="R43" s="30">
        <v>2027</v>
      </c>
      <c r="S43" s="30">
        <v>2028</v>
      </c>
      <c r="T43" s="30">
        <v>2029</v>
      </c>
      <c r="U43" s="30">
        <v>2030</v>
      </c>
      <c r="AM43" s="30"/>
      <c r="AN43" s="30"/>
      <c r="AO43" s="30"/>
    </row>
    <row r="44" spans="3:41" x14ac:dyDescent="0.25">
      <c r="C44" s="67" t="s">
        <v>191</v>
      </c>
      <c r="D44" s="67">
        <v>0.41699999999999998</v>
      </c>
      <c r="E44" s="67">
        <v>0.435</v>
      </c>
      <c r="F44" s="67">
        <v>0.81299999999999994</v>
      </c>
      <c r="G44" s="30">
        <v>1.4039999999999999</v>
      </c>
      <c r="H44" s="30">
        <v>1.4039999999999999</v>
      </c>
      <c r="I44" s="30">
        <v>1.4039999999999999</v>
      </c>
      <c r="J44" s="30">
        <v>1.4039999999999999</v>
      </c>
      <c r="K44" s="30">
        <v>1.4039999999999999</v>
      </c>
      <c r="L44" s="30">
        <v>1.9950000000000001</v>
      </c>
      <c r="M44" s="30">
        <v>2.5859999999999999</v>
      </c>
      <c r="N44" s="30">
        <v>3.177</v>
      </c>
      <c r="O44" s="30">
        <v>3.7679999999999998</v>
      </c>
      <c r="P44" s="30">
        <v>4.359</v>
      </c>
      <c r="Q44" s="30">
        <v>4.95</v>
      </c>
      <c r="R44" s="30">
        <v>5.5410000000000004</v>
      </c>
      <c r="S44" s="30">
        <v>6.1319999999999997</v>
      </c>
      <c r="T44" s="30">
        <v>6.7229999999999999</v>
      </c>
      <c r="U44" s="30">
        <v>7.3140000000000001</v>
      </c>
      <c r="AM44" s="30"/>
      <c r="AN44" s="30"/>
      <c r="AO44" s="30"/>
    </row>
    <row r="45" spans="3:41" x14ac:dyDescent="0.25">
      <c r="C45" s="67" t="s">
        <v>192</v>
      </c>
      <c r="D45" s="67">
        <v>0.55900000000000005</v>
      </c>
      <c r="E45" s="67">
        <v>0.78700000000000003</v>
      </c>
      <c r="F45" s="67">
        <v>1.363</v>
      </c>
      <c r="G45" s="30">
        <v>2.044</v>
      </c>
      <c r="H45" s="30">
        <v>2.044</v>
      </c>
      <c r="I45" s="30">
        <v>2.044</v>
      </c>
      <c r="J45" s="30">
        <v>2.044</v>
      </c>
      <c r="K45" s="30">
        <v>2.044</v>
      </c>
      <c r="L45" s="30">
        <v>2.044</v>
      </c>
      <c r="M45" s="30">
        <v>2.7250000000000001</v>
      </c>
      <c r="N45" s="30">
        <v>3.4060000000000001</v>
      </c>
      <c r="O45" s="30">
        <v>4.0869999999999997</v>
      </c>
      <c r="P45" s="30">
        <v>4.7679999999999998</v>
      </c>
      <c r="Q45" s="30">
        <v>5.4489999999999998</v>
      </c>
      <c r="R45" s="30">
        <v>6.13</v>
      </c>
      <c r="S45" s="30">
        <v>6.8109999999999999</v>
      </c>
      <c r="T45" s="30">
        <v>7.492</v>
      </c>
      <c r="U45" s="30">
        <v>8.173</v>
      </c>
      <c r="AM45" s="30"/>
      <c r="AN45" s="30"/>
      <c r="AO45" s="30"/>
    </row>
    <row r="46" spans="3:41" x14ac:dyDescent="0.25">
      <c r="K46" s="30">
        <v>0</v>
      </c>
    </row>
    <row r="47" spans="3:41" x14ac:dyDescent="0.25">
      <c r="D47" s="30">
        <f t="shared" ref="D47:G48" si="0">D44/1000</f>
        <v>4.17E-4</v>
      </c>
      <c r="E47" s="30">
        <f t="shared" si="0"/>
        <v>4.35E-4</v>
      </c>
      <c r="F47" s="30">
        <f t="shared" si="0"/>
        <v>8.1299999999999992E-4</v>
      </c>
      <c r="G47" s="30">
        <f t="shared" si="0"/>
        <v>1.4039999999999999E-3</v>
      </c>
      <c r="H47" s="30">
        <f t="shared" ref="H47:U47" si="1">H44/1000</f>
        <v>1.4039999999999999E-3</v>
      </c>
      <c r="I47" s="30">
        <f t="shared" si="1"/>
        <v>1.4039999999999999E-3</v>
      </c>
      <c r="J47" s="30">
        <f t="shared" si="1"/>
        <v>1.4039999999999999E-3</v>
      </c>
      <c r="K47" s="30">
        <f t="shared" si="1"/>
        <v>1.4039999999999999E-3</v>
      </c>
      <c r="L47" s="30">
        <f t="shared" si="1"/>
        <v>1.9950000000000002E-3</v>
      </c>
      <c r="M47" s="30">
        <f t="shared" si="1"/>
        <v>2.5859999999999998E-3</v>
      </c>
      <c r="N47" s="30">
        <f t="shared" si="1"/>
        <v>3.1770000000000001E-3</v>
      </c>
      <c r="O47" s="30">
        <f t="shared" si="1"/>
        <v>3.7679999999999996E-3</v>
      </c>
      <c r="P47" s="30">
        <f t="shared" si="1"/>
        <v>4.359E-3</v>
      </c>
      <c r="Q47" s="30">
        <f t="shared" si="1"/>
        <v>4.9500000000000004E-3</v>
      </c>
      <c r="R47" s="30">
        <f t="shared" si="1"/>
        <v>5.5410000000000008E-3</v>
      </c>
      <c r="S47" s="30">
        <f t="shared" si="1"/>
        <v>6.1319999999999994E-3</v>
      </c>
      <c r="T47" s="30">
        <f t="shared" si="1"/>
        <v>6.7229999999999998E-3</v>
      </c>
      <c r="U47" s="30">
        <f t="shared" si="1"/>
        <v>7.3140000000000002E-3</v>
      </c>
    </row>
    <row r="48" spans="3:41" x14ac:dyDescent="0.25">
      <c r="D48" s="30">
        <f t="shared" si="0"/>
        <v>5.5900000000000004E-4</v>
      </c>
      <c r="E48" s="30">
        <f t="shared" si="0"/>
        <v>7.8700000000000005E-4</v>
      </c>
      <c r="F48" s="30">
        <f t="shared" si="0"/>
        <v>1.3630000000000001E-3</v>
      </c>
      <c r="G48" s="30">
        <f t="shared" si="0"/>
        <v>2.0440000000000002E-3</v>
      </c>
      <c r="H48" s="30">
        <f t="shared" ref="H48:U48" si="2">H45/1000</f>
        <v>2.0440000000000002E-3</v>
      </c>
      <c r="I48" s="30">
        <f t="shared" si="2"/>
        <v>2.0440000000000002E-3</v>
      </c>
      <c r="J48" s="30">
        <f t="shared" si="2"/>
        <v>2.0440000000000002E-3</v>
      </c>
      <c r="K48" s="30">
        <f t="shared" si="2"/>
        <v>2.0440000000000002E-3</v>
      </c>
      <c r="L48" s="30">
        <f t="shared" si="2"/>
        <v>2.0440000000000002E-3</v>
      </c>
      <c r="M48" s="30">
        <f t="shared" si="2"/>
        <v>2.725E-3</v>
      </c>
      <c r="N48" s="30">
        <f t="shared" si="2"/>
        <v>3.4060000000000002E-3</v>
      </c>
      <c r="O48" s="30">
        <f t="shared" si="2"/>
        <v>4.0869999999999995E-3</v>
      </c>
      <c r="P48" s="30">
        <f t="shared" si="2"/>
        <v>4.7679999999999997E-3</v>
      </c>
      <c r="Q48" s="30">
        <f t="shared" si="2"/>
        <v>5.4489999999999999E-3</v>
      </c>
      <c r="R48" s="30">
        <f t="shared" si="2"/>
        <v>6.13E-3</v>
      </c>
      <c r="S48" s="30">
        <f t="shared" si="2"/>
        <v>6.8110000000000002E-3</v>
      </c>
      <c r="T48" s="30">
        <f t="shared" si="2"/>
        <v>7.4920000000000004E-3</v>
      </c>
      <c r="U48" s="30">
        <f t="shared" si="2"/>
        <v>8.1729999999999997E-3</v>
      </c>
    </row>
    <row r="51" spans="7:21" x14ac:dyDescent="0.25">
      <c r="G51" s="30">
        <v>0.66200000000000003</v>
      </c>
      <c r="H51" s="30">
        <v>0.70599999999999996</v>
      </c>
      <c r="I51" s="30">
        <v>0.753</v>
      </c>
      <c r="J51" s="30">
        <v>0.80400000000000005</v>
      </c>
      <c r="K51" s="30">
        <f>J51+J51-I51</f>
        <v>0.85500000000000009</v>
      </c>
      <c r="L51" s="30">
        <f t="shared" ref="L51:U51" si="3">K51+K51-J51</f>
        <v>0.90600000000000014</v>
      </c>
      <c r="M51" s="30">
        <f t="shared" si="3"/>
        <v>0.95700000000000018</v>
      </c>
      <c r="N51" s="30">
        <f t="shared" si="3"/>
        <v>1.0080000000000002</v>
      </c>
      <c r="O51" s="30">
        <f t="shared" si="3"/>
        <v>1.0590000000000002</v>
      </c>
      <c r="P51" s="30">
        <f t="shared" si="3"/>
        <v>1.1100000000000001</v>
      </c>
      <c r="Q51" s="30">
        <f t="shared" si="3"/>
        <v>1.161</v>
      </c>
      <c r="R51" s="30">
        <f t="shared" si="3"/>
        <v>1.212</v>
      </c>
      <c r="S51" s="30">
        <f t="shared" si="3"/>
        <v>1.2629999999999999</v>
      </c>
      <c r="T51" s="30">
        <f t="shared" si="3"/>
        <v>1.3139999999999998</v>
      </c>
      <c r="U51" s="30">
        <f t="shared" si="3"/>
        <v>1.3649999999999998</v>
      </c>
    </row>
    <row r="53" spans="7:21" x14ac:dyDescent="0.25">
      <c r="G53" s="30">
        <f>G47/4</f>
        <v>3.5099999999999997E-4</v>
      </c>
      <c r="H53" s="30">
        <f t="shared" ref="H53:U53" si="4">H47/4</f>
        <v>3.5099999999999997E-4</v>
      </c>
      <c r="I53" s="30">
        <f t="shared" si="4"/>
        <v>3.5099999999999997E-4</v>
      </c>
      <c r="J53" s="30">
        <f t="shared" si="4"/>
        <v>3.5099999999999997E-4</v>
      </c>
      <c r="K53" s="30">
        <f t="shared" si="4"/>
        <v>3.5099999999999997E-4</v>
      </c>
      <c r="L53" s="30">
        <f t="shared" si="4"/>
        <v>4.9875000000000006E-4</v>
      </c>
      <c r="M53" s="30">
        <f t="shared" si="4"/>
        <v>6.4649999999999994E-4</v>
      </c>
      <c r="N53" s="30">
        <f t="shared" si="4"/>
        <v>7.9425000000000003E-4</v>
      </c>
      <c r="O53" s="30">
        <f t="shared" si="4"/>
        <v>9.4199999999999991E-4</v>
      </c>
      <c r="P53" s="30">
        <f t="shared" si="4"/>
        <v>1.08975E-3</v>
      </c>
      <c r="Q53" s="30">
        <f t="shared" si="4"/>
        <v>1.2375000000000001E-3</v>
      </c>
      <c r="R53" s="30">
        <f t="shared" si="4"/>
        <v>1.3852500000000002E-3</v>
      </c>
      <c r="S53" s="30">
        <f t="shared" si="4"/>
        <v>1.5329999999999999E-3</v>
      </c>
      <c r="T53" s="30">
        <f t="shared" si="4"/>
        <v>1.68075E-3</v>
      </c>
      <c r="U53" s="30">
        <f t="shared" si="4"/>
        <v>1.8285E-3</v>
      </c>
    </row>
  </sheetData>
  <hyperlinks>
    <hyperlink ref="AD4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O51"/>
  <sheetViews>
    <sheetView zoomScaleNormal="100" workbookViewId="0">
      <selection activeCell="B1" sqref="B1"/>
    </sheetView>
  </sheetViews>
  <sheetFormatPr defaultRowHeight="15" x14ac:dyDescent="0.25"/>
  <cols>
    <col min="1" max="1" width="19.5703125" customWidth="1"/>
    <col min="2" max="2" width="18.140625" customWidth="1"/>
    <col min="3" max="3" width="10.42578125" style="30" customWidth="1"/>
    <col min="4" max="38" width="9.140625" style="30"/>
  </cols>
  <sheetData>
    <row r="1" spans="1:41" ht="18.75" x14ac:dyDescent="0.3">
      <c r="B1" s="135" t="s">
        <v>201</v>
      </c>
    </row>
    <row r="2" spans="1:41" x14ac:dyDescent="0.25">
      <c r="A2" s="56" t="s">
        <v>48</v>
      </c>
      <c r="C2" s="50">
        <v>2015</v>
      </c>
      <c r="D2" s="50">
        <v>2016</v>
      </c>
      <c r="E2" s="50">
        <v>2017</v>
      </c>
      <c r="F2" s="50">
        <v>2018</v>
      </c>
      <c r="G2" s="50">
        <v>2019</v>
      </c>
      <c r="H2" s="50">
        <v>2020</v>
      </c>
      <c r="I2" s="50">
        <v>2021</v>
      </c>
      <c r="J2" s="50">
        <v>2022</v>
      </c>
      <c r="K2" s="50">
        <v>2023</v>
      </c>
      <c r="L2" s="50">
        <v>2024</v>
      </c>
      <c r="M2" s="50">
        <v>2025</v>
      </c>
      <c r="N2" s="50">
        <v>2026</v>
      </c>
      <c r="O2" s="50">
        <v>2027</v>
      </c>
      <c r="P2" s="50">
        <v>2028</v>
      </c>
      <c r="Q2" s="50">
        <v>2029</v>
      </c>
      <c r="R2" s="50">
        <v>2030</v>
      </c>
      <c r="S2" s="50">
        <v>2031</v>
      </c>
      <c r="T2" s="50">
        <v>2032</v>
      </c>
      <c r="U2" s="50">
        <v>2033</v>
      </c>
      <c r="V2" s="50">
        <v>2034</v>
      </c>
      <c r="W2" s="50">
        <v>2035</v>
      </c>
      <c r="X2" s="50">
        <v>2036</v>
      </c>
      <c r="Y2" s="50">
        <v>2037</v>
      </c>
      <c r="Z2" s="50">
        <v>2038</v>
      </c>
      <c r="AA2" s="50">
        <v>2039</v>
      </c>
      <c r="AB2" s="50">
        <v>2040</v>
      </c>
      <c r="AC2" s="50">
        <v>2041</v>
      </c>
      <c r="AD2" s="50">
        <v>2042</v>
      </c>
      <c r="AE2" s="50">
        <v>2043</v>
      </c>
      <c r="AF2" s="50">
        <v>2044</v>
      </c>
      <c r="AG2" s="50">
        <v>2045</v>
      </c>
      <c r="AH2" s="50">
        <v>2046</v>
      </c>
      <c r="AI2" s="50">
        <v>2047</v>
      </c>
      <c r="AJ2" s="50">
        <v>2048</v>
      </c>
      <c r="AK2" s="50">
        <v>2049</v>
      </c>
      <c r="AL2" s="50">
        <v>2050</v>
      </c>
    </row>
    <row r="3" spans="1:41" x14ac:dyDescent="0.25">
      <c r="A3" s="27" t="s">
        <v>30</v>
      </c>
      <c r="B3" s="27" t="s">
        <v>54</v>
      </c>
      <c r="C3" s="31">
        <v>0.28000000000000003</v>
      </c>
      <c r="D3" s="31">
        <v>0.28000000000000003</v>
      </c>
      <c r="E3" s="31">
        <v>0.28000000000000003</v>
      </c>
      <c r="F3" s="31">
        <v>0.28000000000000003</v>
      </c>
      <c r="G3" s="31">
        <v>0.28000000000000003</v>
      </c>
      <c r="H3" s="31">
        <v>0.28000000000000003</v>
      </c>
      <c r="I3" s="31">
        <v>0.28000000000000003</v>
      </c>
      <c r="J3" s="31">
        <v>0.28000000000000003</v>
      </c>
      <c r="K3" s="31">
        <v>0.28000000000000003</v>
      </c>
      <c r="L3" s="31">
        <v>0.28000000000000003</v>
      </c>
      <c r="M3" s="31">
        <v>0.28000000000000003</v>
      </c>
      <c r="N3" s="31">
        <v>0.28000000000000003</v>
      </c>
      <c r="O3" s="31">
        <v>0.28000000000000003</v>
      </c>
      <c r="P3" s="31">
        <v>0.28000000000000003</v>
      </c>
      <c r="Q3" s="31">
        <v>0.28000000000000003</v>
      </c>
      <c r="R3" s="31">
        <v>0.28000000000000003</v>
      </c>
      <c r="S3" s="31">
        <v>0.28000000000000003</v>
      </c>
      <c r="T3" s="31">
        <v>0.28000000000000003</v>
      </c>
      <c r="U3" s="31">
        <v>0.28000000000000003</v>
      </c>
      <c r="V3" s="31">
        <v>0.28000000000000003</v>
      </c>
      <c r="W3" s="31">
        <v>0.28000000000000003</v>
      </c>
      <c r="X3" s="31">
        <v>0.28000000000000003</v>
      </c>
      <c r="Y3" s="31">
        <v>0.28000000000000003</v>
      </c>
      <c r="Z3" s="31">
        <v>0.28000000000000003</v>
      </c>
      <c r="AA3" s="31">
        <v>0.28000000000000003</v>
      </c>
      <c r="AB3" s="31">
        <v>0.28000000000000003</v>
      </c>
      <c r="AC3" s="31">
        <v>0.28000000000000003</v>
      </c>
      <c r="AD3" s="31">
        <v>0.28000000000000003</v>
      </c>
      <c r="AE3" s="31">
        <v>0.28000000000000003</v>
      </c>
      <c r="AF3" s="31">
        <v>0.28000000000000003</v>
      </c>
      <c r="AG3" s="31">
        <v>0.28000000000000003</v>
      </c>
      <c r="AH3" s="31">
        <v>0.28000000000000003</v>
      </c>
      <c r="AI3" s="31">
        <v>0.28000000000000003</v>
      </c>
      <c r="AJ3" s="31">
        <v>0.28000000000000003</v>
      </c>
      <c r="AK3" s="31">
        <v>0.28000000000000003</v>
      </c>
      <c r="AL3" s="31">
        <v>0.28000000000000003</v>
      </c>
    </row>
    <row r="4" spans="1:41" x14ac:dyDescent="0.25">
      <c r="A4" s="28"/>
      <c r="B4" s="28" t="s">
        <v>55</v>
      </c>
      <c r="C4" s="32">
        <v>0.28000000000000003</v>
      </c>
      <c r="D4" s="32">
        <v>0.28000000000000003</v>
      </c>
      <c r="E4" s="32">
        <v>0.28000000000000003</v>
      </c>
      <c r="F4" s="32">
        <v>0.28000000000000003</v>
      </c>
      <c r="G4" s="32">
        <v>0.28000000000000003</v>
      </c>
      <c r="H4" s="32">
        <v>0.28000000000000003</v>
      </c>
      <c r="I4" s="32">
        <v>0.28000000000000003</v>
      </c>
      <c r="J4" s="32">
        <v>0.28000000000000003</v>
      </c>
      <c r="K4" s="32">
        <v>0.28000000000000003</v>
      </c>
      <c r="L4" s="32">
        <v>0.28000000000000003</v>
      </c>
      <c r="M4" s="32">
        <v>0.28000000000000003</v>
      </c>
      <c r="N4" s="32">
        <v>0.28000000000000003</v>
      </c>
      <c r="O4" s="32">
        <v>0.28000000000000003</v>
      </c>
      <c r="P4" s="32">
        <v>0.28000000000000003</v>
      </c>
      <c r="Q4" s="32">
        <v>0.28000000000000003</v>
      </c>
      <c r="R4" s="32">
        <v>0.28000000000000003</v>
      </c>
      <c r="S4" s="32">
        <v>0.28000000000000003</v>
      </c>
      <c r="T4" s="32">
        <v>0.28000000000000003</v>
      </c>
      <c r="U4" s="32">
        <v>0.28000000000000003</v>
      </c>
      <c r="V4" s="32">
        <v>0.28000000000000003</v>
      </c>
      <c r="W4" s="32">
        <v>0.28000000000000003</v>
      </c>
      <c r="X4" s="32">
        <v>0.28000000000000003</v>
      </c>
      <c r="Y4" s="32">
        <v>0.28000000000000003</v>
      </c>
      <c r="Z4" s="32">
        <v>0.28000000000000003</v>
      </c>
      <c r="AA4" s="32">
        <v>0.28000000000000003</v>
      </c>
      <c r="AB4" s="32">
        <v>0.28000000000000003</v>
      </c>
      <c r="AC4" s="32">
        <v>0.28000000000000003</v>
      </c>
      <c r="AD4" s="32">
        <v>0.28000000000000003</v>
      </c>
      <c r="AE4" s="32">
        <v>0.28000000000000003</v>
      </c>
      <c r="AF4" s="32">
        <v>0.28000000000000003</v>
      </c>
      <c r="AG4" s="32">
        <v>0.28000000000000003</v>
      </c>
      <c r="AH4" s="32">
        <v>0.28000000000000003</v>
      </c>
      <c r="AI4" s="32">
        <v>0.28000000000000003</v>
      </c>
      <c r="AJ4" s="32">
        <v>0.28000000000000003</v>
      </c>
      <c r="AK4" s="32">
        <v>0.28000000000000003</v>
      </c>
      <c r="AL4" s="32">
        <v>0.28000000000000003</v>
      </c>
    </row>
    <row r="5" spans="1:41" x14ac:dyDescent="0.25">
      <c r="A5" s="29"/>
      <c r="B5" s="29" t="s">
        <v>56</v>
      </c>
      <c r="C5" s="32">
        <v>0.28000000000000003</v>
      </c>
      <c r="D5" s="32">
        <f>C5</f>
        <v>0.28000000000000003</v>
      </c>
      <c r="E5" s="32">
        <f t="shared" ref="E5:AL5" si="0">D5</f>
        <v>0.28000000000000003</v>
      </c>
      <c r="F5" s="32">
        <f t="shared" si="0"/>
        <v>0.28000000000000003</v>
      </c>
      <c r="G5" s="32">
        <f t="shared" si="0"/>
        <v>0.28000000000000003</v>
      </c>
      <c r="H5" s="32">
        <f t="shared" si="0"/>
        <v>0.28000000000000003</v>
      </c>
      <c r="I5" s="32">
        <f t="shared" si="0"/>
        <v>0.28000000000000003</v>
      </c>
      <c r="J5" s="32">
        <f t="shared" si="0"/>
        <v>0.28000000000000003</v>
      </c>
      <c r="K5" s="32">
        <f t="shared" si="0"/>
        <v>0.28000000000000003</v>
      </c>
      <c r="L5" s="32">
        <f t="shared" si="0"/>
        <v>0.28000000000000003</v>
      </c>
      <c r="M5" s="32">
        <f t="shared" si="0"/>
        <v>0.28000000000000003</v>
      </c>
      <c r="N5" s="32">
        <f t="shared" si="0"/>
        <v>0.28000000000000003</v>
      </c>
      <c r="O5" s="32">
        <f t="shared" si="0"/>
        <v>0.28000000000000003</v>
      </c>
      <c r="P5" s="32">
        <f t="shared" si="0"/>
        <v>0.28000000000000003</v>
      </c>
      <c r="Q5" s="32">
        <f t="shared" si="0"/>
        <v>0.28000000000000003</v>
      </c>
      <c r="R5" s="32">
        <f t="shared" si="0"/>
        <v>0.28000000000000003</v>
      </c>
      <c r="S5" s="32">
        <f t="shared" si="0"/>
        <v>0.28000000000000003</v>
      </c>
      <c r="T5" s="32">
        <f t="shared" si="0"/>
        <v>0.28000000000000003</v>
      </c>
      <c r="U5" s="32">
        <f t="shared" si="0"/>
        <v>0.28000000000000003</v>
      </c>
      <c r="V5" s="32">
        <f t="shared" si="0"/>
        <v>0.28000000000000003</v>
      </c>
      <c r="W5" s="32">
        <f t="shared" si="0"/>
        <v>0.28000000000000003</v>
      </c>
      <c r="X5" s="32">
        <f t="shared" si="0"/>
        <v>0.28000000000000003</v>
      </c>
      <c r="Y5" s="32">
        <f t="shared" si="0"/>
        <v>0.28000000000000003</v>
      </c>
      <c r="Z5" s="32">
        <f t="shared" si="0"/>
        <v>0.28000000000000003</v>
      </c>
      <c r="AA5" s="32">
        <f t="shared" si="0"/>
        <v>0.28000000000000003</v>
      </c>
      <c r="AB5" s="32">
        <f t="shared" si="0"/>
        <v>0.28000000000000003</v>
      </c>
      <c r="AC5" s="32">
        <f t="shared" si="0"/>
        <v>0.28000000000000003</v>
      </c>
      <c r="AD5" s="32">
        <f t="shared" si="0"/>
        <v>0.28000000000000003</v>
      </c>
      <c r="AE5" s="32">
        <f t="shared" si="0"/>
        <v>0.28000000000000003</v>
      </c>
      <c r="AF5" s="32">
        <f t="shared" si="0"/>
        <v>0.28000000000000003</v>
      </c>
      <c r="AG5" s="32">
        <f t="shared" si="0"/>
        <v>0.28000000000000003</v>
      </c>
      <c r="AH5" s="32">
        <f t="shared" si="0"/>
        <v>0.28000000000000003</v>
      </c>
      <c r="AI5" s="32">
        <f t="shared" si="0"/>
        <v>0.28000000000000003</v>
      </c>
      <c r="AJ5" s="32">
        <f t="shared" si="0"/>
        <v>0.28000000000000003</v>
      </c>
      <c r="AK5" s="32">
        <f t="shared" si="0"/>
        <v>0.28000000000000003</v>
      </c>
      <c r="AL5" s="32">
        <f t="shared" si="0"/>
        <v>0.28000000000000003</v>
      </c>
    </row>
    <row r="6" spans="1:41" x14ac:dyDescent="0.25">
      <c r="A6" s="27" t="s">
        <v>31</v>
      </c>
      <c r="B6" s="27" t="s">
        <v>81</v>
      </c>
      <c r="C6" s="1">
        <v>1406.5359664289622</v>
      </c>
      <c r="D6" s="1">
        <v>1248.5573782330357</v>
      </c>
      <c r="E6" s="1">
        <v>1132.9911625969223</v>
      </c>
      <c r="F6" s="1">
        <v>1079.179952113541</v>
      </c>
      <c r="G6" s="1">
        <v>1050.691157367758</v>
      </c>
      <c r="H6" s="1">
        <v>1022.202362621975</v>
      </c>
      <c r="I6" s="1">
        <v>993.71356787619231</v>
      </c>
      <c r="J6" s="1">
        <v>965.2247731304094</v>
      </c>
      <c r="K6" s="1">
        <v>936.73597838462649</v>
      </c>
      <c r="L6" s="1">
        <v>908.24718363884381</v>
      </c>
      <c r="M6" s="1">
        <v>879.75838889306078</v>
      </c>
      <c r="N6" s="1">
        <v>851.2695941472781</v>
      </c>
      <c r="O6" s="1">
        <v>822.78079940149507</v>
      </c>
      <c r="P6" s="1">
        <v>800.29200465571296</v>
      </c>
      <c r="Q6" s="1">
        <v>778.39437459075168</v>
      </c>
      <c r="R6" s="1">
        <v>762.49674452579063</v>
      </c>
      <c r="S6" s="1">
        <v>746.59911446082947</v>
      </c>
      <c r="T6" s="1">
        <v>730.70148439586842</v>
      </c>
      <c r="U6" s="1">
        <v>714.80385433090726</v>
      </c>
      <c r="V6" s="1">
        <v>698.90622426594621</v>
      </c>
      <c r="W6" s="1">
        <v>683.00859420098516</v>
      </c>
      <c r="X6" s="1">
        <v>667.11096413602399</v>
      </c>
      <c r="Y6" s="1">
        <v>651.21333407106295</v>
      </c>
      <c r="Z6" s="1">
        <v>635.31570400610133</v>
      </c>
      <c r="AA6" s="1">
        <v>619.50990270891907</v>
      </c>
      <c r="AB6" s="1">
        <v>603.7041014117367</v>
      </c>
      <c r="AC6" s="1">
        <v>587.89830011455433</v>
      </c>
      <c r="AD6" s="1">
        <v>572.09249881737207</v>
      </c>
      <c r="AE6" s="1">
        <v>556.28669752018982</v>
      </c>
      <c r="AF6" s="1">
        <v>540.48089622300756</v>
      </c>
      <c r="AG6" s="1">
        <v>524.67509492582508</v>
      </c>
      <c r="AH6" s="1">
        <v>508.86929362864288</v>
      </c>
      <c r="AI6" s="1">
        <v>493.06349233146062</v>
      </c>
      <c r="AJ6" s="1">
        <v>477.25769103427825</v>
      </c>
      <c r="AK6" s="1">
        <f>AJ6-(AI6-AJ6)</f>
        <v>461.45188973709588</v>
      </c>
      <c r="AL6" s="1">
        <f>AK6-(AJ6-AK6)</f>
        <v>445.64608843991351</v>
      </c>
    </row>
    <row r="7" spans="1:41" x14ac:dyDescent="0.25">
      <c r="A7" s="28" t="s">
        <v>41</v>
      </c>
      <c r="B7" s="28" t="s">
        <v>82</v>
      </c>
      <c r="C7" s="1">
        <v>1444.3461135531877</v>
      </c>
      <c r="D7" s="1">
        <v>1360.1030221503095</v>
      </c>
      <c r="E7" s="1">
        <v>1301</v>
      </c>
      <c r="F7" s="1">
        <v>1251</v>
      </c>
      <c r="G7" s="1">
        <v>1224.7365164348155</v>
      </c>
      <c r="H7" s="1">
        <v>1209.8961165129876</v>
      </c>
      <c r="I7" s="1">
        <v>1195.0557165911603</v>
      </c>
      <c r="J7" s="1">
        <v>1180.2153166693324</v>
      </c>
      <c r="K7" s="1">
        <v>1165.3749167475048</v>
      </c>
      <c r="L7" s="1">
        <v>1150.5345168256772</v>
      </c>
      <c r="M7" s="1">
        <v>1135.6941169038496</v>
      </c>
      <c r="N7" s="1">
        <v>1120.853716982022</v>
      </c>
      <c r="O7" s="1">
        <v>1106.0133170601941</v>
      </c>
      <c r="P7" s="1">
        <v>1091.1729171383668</v>
      </c>
      <c r="Q7" s="1">
        <v>1079.0487736146072</v>
      </c>
      <c r="R7" s="1">
        <v>1066.9246300908476</v>
      </c>
      <c r="S7" s="1">
        <v>1054.800486567088</v>
      </c>
      <c r="T7" s="1">
        <v>1042.6763430433282</v>
      </c>
      <c r="U7" s="1">
        <v>1030.5521995195686</v>
      </c>
      <c r="V7" s="1">
        <v>1018.4280559958089</v>
      </c>
      <c r="W7" s="1">
        <v>1006.3039124720492</v>
      </c>
      <c r="X7" s="1">
        <v>994.17976894828985</v>
      </c>
      <c r="Y7" s="1">
        <v>982.05562542453004</v>
      </c>
      <c r="Z7" s="1">
        <v>969.93148190077045</v>
      </c>
      <c r="AA7" s="1">
        <v>958.88470440648791</v>
      </c>
      <c r="AB7" s="1">
        <v>947.83792691220538</v>
      </c>
      <c r="AC7" s="1">
        <v>936.79114941792272</v>
      </c>
      <c r="AD7" s="1">
        <v>925.74437192364007</v>
      </c>
      <c r="AE7" s="1">
        <v>914.69759442935754</v>
      </c>
      <c r="AF7" s="1">
        <v>903.650816935075</v>
      </c>
      <c r="AG7" s="1">
        <v>892.60403944079235</v>
      </c>
      <c r="AH7" s="1">
        <v>881.55726194650981</v>
      </c>
      <c r="AI7" s="1">
        <v>870.51048445222716</v>
      </c>
      <c r="AJ7" s="1">
        <v>859.46370695794428</v>
      </c>
      <c r="AK7" s="1">
        <f>AJ7-(AI7-AJ7)</f>
        <v>848.4169294636614</v>
      </c>
      <c r="AL7" s="1">
        <f>AK7-(AJ7-AK7)</f>
        <v>837.37015196937853</v>
      </c>
      <c r="AM7" t="s">
        <v>58</v>
      </c>
      <c r="AN7" t="s">
        <v>75</v>
      </c>
    </row>
    <row r="8" spans="1:41" ht="16.5" customHeight="1" x14ac:dyDescent="0.25">
      <c r="A8" s="29" t="s">
        <v>80</v>
      </c>
      <c r="B8" s="29" t="s">
        <v>190</v>
      </c>
      <c r="C8" s="1">
        <v>1015</v>
      </c>
      <c r="D8" s="1">
        <v>971.00946849141542</v>
      </c>
      <c r="E8" s="1">
        <v>937.93290645570073</v>
      </c>
      <c r="F8" s="1">
        <v>913.89087658817471</v>
      </c>
      <c r="G8" s="1">
        <v>896.86011011913524</v>
      </c>
      <c r="H8" s="1">
        <v>885</v>
      </c>
      <c r="I8" s="1">
        <v>873.69796695581442</v>
      </c>
      <c r="J8" s="1">
        <v>864.25770684395491</v>
      </c>
      <c r="K8" s="1">
        <v>855.23264564124599</v>
      </c>
      <c r="L8" s="1">
        <v>846.57181787817035</v>
      </c>
      <c r="M8" s="1">
        <v>837</v>
      </c>
      <c r="N8" s="1">
        <v>828.05344744318586</v>
      </c>
      <c r="O8" s="1">
        <v>818.47234141503304</v>
      </c>
      <c r="P8" s="1">
        <v>809.40115738339887</v>
      </c>
      <c r="Q8" s="1">
        <v>800.76938596419484</v>
      </c>
      <c r="R8" s="1">
        <v>789</v>
      </c>
      <c r="S8" s="1">
        <v>784.60600104552179</v>
      </c>
      <c r="T8" s="1">
        <v>776.98866750044522</v>
      </c>
      <c r="U8" s="1">
        <v>769.63532244003306</v>
      </c>
      <c r="V8" s="1">
        <v>762.51834043029658</v>
      </c>
      <c r="W8" s="1">
        <v>755</v>
      </c>
      <c r="X8" s="1">
        <v>749.21829649713925</v>
      </c>
      <c r="Y8" s="1">
        <v>742.99735195462506</v>
      </c>
      <c r="Z8" s="1">
        <v>736.93596709704036</v>
      </c>
      <c r="AA8" s="1">
        <v>731.02070032252914</v>
      </c>
      <c r="AB8" s="1">
        <v>725.23970377546266</v>
      </c>
      <c r="AC8" s="1">
        <v>719.58248349824692</v>
      </c>
      <c r="AD8" s="1">
        <v>714.03970281756108</v>
      </c>
      <c r="AE8" s="1">
        <v>708.60301996923101</v>
      </c>
      <c r="AF8" s="1">
        <v>703.26495307200651</v>
      </c>
      <c r="AG8" s="1">
        <v>700</v>
      </c>
      <c r="AH8" s="1">
        <f>AG8-4</f>
        <v>696</v>
      </c>
      <c r="AI8" s="1">
        <f>AH8-4</f>
        <v>692</v>
      </c>
      <c r="AJ8" s="1">
        <f>AI8-4</f>
        <v>688</v>
      </c>
      <c r="AK8" s="1">
        <f>AJ8-4</f>
        <v>684</v>
      </c>
      <c r="AL8" s="1">
        <f>AK8-4</f>
        <v>680</v>
      </c>
      <c r="AM8" s="1">
        <v>708.60301996923101</v>
      </c>
      <c r="AN8" s="1">
        <v>703.26495307200651</v>
      </c>
      <c r="AO8" s="1">
        <v>700</v>
      </c>
    </row>
    <row r="9" spans="1:41" ht="16.5" customHeight="1" x14ac:dyDescent="0.25">
      <c r="A9" s="27" t="s">
        <v>32</v>
      </c>
      <c r="B9" s="27" t="s">
        <v>109</v>
      </c>
      <c r="C9" s="36">
        <v>12500</v>
      </c>
      <c r="D9" s="36">
        <f>C9*D6/C6</f>
        <v>11096.031385203247</v>
      </c>
      <c r="E9" s="36">
        <f t="shared" ref="E9:AL10" si="1">D9*E6/D6</f>
        <v>10068.984988999786</v>
      </c>
      <c r="F9" s="36">
        <f t="shared" si="1"/>
        <v>9590.7603668807915</v>
      </c>
      <c r="G9" s="36">
        <f t="shared" si="1"/>
        <v>9337.5781214054678</v>
      </c>
      <c r="H9" s="36">
        <f t="shared" si="1"/>
        <v>9084.3958759301458</v>
      </c>
      <c r="I9" s="36">
        <f t="shared" si="1"/>
        <v>8831.2136304548258</v>
      </c>
      <c r="J9" s="36">
        <f t="shared" si="1"/>
        <v>8578.0313849795039</v>
      </c>
      <c r="K9" s="36">
        <f t="shared" si="1"/>
        <v>8324.8491395041819</v>
      </c>
      <c r="L9" s="36">
        <f t="shared" si="1"/>
        <v>8071.6668940288619</v>
      </c>
      <c r="M9" s="36">
        <f t="shared" si="1"/>
        <v>7818.484648553539</v>
      </c>
      <c r="N9" s="36">
        <f t="shared" si="1"/>
        <v>7565.3024030782199</v>
      </c>
      <c r="O9" s="36">
        <f t="shared" si="1"/>
        <v>7312.120157602898</v>
      </c>
      <c r="P9" s="36">
        <f t="shared" si="1"/>
        <v>7112.2604021243496</v>
      </c>
      <c r="Q9" s="36">
        <f t="shared" si="1"/>
        <v>6917.6543754423865</v>
      </c>
      <c r="R9" s="36">
        <f t="shared" si="1"/>
        <v>6776.3708387571905</v>
      </c>
      <c r="S9" s="36">
        <f t="shared" si="1"/>
        <v>6635.0873020719946</v>
      </c>
      <c r="T9" s="36">
        <f t="shared" si="1"/>
        <v>6493.8037653867987</v>
      </c>
      <c r="U9" s="36">
        <f t="shared" si="1"/>
        <v>6352.5202287016018</v>
      </c>
      <c r="V9" s="36">
        <f t="shared" si="1"/>
        <v>6211.2366920164068</v>
      </c>
      <c r="W9" s="36">
        <f t="shared" si="1"/>
        <v>6069.9531553312108</v>
      </c>
      <c r="X9" s="36">
        <f t="shared" si="1"/>
        <v>5928.6696186460149</v>
      </c>
      <c r="Y9" s="36">
        <f t="shared" si="1"/>
        <v>5787.3860819608199</v>
      </c>
      <c r="Z9" s="36">
        <f t="shared" si="1"/>
        <v>5646.1025452756194</v>
      </c>
      <c r="AA9" s="36">
        <f t="shared" si="1"/>
        <v>5505.6350983489738</v>
      </c>
      <c r="AB9" s="36">
        <f t="shared" si="1"/>
        <v>5365.1676514223273</v>
      </c>
      <c r="AC9" s="36">
        <f t="shared" si="1"/>
        <v>5224.7002044956807</v>
      </c>
      <c r="AD9" s="36">
        <f t="shared" si="1"/>
        <v>5084.2327575690351</v>
      </c>
      <c r="AE9" s="36">
        <f t="shared" si="1"/>
        <v>4943.7653106423895</v>
      </c>
      <c r="AF9" s="36">
        <f t="shared" si="1"/>
        <v>4803.2978637157439</v>
      </c>
      <c r="AG9" s="36">
        <f t="shared" si="1"/>
        <v>4662.8304167890965</v>
      </c>
      <c r="AH9" s="36">
        <f t="shared" si="1"/>
        <v>4522.3629698624518</v>
      </c>
      <c r="AI9" s="36">
        <f t="shared" si="1"/>
        <v>4381.8955229358062</v>
      </c>
      <c r="AJ9" s="36">
        <f t="shared" si="1"/>
        <v>4241.4280760091597</v>
      </c>
      <c r="AK9" s="36">
        <f t="shared" si="1"/>
        <v>4100.9606290825132</v>
      </c>
      <c r="AL9" s="36">
        <f t="shared" si="1"/>
        <v>3960.4931821558666</v>
      </c>
      <c r="AN9" t="s">
        <v>70</v>
      </c>
    </row>
    <row r="10" spans="1:41" ht="16.5" customHeight="1" x14ac:dyDescent="0.25">
      <c r="A10" s="28" t="s">
        <v>110</v>
      </c>
      <c r="B10" s="28" t="s">
        <v>108</v>
      </c>
      <c r="C10" s="36">
        <v>12500</v>
      </c>
      <c r="D10" s="36">
        <f>C10*D7/C7</f>
        <v>11770.923615430769</v>
      </c>
      <c r="E10" s="36">
        <f t="shared" si="1"/>
        <v>11259.420333809856</v>
      </c>
      <c r="F10" s="36">
        <f t="shared" si="1"/>
        <v>10826.698568482805</v>
      </c>
      <c r="G10" s="36">
        <f t="shared" si="1"/>
        <v>10599.402949043513</v>
      </c>
      <c r="H10" s="36">
        <f t="shared" si="1"/>
        <v>10470.967667996858</v>
      </c>
      <c r="I10" s="36">
        <f t="shared" si="1"/>
        <v>10342.532386950206</v>
      </c>
      <c r="J10" s="36">
        <f t="shared" si="1"/>
        <v>10214.097105903551</v>
      </c>
      <c r="K10" s="36">
        <f t="shared" si="1"/>
        <v>10085.661824856898</v>
      </c>
      <c r="L10" s="36">
        <f t="shared" si="1"/>
        <v>9957.226543810244</v>
      </c>
      <c r="M10" s="36">
        <f t="shared" si="1"/>
        <v>9828.7912627635906</v>
      </c>
      <c r="N10" s="36">
        <f t="shared" si="1"/>
        <v>9700.3559817169371</v>
      </c>
      <c r="O10" s="36">
        <f t="shared" si="1"/>
        <v>9571.9207006702818</v>
      </c>
      <c r="P10" s="36">
        <f t="shared" si="1"/>
        <v>9443.4854196236302</v>
      </c>
      <c r="Q10" s="36">
        <f t="shared" si="1"/>
        <v>9338.5578038500335</v>
      </c>
      <c r="R10" s="36">
        <f t="shared" si="1"/>
        <v>9233.6301880764368</v>
      </c>
      <c r="S10" s="36">
        <f t="shared" si="1"/>
        <v>9128.7025723028419</v>
      </c>
      <c r="T10" s="36">
        <f t="shared" si="1"/>
        <v>9023.7749565292452</v>
      </c>
      <c r="U10" s="36">
        <f t="shared" si="1"/>
        <v>8918.8473407556503</v>
      </c>
      <c r="V10" s="36">
        <f t="shared" si="1"/>
        <v>8813.9197249820536</v>
      </c>
      <c r="W10" s="36">
        <f t="shared" si="1"/>
        <v>8708.9921092084569</v>
      </c>
      <c r="X10" s="36">
        <f t="shared" si="1"/>
        <v>8604.064493434862</v>
      </c>
      <c r="Y10" s="36">
        <f t="shared" si="1"/>
        <v>8499.1368776612653</v>
      </c>
      <c r="Z10" s="36">
        <f t="shared" si="1"/>
        <v>8394.2092618876704</v>
      </c>
      <c r="AA10" s="36">
        <f t="shared" si="1"/>
        <v>8298.6056407176493</v>
      </c>
      <c r="AB10" s="36">
        <f t="shared" si="1"/>
        <v>8203.0020195476282</v>
      </c>
      <c r="AC10" s="36">
        <f t="shared" si="1"/>
        <v>8107.3983983776052</v>
      </c>
      <c r="AD10" s="36">
        <f t="shared" si="1"/>
        <v>8011.7947772075831</v>
      </c>
      <c r="AE10" s="36">
        <f t="shared" si="1"/>
        <v>7916.191156037562</v>
      </c>
      <c r="AF10" s="36">
        <f t="shared" si="1"/>
        <v>7820.5875348675399</v>
      </c>
      <c r="AG10" s="36">
        <f t="shared" si="1"/>
        <v>7724.9839136975179</v>
      </c>
      <c r="AH10" s="36">
        <f t="shared" si="1"/>
        <v>7629.3802925274967</v>
      </c>
      <c r="AI10" s="36">
        <f t="shared" si="1"/>
        <v>7533.7766713574738</v>
      </c>
      <c r="AJ10" s="36">
        <f t="shared" si="1"/>
        <v>7438.173050187449</v>
      </c>
      <c r="AK10" s="36">
        <f t="shared" si="1"/>
        <v>7342.5694290174242</v>
      </c>
      <c r="AL10" s="36">
        <f t="shared" si="1"/>
        <v>7246.9658078473994</v>
      </c>
      <c r="AN10" s="57" t="s">
        <v>71</v>
      </c>
    </row>
    <row r="11" spans="1:41" ht="16.5" customHeight="1" x14ac:dyDescent="0.25">
      <c r="A11" s="87">
        <f>C11/C10</f>
        <v>1</v>
      </c>
      <c r="B11" s="29" t="s">
        <v>107</v>
      </c>
      <c r="C11" s="36">
        <v>12500</v>
      </c>
      <c r="D11" s="40">
        <f>C11</f>
        <v>12500</v>
      </c>
      <c r="E11" s="40">
        <f>D11</f>
        <v>12500</v>
      </c>
      <c r="F11" s="40">
        <f>E11</f>
        <v>12500</v>
      </c>
      <c r="G11" s="40">
        <f>F11</f>
        <v>12500</v>
      </c>
      <c r="H11" s="40">
        <f t="shared" ref="H11:AL11" si="2">G11*H8/G8</f>
        <v>12334.699553680119</v>
      </c>
      <c r="I11" s="40">
        <f t="shared" si="2"/>
        <v>12177.177314193346</v>
      </c>
      <c r="J11" s="40">
        <f t="shared" si="2"/>
        <v>12045.603560308173</v>
      </c>
      <c r="K11" s="40">
        <f t="shared" si="2"/>
        <v>11919.816646874287</v>
      </c>
      <c r="L11" s="40">
        <f t="shared" si="2"/>
        <v>11799.106241966141</v>
      </c>
      <c r="M11" s="40">
        <f t="shared" si="2"/>
        <v>11665.698899921197</v>
      </c>
      <c r="N11" s="40">
        <f t="shared" si="2"/>
        <v>11541.006201808756</v>
      </c>
      <c r="O11" s="40">
        <f t="shared" si="2"/>
        <v>11407.469406046926</v>
      </c>
      <c r="P11" s="40">
        <f t="shared" si="2"/>
        <v>11281.039655056704</v>
      </c>
      <c r="Q11" s="40">
        <f t="shared" si="2"/>
        <v>11160.734223337016</v>
      </c>
      <c r="R11" s="40">
        <f t="shared" si="2"/>
        <v>10996.698246162277</v>
      </c>
      <c r="S11" s="40">
        <f t="shared" si="2"/>
        <v>10935.45682588807</v>
      </c>
      <c r="T11" s="40">
        <f t="shared" si="2"/>
        <v>10829.290135855652</v>
      </c>
      <c r="U11" s="40">
        <f t="shared" si="2"/>
        <v>10726.802788923764</v>
      </c>
      <c r="V11" s="40">
        <f t="shared" si="2"/>
        <v>10627.609755229925</v>
      </c>
      <c r="W11" s="40">
        <f t="shared" si="2"/>
        <v>10522.822783083038</v>
      </c>
      <c r="X11" s="40">
        <f t="shared" si="2"/>
        <v>10442.240211765245</v>
      </c>
      <c r="Y11" s="40">
        <f t="shared" si="2"/>
        <v>10355.535712474828</v>
      </c>
      <c r="Z11" s="40">
        <f t="shared" si="2"/>
        <v>10271.055078466316</v>
      </c>
      <c r="AA11" s="40">
        <f t="shared" si="2"/>
        <v>10188.610967230765</v>
      </c>
      <c r="AB11" s="40">
        <f t="shared" si="2"/>
        <v>10108.038249118983</v>
      </c>
      <c r="AC11" s="40">
        <f t="shared" si="2"/>
        <v>10029.190664454076</v>
      </c>
      <c r="AD11" s="40">
        <f t="shared" si="2"/>
        <v>9951.9380832244678</v>
      </c>
      <c r="AE11" s="40">
        <f t="shared" si="2"/>
        <v>9876.1642419783693</v>
      </c>
      <c r="AF11" s="40">
        <f t="shared" si="2"/>
        <v>9801.7648618939511</v>
      </c>
      <c r="AG11" s="40">
        <f t="shared" si="2"/>
        <v>9756.2595339842719</v>
      </c>
      <c r="AH11" s="40">
        <f t="shared" si="2"/>
        <v>9700.5094795043624</v>
      </c>
      <c r="AI11" s="40">
        <f t="shared" si="2"/>
        <v>9644.7594250244529</v>
      </c>
      <c r="AJ11" s="40">
        <f t="shared" si="2"/>
        <v>9589.0093705445433</v>
      </c>
      <c r="AK11" s="40">
        <f t="shared" si="2"/>
        <v>9533.259316064632</v>
      </c>
      <c r="AL11" s="40">
        <f t="shared" si="2"/>
        <v>9477.5092615847225</v>
      </c>
      <c r="AN11" t="s">
        <v>69</v>
      </c>
    </row>
    <row r="12" spans="1:41" x14ac:dyDescent="0.25">
      <c r="A12" s="27" t="s">
        <v>38</v>
      </c>
      <c r="B12" s="27" t="s">
        <v>33</v>
      </c>
      <c r="C12" s="38">
        <v>13</v>
      </c>
      <c r="D12" s="38">
        <v>12.4</v>
      </c>
      <c r="E12" s="38">
        <v>11.8</v>
      </c>
      <c r="F12" s="38">
        <v>11.200000000000001</v>
      </c>
      <c r="G12" s="38">
        <v>10.600000000000001</v>
      </c>
      <c r="H12" s="38">
        <v>10</v>
      </c>
      <c r="I12" s="38">
        <v>10</v>
      </c>
      <c r="J12" s="38">
        <v>10</v>
      </c>
      <c r="K12" s="38">
        <v>10</v>
      </c>
      <c r="L12" s="38">
        <v>10</v>
      </c>
      <c r="M12" s="38">
        <v>10</v>
      </c>
      <c r="N12" s="38">
        <v>10</v>
      </c>
      <c r="O12" s="38">
        <v>10</v>
      </c>
      <c r="P12" s="38">
        <v>10</v>
      </c>
      <c r="Q12" s="38">
        <v>10</v>
      </c>
      <c r="R12" s="38">
        <v>10</v>
      </c>
      <c r="S12" s="38">
        <v>10</v>
      </c>
      <c r="T12" s="38">
        <v>10</v>
      </c>
      <c r="U12" s="38">
        <v>10</v>
      </c>
      <c r="V12" s="38">
        <v>10</v>
      </c>
      <c r="W12" s="38">
        <v>10</v>
      </c>
      <c r="X12" s="38">
        <v>10</v>
      </c>
      <c r="Y12" s="38">
        <v>10</v>
      </c>
      <c r="Z12" s="38">
        <v>10</v>
      </c>
      <c r="AA12" s="38">
        <v>10</v>
      </c>
      <c r="AB12" s="38">
        <v>10</v>
      </c>
      <c r="AC12" s="38">
        <v>10</v>
      </c>
      <c r="AD12" s="38">
        <v>10</v>
      </c>
      <c r="AE12" s="38">
        <v>10</v>
      </c>
      <c r="AF12" s="38">
        <v>10</v>
      </c>
      <c r="AG12" s="38">
        <v>10</v>
      </c>
      <c r="AH12" s="38">
        <v>10</v>
      </c>
      <c r="AI12" s="38">
        <v>10</v>
      </c>
      <c r="AJ12" s="38">
        <v>10</v>
      </c>
      <c r="AK12" s="38">
        <v>10</v>
      </c>
      <c r="AL12" s="38">
        <v>10</v>
      </c>
      <c r="AN12" s="57" t="s">
        <v>68</v>
      </c>
    </row>
    <row r="13" spans="1:41" x14ac:dyDescent="0.25">
      <c r="A13" s="28" t="s">
        <v>40</v>
      </c>
      <c r="B13" s="28" t="s">
        <v>34</v>
      </c>
      <c r="C13" s="38">
        <v>13</v>
      </c>
      <c r="D13" s="38">
        <v>12.4</v>
      </c>
      <c r="E13" s="38">
        <v>11.8</v>
      </c>
      <c r="F13" s="38">
        <v>11.200000000000001</v>
      </c>
      <c r="G13" s="38">
        <v>10.600000000000001</v>
      </c>
      <c r="H13" s="38">
        <v>10</v>
      </c>
      <c r="I13" s="38">
        <v>10</v>
      </c>
      <c r="J13" s="38">
        <v>10</v>
      </c>
      <c r="K13" s="38">
        <v>10</v>
      </c>
      <c r="L13" s="38">
        <v>10</v>
      </c>
      <c r="M13" s="38">
        <v>10</v>
      </c>
      <c r="N13" s="38">
        <v>10</v>
      </c>
      <c r="O13" s="38">
        <v>10</v>
      </c>
      <c r="P13" s="38">
        <v>10</v>
      </c>
      <c r="Q13" s="38">
        <v>10</v>
      </c>
      <c r="R13" s="38">
        <v>10</v>
      </c>
      <c r="S13" s="38">
        <v>10</v>
      </c>
      <c r="T13" s="38">
        <v>10</v>
      </c>
      <c r="U13" s="38">
        <v>10</v>
      </c>
      <c r="V13" s="38">
        <v>10</v>
      </c>
      <c r="W13" s="38">
        <v>10</v>
      </c>
      <c r="X13" s="38">
        <v>10</v>
      </c>
      <c r="Y13" s="38">
        <v>10</v>
      </c>
      <c r="Z13" s="38">
        <v>10</v>
      </c>
      <c r="AA13" s="38">
        <v>10</v>
      </c>
      <c r="AB13" s="38">
        <v>10</v>
      </c>
      <c r="AC13" s="38">
        <v>10</v>
      </c>
      <c r="AD13" s="38">
        <v>10</v>
      </c>
      <c r="AE13" s="38">
        <v>10</v>
      </c>
      <c r="AF13" s="38">
        <v>10</v>
      </c>
      <c r="AG13" s="38">
        <v>10</v>
      </c>
      <c r="AH13" s="38">
        <v>10</v>
      </c>
      <c r="AI13" s="38">
        <v>10</v>
      </c>
      <c r="AJ13" s="38">
        <v>10</v>
      </c>
      <c r="AK13" s="38">
        <v>10</v>
      </c>
      <c r="AL13" s="38">
        <v>10</v>
      </c>
      <c r="AN13" t="s">
        <v>61</v>
      </c>
    </row>
    <row r="14" spans="1:41" x14ac:dyDescent="0.25">
      <c r="A14" s="29"/>
      <c r="B14" s="29" t="s">
        <v>35</v>
      </c>
      <c r="C14" s="38">
        <v>13</v>
      </c>
      <c r="D14" s="38">
        <v>13</v>
      </c>
      <c r="E14" s="38">
        <v>13</v>
      </c>
      <c r="F14" s="38">
        <v>13</v>
      </c>
      <c r="G14" s="38">
        <v>13</v>
      </c>
      <c r="H14" s="38">
        <v>13</v>
      </c>
      <c r="I14" s="38">
        <v>13</v>
      </c>
      <c r="J14" s="38">
        <v>13</v>
      </c>
      <c r="K14" s="38">
        <v>13</v>
      </c>
      <c r="L14" s="38">
        <v>13</v>
      </c>
      <c r="M14" s="38">
        <v>13</v>
      </c>
      <c r="N14" s="38">
        <v>13</v>
      </c>
      <c r="O14" s="38">
        <v>13</v>
      </c>
      <c r="P14" s="38">
        <v>13</v>
      </c>
      <c r="Q14" s="38">
        <v>13</v>
      </c>
      <c r="R14" s="38">
        <v>13</v>
      </c>
      <c r="S14" s="38">
        <v>13</v>
      </c>
      <c r="T14" s="38">
        <v>13</v>
      </c>
      <c r="U14" s="38">
        <v>13</v>
      </c>
      <c r="V14" s="38">
        <v>13</v>
      </c>
      <c r="W14" s="38">
        <v>13</v>
      </c>
      <c r="X14" s="38">
        <v>13</v>
      </c>
      <c r="Y14" s="38">
        <v>13</v>
      </c>
      <c r="Z14" s="38">
        <v>13</v>
      </c>
      <c r="AA14" s="38">
        <v>13</v>
      </c>
      <c r="AB14" s="38">
        <v>13</v>
      </c>
      <c r="AC14" s="38">
        <v>13</v>
      </c>
      <c r="AD14" s="38">
        <v>13</v>
      </c>
      <c r="AE14" s="38">
        <v>13</v>
      </c>
      <c r="AF14" s="38">
        <v>13</v>
      </c>
      <c r="AG14" s="38">
        <v>13</v>
      </c>
      <c r="AH14" s="38">
        <v>13</v>
      </c>
      <c r="AI14" s="38">
        <v>13</v>
      </c>
      <c r="AJ14" s="38">
        <v>13</v>
      </c>
      <c r="AK14" s="38">
        <v>13</v>
      </c>
      <c r="AL14" s="38">
        <v>13</v>
      </c>
      <c r="AN14" s="57" t="s">
        <v>60</v>
      </c>
    </row>
    <row r="15" spans="1:41" x14ac:dyDescent="0.25">
      <c r="A15" s="27" t="s">
        <v>37</v>
      </c>
      <c r="B15" s="27" t="s">
        <v>33</v>
      </c>
      <c r="C15" s="36">
        <v>200</v>
      </c>
      <c r="D15" s="36">
        <v>200</v>
      </c>
      <c r="E15" s="36">
        <v>200</v>
      </c>
      <c r="F15" s="36">
        <v>200</v>
      </c>
      <c r="G15" s="36">
        <v>200</v>
      </c>
      <c r="H15" s="36">
        <v>200</v>
      </c>
      <c r="I15" s="36">
        <v>200</v>
      </c>
      <c r="J15" s="36">
        <v>200</v>
      </c>
      <c r="K15" s="36">
        <v>200</v>
      </c>
      <c r="L15" s="36">
        <v>200</v>
      </c>
      <c r="M15" s="36">
        <v>200</v>
      </c>
      <c r="N15" s="36">
        <v>200</v>
      </c>
      <c r="O15" s="36">
        <v>200</v>
      </c>
      <c r="P15" s="36">
        <v>200</v>
      </c>
      <c r="Q15" s="36">
        <v>200</v>
      </c>
      <c r="R15" s="36">
        <v>200</v>
      </c>
      <c r="S15" s="36">
        <v>200</v>
      </c>
      <c r="T15" s="36">
        <v>200</v>
      </c>
      <c r="U15" s="36">
        <v>200</v>
      </c>
      <c r="V15" s="36">
        <v>200</v>
      </c>
      <c r="W15" s="36">
        <v>200</v>
      </c>
      <c r="X15" s="36">
        <v>200</v>
      </c>
      <c r="Y15" s="36">
        <v>200</v>
      </c>
      <c r="Z15" s="36">
        <v>200</v>
      </c>
      <c r="AA15" s="36">
        <v>200</v>
      </c>
      <c r="AB15" s="36">
        <v>200</v>
      </c>
      <c r="AC15" s="36">
        <v>200</v>
      </c>
      <c r="AD15" s="36">
        <v>200</v>
      </c>
      <c r="AE15" s="36">
        <v>200</v>
      </c>
      <c r="AF15" s="36">
        <v>200</v>
      </c>
      <c r="AG15" s="36">
        <v>200</v>
      </c>
      <c r="AH15" s="36">
        <v>200</v>
      </c>
      <c r="AI15" s="36">
        <v>200</v>
      </c>
      <c r="AJ15" s="36">
        <v>200</v>
      </c>
      <c r="AK15" s="36">
        <v>200</v>
      </c>
      <c r="AL15" s="36">
        <v>200</v>
      </c>
      <c r="AM15" t="s">
        <v>76</v>
      </c>
    </row>
    <row r="16" spans="1:41" x14ac:dyDescent="0.25">
      <c r="A16" s="28" t="s">
        <v>39</v>
      </c>
      <c r="B16" s="28" t="s">
        <v>34</v>
      </c>
      <c r="C16" s="38">
        <v>200</v>
      </c>
      <c r="D16" s="38">
        <v>200</v>
      </c>
      <c r="E16" s="38">
        <v>200</v>
      </c>
      <c r="F16" s="38">
        <v>200</v>
      </c>
      <c r="G16" s="38">
        <v>200</v>
      </c>
      <c r="H16" s="36">
        <v>200</v>
      </c>
      <c r="I16" s="36">
        <f t="shared" ref="I16:AL16" si="3">H16*I13/H13</f>
        <v>200</v>
      </c>
      <c r="J16" s="36">
        <f t="shared" si="3"/>
        <v>200</v>
      </c>
      <c r="K16" s="36">
        <f t="shared" si="3"/>
        <v>200</v>
      </c>
      <c r="L16" s="36">
        <f t="shared" si="3"/>
        <v>200</v>
      </c>
      <c r="M16" s="36">
        <f t="shared" si="3"/>
        <v>200</v>
      </c>
      <c r="N16" s="36">
        <f t="shared" si="3"/>
        <v>200</v>
      </c>
      <c r="O16" s="36">
        <f t="shared" si="3"/>
        <v>200</v>
      </c>
      <c r="P16" s="36">
        <f t="shared" si="3"/>
        <v>200</v>
      </c>
      <c r="Q16" s="36">
        <f t="shared" si="3"/>
        <v>200</v>
      </c>
      <c r="R16" s="36">
        <f t="shared" si="3"/>
        <v>200</v>
      </c>
      <c r="S16" s="36">
        <f t="shared" si="3"/>
        <v>200</v>
      </c>
      <c r="T16" s="36">
        <f t="shared" si="3"/>
        <v>200</v>
      </c>
      <c r="U16" s="36">
        <f t="shared" si="3"/>
        <v>200</v>
      </c>
      <c r="V16" s="36">
        <f t="shared" si="3"/>
        <v>200</v>
      </c>
      <c r="W16" s="36">
        <f t="shared" si="3"/>
        <v>200</v>
      </c>
      <c r="X16" s="36">
        <f t="shared" si="3"/>
        <v>200</v>
      </c>
      <c r="Y16" s="36">
        <f t="shared" si="3"/>
        <v>200</v>
      </c>
      <c r="Z16" s="36">
        <f t="shared" si="3"/>
        <v>200</v>
      </c>
      <c r="AA16" s="36">
        <f t="shared" si="3"/>
        <v>200</v>
      </c>
      <c r="AB16" s="36">
        <f t="shared" si="3"/>
        <v>200</v>
      </c>
      <c r="AC16" s="36">
        <f t="shared" si="3"/>
        <v>200</v>
      </c>
      <c r="AD16" s="36">
        <f t="shared" si="3"/>
        <v>200</v>
      </c>
      <c r="AE16" s="36">
        <f t="shared" si="3"/>
        <v>200</v>
      </c>
      <c r="AF16" s="36">
        <f t="shared" si="3"/>
        <v>200</v>
      </c>
      <c r="AG16" s="36">
        <f t="shared" si="3"/>
        <v>200</v>
      </c>
      <c r="AH16" s="36">
        <f t="shared" si="3"/>
        <v>200</v>
      </c>
      <c r="AI16" s="36">
        <f t="shared" si="3"/>
        <v>200</v>
      </c>
      <c r="AJ16" s="36">
        <f t="shared" si="3"/>
        <v>200</v>
      </c>
      <c r="AK16" s="36">
        <f t="shared" si="3"/>
        <v>200</v>
      </c>
      <c r="AL16" s="36">
        <f t="shared" si="3"/>
        <v>200</v>
      </c>
      <c r="AM16" s="1"/>
      <c r="AN16" t="s">
        <v>77</v>
      </c>
    </row>
    <row r="17" spans="1:40" x14ac:dyDescent="0.25">
      <c r="A17" s="29"/>
      <c r="B17" s="29" t="s">
        <v>35</v>
      </c>
      <c r="C17" s="40">
        <v>200</v>
      </c>
      <c r="D17" s="36">
        <f>C17*D14/C14</f>
        <v>200</v>
      </c>
      <c r="E17" s="36">
        <f t="shared" ref="E17:AL17" si="4">D17*E14/D14</f>
        <v>200</v>
      </c>
      <c r="F17" s="36">
        <f t="shared" si="4"/>
        <v>200</v>
      </c>
      <c r="G17" s="36">
        <f t="shared" si="4"/>
        <v>200</v>
      </c>
      <c r="H17" s="36">
        <f t="shared" si="4"/>
        <v>200</v>
      </c>
      <c r="I17" s="36">
        <f t="shared" si="4"/>
        <v>200</v>
      </c>
      <c r="J17" s="36">
        <f t="shared" si="4"/>
        <v>200</v>
      </c>
      <c r="K17" s="36">
        <f t="shared" si="4"/>
        <v>200</v>
      </c>
      <c r="L17" s="36">
        <f t="shared" si="4"/>
        <v>200</v>
      </c>
      <c r="M17" s="36">
        <f t="shared" si="4"/>
        <v>200</v>
      </c>
      <c r="N17" s="36">
        <f t="shared" si="4"/>
        <v>200</v>
      </c>
      <c r="O17" s="36">
        <f t="shared" si="4"/>
        <v>200</v>
      </c>
      <c r="P17" s="36">
        <f t="shared" si="4"/>
        <v>200</v>
      </c>
      <c r="Q17" s="36">
        <f t="shared" si="4"/>
        <v>200</v>
      </c>
      <c r="R17" s="36">
        <f t="shared" si="4"/>
        <v>200</v>
      </c>
      <c r="S17" s="36">
        <f t="shared" si="4"/>
        <v>200</v>
      </c>
      <c r="T17" s="36">
        <f t="shared" si="4"/>
        <v>200</v>
      </c>
      <c r="U17" s="36">
        <f t="shared" si="4"/>
        <v>200</v>
      </c>
      <c r="V17" s="36">
        <f t="shared" si="4"/>
        <v>200</v>
      </c>
      <c r="W17" s="36">
        <f t="shared" si="4"/>
        <v>200</v>
      </c>
      <c r="X17" s="36">
        <f t="shared" si="4"/>
        <v>200</v>
      </c>
      <c r="Y17" s="36">
        <f t="shared" si="4"/>
        <v>200</v>
      </c>
      <c r="Z17" s="36">
        <f t="shared" si="4"/>
        <v>200</v>
      </c>
      <c r="AA17" s="36">
        <f t="shared" si="4"/>
        <v>200</v>
      </c>
      <c r="AB17" s="36">
        <f t="shared" si="4"/>
        <v>200</v>
      </c>
      <c r="AC17" s="36">
        <f t="shared" si="4"/>
        <v>200</v>
      </c>
      <c r="AD17" s="36">
        <f t="shared" si="4"/>
        <v>200</v>
      </c>
      <c r="AE17" s="36">
        <f t="shared" si="4"/>
        <v>200</v>
      </c>
      <c r="AF17" s="36">
        <f t="shared" si="4"/>
        <v>200</v>
      </c>
      <c r="AG17" s="36">
        <f t="shared" si="4"/>
        <v>200</v>
      </c>
      <c r="AH17" s="36">
        <f t="shared" si="4"/>
        <v>200</v>
      </c>
      <c r="AI17" s="36">
        <f t="shared" si="4"/>
        <v>200</v>
      </c>
      <c r="AJ17" s="36">
        <f t="shared" si="4"/>
        <v>200</v>
      </c>
      <c r="AK17" s="36">
        <f t="shared" si="4"/>
        <v>200</v>
      </c>
      <c r="AL17" s="36">
        <f t="shared" si="4"/>
        <v>200</v>
      </c>
      <c r="AN17" t="s">
        <v>78</v>
      </c>
    </row>
    <row r="18" spans="1:40" x14ac:dyDescent="0.25">
      <c r="A18" s="35" t="s">
        <v>42</v>
      </c>
      <c r="B18" s="27" t="s">
        <v>33</v>
      </c>
      <c r="C18" s="42">
        <v>25</v>
      </c>
      <c r="D18" s="42">
        <v>25</v>
      </c>
      <c r="E18" s="42">
        <v>25</v>
      </c>
      <c r="F18" s="42">
        <v>25</v>
      </c>
      <c r="G18" s="42">
        <v>25</v>
      </c>
      <c r="H18" s="42">
        <v>25</v>
      </c>
      <c r="I18" s="42">
        <v>25</v>
      </c>
      <c r="J18" s="42">
        <v>25</v>
      </c>
      <c r="K18" s="42">
        <v>25</v>
      </c>
      <c r="L18" s="42">
        <v>25</v>
      </c>
      <c r="M18" s="42">
        <v>25</v>
      </c>
      <c r="N18" s="42">
        <v>25</v>
      </c>
      <c r="O18" s="42">
        <v>25</v>
      </c>
      <c r="P18" s="42">
        <v>25</v>
      </c>
      <c r="Q18" s="42">
        <v>25</v>
      </c>
      <c r="R18" s="42">
        <v>25</v>
      </c>
      <c r="S18" s="42">
        <v>25</v>
      </c>
      <c r="T18" s="42">
        <v>25</v>
      </c>
      <c r="U18" s="42">
        <v>25</v>
      </c>
      <c r="V18" s="42">
        <v>25</v>
      </c>
      <c r="W18" s="42">
        <v>25</v>
      </c>
      <c r="X18" s="42">
        <v>25</v>
      </c>
      <c r="Y18" s="42">
        <v>25</v>
      </c>
      <c r="Z18" s="42">
        <v>25</v>
      </c>
      <c r="AA18" s="42">
        <v>25</v>
      </c>
      <c r="AB18" s="42">
        <v>25</v>
      </c>
      <c r="AC18" s="42">
        <v>25</v>
      </c>
      <c r="AD18" s="42">
        <v>25</v>
      </c>
      <c r="AE18" s="42">
        <v>25</v>
      </c>
      <c r="AF18" s="42">
        <v>25</v>
      </c>
      <c r="AG18" s="42">
        <v>25</v>
      </c>
      <c r="AH18" s="42">
        <v>25</v>
      </c>
      <c r="AI18" s="42">
        <v>25</v>
      </c>
      <c r="AJ18" s="42">
        <v>25</v>
      </c>
      <c r="AK18" s="42">
        <v>25</v>
      </c>
      <c r="AL18" s="42">
        <v>25</v>
      </c>
      <c r="AN18" s="57" t="s">
        <v>79</v>
      </c>
    </row>
    <row r="19" spans="1:40" x14ac:dyDescent="0.25">
      <c r="A19" s="34" t="s">
        <v>43</v>
      </c>
      <c r="B19" s="28" t="s">
        <v>34</v>
      </c>
      <c r="C19" s="42">
        <v>25</v>
      </c>
      <c r="D19" s="42">
        <v>25</v>
      </c>
      <c r="E19" s="42">
        <v>25</v>
      </c>
      <c r="F19" s="42">
        <v>25</v>
      </c>
      <c r="G19" s="42">
        <v>25</v>
      </c>
      <c r="H19" s="42">
        <v>25</v>
      </c>
      <c r="I19" s="42">
        <v>25</v>
      </c>
      <c r="J19" s="42">
        <v>25</v>
      </c>
      <c r="K19" s="42">
        <v>25</v>
      </c>
      <c r="L19" s="42">
        <v>25</v>
      </c>
      <c r="M19" s="42">
        <v>25</v>
      </c>
      <c r="N19" s="42">
        <v>25</v>
      </c>
      <c r="O19" s="42">
        <v>25</v>
      </c>
      <c r="P19" s="42">
        <v>25</v>
      </c>
      <c r="Q19" s="42">
        <v>25</v>
      </c>
      <c r="R19" s="42">
        <v>25</v>
      </c>
      <c r="S19" s="42">
        <v>25</v>
      </c>
      <c r="T19" s="42">
        <v>25</v>
      </c>
      <c r="U19" s="42">
        <v>25</v>
      </c>
      <c r="V19" s="42">
        <v>25</v>
      </c>
      <c r="W19" s="42">
        <v>25</v>
      </c>
      <c r="X19" s="42">
        <v>25</v>
      </c>
      <c r="Y19" s="42">
        <v>25</v>
      </c>
      <c r="Z19" s="42">
        <v>25</v>
      </c>
      <c r="AA19" s="42">
        <v>25</v>
      </c>
      <c r="AB19" s="42">
        <v>25</v>
      </c>
      <c r="AC19" s="42">
        <v>25</v>
      </c>
      <c r="AD19" s="42">
        <v>25</v>
      </c>
      <c r="AE19" s="42">
        <v>25</v>
      </c>
      <c r="AF19" s="42">
        <v>25</v>
      </c>
      <c r="AG19" s="42">
        <v>25</v>
      </c>
      <c r="AH19" s="42">
        <v>25</v>
      </c>
      <c r="AI19" s="42">
        <v>25</v>
      </c>
      <c r="AJ19" s="42">
        <v>25</v>
      </c>
      <c r="AK19" s="42">
        <v>25</v>
      </c>
      <c r="AL19" s="42">
        <v>25</v>
      </c>
    </row>
    <row r="20" spans="1:40" x14ac:dyDescent="0.25">
      <c r="A20" s="26"/>
      <c r="B20" s="29" t="s">
        <v>35</v>
      </c>
      <c r="C20" s="42">
        <v>25</v>
      </c>
      <c r="D20" s="42">
        <v>25</v>
      </c>
      <c r="E20" s="42">
        <v>25</v>
      </c>
      <c r="F20" s="42">
        <v>25</v>
      </c>
      <c r="G20" s="42">
        <v>25</v>
      </c>
      <c r="H20" s="42">
        <v>25</v>
      </c>
      <c r="I20" s="42">
        <v>25</v>
      </c>
      <c r="J20" s="42">
        <v>25</v>
      </c>
      <c r="K20" s="42">
        <v>25</v>
      </c>
      <c r="L20" s="42">
        <v>25</v>
      </c>
      <c r="M20" s="42">
        <v>25</v>
      </c>
      <c r="N20" s="42">
        <v>25</v>
      </c>
      <c r="O20" s="42">
        <v>25</v>
      </c>
      <c r="P20" s="42">
        <v>25</v>
      </c>
      <c r="Q20" s="42">
        <v>25</v>
      </c>
      <c r="R20" s="42">
        <v>25</v>
      </c>
      <c r="S20" s="42">
        <v>25</v>
      </c>
      <c r="T20" s="42">
        <v>25</v>
      </c>
      <c r="U20" s="42">
        <v>25</v>
      </c>
      <c r="V20" s="42">
        <v>25</v>
      </c>
      <c r="W20" s="42">
        <v>25</v>
      </c>
      <c r="X20" s="42">
        <v>25</v>
      </c>
      <c r="Y20" s="42">
        <v>25</v>
      </c>
      <c r="Z20" s="42">
        <v>25</v>
      </c>
      <c r="AA20" s="42">
        <v>25</v>
      </c>
      <c r="AB20" s="42">
        <v>25</v>
      </c>
      <c r="AC20" s="42">
        <v>25</v>
      </c>
      <c r="AD20" s="42">
        <v>25</v>
      </c>
      <c r="AE20" s="42">
        <v>25</v>
      </c>
      <c r="AF20" s="42">
        <v>25</v>
      </c>
      <c r="AG20" s="42">
        <v>25</v>
      </c>
      <c r="AH20" s="42">
        <v>25</v>
      </c>
      <c r="AI20" s="42">
        <v>25</v>
      </c>
      <c r="AJ20" s="42">
        <v>25</v>
      </c>
      <c r="AK20" s="42">
        <v>25</v>
      </c>
      <c r="AL20" s="42">
        <v>25</v>
      </c>
      <c r="AN20" t="s">
        <v>66</v>
      </c>
    </row>
    <row r="21" spans="1:40" x14ac:dyDescent="0.25">
      <c r="C21" s="50">
        <v>2015</v>
      </c>
      <c r="D21" s="50">
        <v>2016</v>
      </c>
      <c r="E21" s="50">
        <v>2017</v>
      </c>
      <c r="F21" s="50">
        <v>2018</v>
      </c>
      <c r="G21" s="50">
        <v>2019</v>
      </c>
      <c r="H21" s="50">
        <v>2020</v>
      </c>
      <c r="I21" s="50">
        <v>2021</v>
      </c>
      <c r="J21" s="50">
        <v>2022</v>
      </c>
      <c r="K21" s="50">
        <v>2023</v>
      </c>
      <c r="L21" s="50">
        <v>2024</v>
      </c>
      <c r="M21" s="50">
        <v>2025</v>
      </c>
      <c r="N21" s="50">
        <v>2026</v>
      </c>
      <c r="O21" s="50">
        <v>2027</v>
      </c>
      <c r="P21" s="50">
        <v>2028</v>
      </c>
      <c r="Q21" s="50">
        <v>2029</v>
      </c>
      <c r="R21" s="50">
        <v>2030</v>
      </c>
      <c r="S21" s="50">
        <v>2031</v>
      </c>
      <c r="T21" s="50">
        <v>2032</v>
      </c>
      <c r="U21" s="50">
        <v>2033</v>
      </c>
      <c r="V21" s="50">
        <v>2034</v>
      </c>
      <c r="W21" s="50">
        <v>2035</v>
      </c>
      <c r="X21" s="50">
        <v>2036</v>
      </c>
      <c r="Y21" s="50">
        <v>2037</v>
      </c>
      <c r="Z21" s="50">
        <v>2038</v>
      </c>
      <c r="AA21" s="50">
        <v>2039</v>
      </c>
      <c r="AB21" s="50">
        <v>2040</v>
      </c>
      <c r="AC21" s="50">
        <v>2041</v>
      </c>
      <c r="AD21" s="50">
        <v>2042</v>
      </c>
      <c r="AE21" s="50">
        <v>2043</v>
      </c>
      <c r="AF21" s="50">
        <v>2044</v>
      </c>
      <c r="AG21" s="50">
        <v>2045</v>
      </c>
      <c r="AH21" s="50">
        <v>2046</v>
      </c>
      <c r="AI21" s="50">
        <v>2047</v>
      </c>
      <c r="AJ21" s="50">
        <v>2048</v>
      </c>
      <c r="AK21" s="50">
        <v>2049</v>
      </c>
      <c r="AL21" s="50">
        <v>2050</v>
      </c>
      <c r="AN21" s="57" t="s">
        <v>65</v>
      </c>
    </row>
    <row r="22" spans="1:40" x14ac:dyDescent="0.25">
      <c r="A22" s="27" t="s">
        <v>44</v>
      </c>
      <c r="B22" s="24" t="s">
        <v>53</v>
      </c>
      <c r="C22" s="44">
        <f t="shared" ref="C22:AL24" si="5">(-1*PMT($B$26,C18,C9)+C15)/(8760*C3)</f>
        <v>0.56712910250872872</v>
      </c>
      <c r="D22" s="45">
        <f t="shared" si="5"/>
        <v>0.51258889366146199</v>
      </c>
      <c r="E22" s="45">
        <f t="shared" si="5"/>
        <v>0.4726910466908027</v>
      </c>
      <c r="F22" s="45">
        <f t="shared" si="5"/>
        <v>0.45411337302247001</v>
      </c>
      <c r="G22" s="45">
        <f t="shared" si="5"/>
        <v>0.4442779590401974</v>
      </c>
      <c r="H22" s="45">
        <f t="shared" si="5"/>
        <v>0.43444254505792462</v>
      </c>
      <c r="I22" s="45">
        <f t="shared" si="5"/>
        <v>0.42460713107565201</v>
      </c>
      <c r="J22" s="45">
        <f t="shared" si="5"/>
        <v>0.41477171709337934</v>
      </c>
      <c r="K22" s="45">
        <f t="shared" si="5"/>
        <v>0.40493630311110668</v>
      </c>
      <c r="L22" s="45">
        <f t="shared" si="5"/>
        <v>0.39510088912883407</v>
      </c>
      <c r="M22" s="45">
        <f t="shared" si="5"/>
        <v>0.38526547514656134</v>
      </c>
      <c r="N22" s="45">
        <f t="shared" si="5"/>
        <v>0.37543006116428873</v>
      </c>
      <c r="O22" s="45">
        <f t="shared" si="5"/>
        <v>0.36559464718201606</v>
      </c>
      <c r="P22" s="45">
        <f t="shared" si="5"/>
        <v>0.35783066108639977</v>
      </c>
      <c r="Q22" s="45">
        <f t="shared" si="5"/>
        <v>0.35027076749169317</v>
      </c>
      <c r="R22" s="45">
        <f t="shared" si="5"/>
        <v>0.34478230178364272</v>
      </c>
      <c r="S22" s="45">
        <f t="shared" si="5"/>
        <v>0.33929383607559233</v>
      </c>
      <c r="T22" s="45">
        <f t="shared" si="5"/>
        <v>0.33380537036754188</v>
      </c>
      <c r="U22" s="45">
        <f t="shared" si="5"/>
        <v>0.32831690465949137</v>
      </c>
      <c r="V22" s="45">
        <f t="shared" si="5"/>
        <v>0.32282843895144098</v>
      </c>
      <c r="W22" s="45">
        <f t="shared" si="5"/>
        <v>0.31733997324339058</v>
      </c>
      <c r="X22" s="45">
        <f t="shared" si="5"/>
        <v>0.31185150753534013</v>
      </c>
      <c r="Y22" s="45">
        <f t="shared" si="5"/>
        <v>0.30636304182728974</v>
      </c>
      <c r="Z22" s="45">
        <f t="shared" si="5"/>
        <v>0.30087457611923912</v>
      </c>
      <c r="AA22" s="45">
        <f t="shared" si="5"/>
        <v>0.29541781318958443</v>
      </c>
      <c r="AB22" s="45">
        <f t="shared" si="5"/>
        <v>0.28996105025992969</v>
      </c>
      <c r="AC22" s="45">
        <f t="shared" si="5"/>
        <v>0.28450428733027489</v>
      </c>
      <c r="AD22" s="45">
        <f t="shared" si="5"/>
        <v>0.27904752440062019</v>
      </c>
      <c r="AE22" s="45">
        <f t="shared" si="5"/>
        <v>0.27359076147096545</v>
      </c>
      <c r="AF22" s="45">
        <f t="shared" si="5"/>
        <v>0.26813399854131076</v>
      </c>
      <c r="AG22" s="45">
        <f t="shared" si="5"/>
        <v>0.26267723561165596</v>
      </c>
      <c r="AH22" s="45">
        <f t="shared" si="5"/>
        <v>0.25722047268200127</v>
      </c>
      <c r="AI22" s="45">
        <f t="shared" si="5"/>
        <v>0.25176370975234663</v>
      </c>
      <c r="AJ22" s="45">
        <f t="shared" si="5"/>
        <v>0.24630694682269186</v>
      </c>
      <c r="AK22" s="45">
        <f t="shared" si="5"/>
        <v>0.24085018389303708</v>
      </c>
      <c r="AL22" s="46">
        <f t="shared" si="5"/>
        <v>0.23539342096338234</v>
      </c>
    </row>
    <row r="23" spans="1:40" x14ac:dyDescent="0.25">
      <c r="A23" s="28" t="s">
        <v>46</v>
      </c>
      <c r="B23" s="25" t="s">
        <v>52</v>
      </c>
      <c r="C23" s="44">
        <f t="shared" si="5"/>
        <v>0.56712910250872872</v>
      </c>
      <c r="D23" s="45">
        <f t="shared" si="5"/>
        <v>0.53880654753069424</v>
      </c>
      <c r="E23" s="45">
        <f t="shared" si="5"/>
        <v>0.51893609208628566</v>
      </c>
      <c r="F23" s="45">
        <f t="shared" si="5"/>
        <v>0.50212607567640188</v>
      </c>
      <c r="G23" s="45">
        <f t="shared" si="5"/>
        <v>0.49329628388217256</v>
      </c>
      <c r="H23" s="45">
        <f t="shared" si="5"/>
        <v>0.48830693655786928</v>
      </c>
      <c r="I23" s="45">
        <f t="shared" si="5"/>
        <v>0.48331758923356616</v>
      </c>
      <c r="J23" s="45">
        <f t="shared" si="5"/>
        <v>0.47832824190926282</v>
      </c>
      <c r="K23" s="45">
        <f t="shared" si="5"/>
        <v>0.47333889458495959</v>
      </c>
      <c r="L23" s="45">
        <f t="shared" si="5"/>
        <v>0.46834954726065642</v>
      </c>
      <c r="M23" s="45">
        <f t="shared" si="5"/>
        <v>0.46336019993635325</v>
      </c>
      <c r="N23" s="45">
        <f t="shared" si="5"/>
        <v>0.45837085261205002</v>
      </c>
      <c r="O23" s="45">
        <f t="shared" si="5"/>
        <v>0.45338150528774668</v>
      </c>
      <c r="P23" s="45">
        <f t="shared" si="5"/>
        <v>0.44839215796344356</v>
      </c>
      <c r="Q23" s="45">
        <f t="shared" si="5"/>
        <v>0.44431601693163975</v>
      </c>
      <c r="R23" s="45">
        <f t="shared" si="5"/>
        <v>0.44023987589983604</v>
      </c>
      <c r="S23" s="45">
        <f t="shared" si="5"/>
        <v>0.43616373486803239</v>
      </c>
      <c r="T23" s="45">
        <f t="shared" si="5"/>
        <v>0.43208759383622869</v>
      </c>
      <c r="U23" s="45">
        <f t="shared" si="5"/>
        <v>0.42801145280442499</v>
      </c>
      <c r="V23" s="45">
        <f t="shared" si="5"/>
        <v>0.42393531177262117</v>
      </c>
      <c r="W23" s="45">
        <f t="shared" si="5"/>
        <v>0.41985917074081741</v>
      </c>
      <c r="X23" s="45">
        <f t="shared" si="5"/>
        <v>0.41578302970901376</v>
      </c>
      <c r="Y23" s="45">
        <f t="shared" si="5"/>
        <v>0.41170688867721</v>
      </c>
      <c r="Z23" s="45">
        <f t="shared" si="5"/>
        <v>0.40763074764540635</v>
      </c>
      <c r="AA23" s="45">
        <f t="shared" si="5"/>
        <v>0.40391681742630187</v>
      </c>
      <c r="AB23" s="45">
        <f t="shared" si="5"/>
        <v>0.40020288720719738</v>
      </c>
      <c r="AC23" s="45">
        <f t="shared" si="5"/>
        <v>0.39648895698809283</v>
      </c>
      <c r="AD23" s="45">
        <f t="shared" si="5"/>
        <v>0.39277502676898834</v>
      </c>
      <c r="AE23" s="45">
        <f t="shared" si="5"/>
        <v>0.38906109654988386</v>
      </c>
      <c r="AF23" s="45">
        <f t="shared" si="5"/>
        <v>0.38534716633077937</v>
      </c>
      <c r="AG23" s="45">
        <f t="shared" si="5"/>
        <v>0.38163323611167477</v>
      </c>
      <c r="AH23" s="45">
        <f t="shared" si="5"/>
        <v>0.37791930589257033</v>
      </c>
      <c r="AI23" s="45">
        <f t="shared" si="5"/>
        <v>0.37420537567346579</v>
      </c>
      <c r="AJ23" s="45">
        <f t="shared" si="5"/>
        <v>0.37049144545436119</v>
      </c>
      <c r="AK23" s="45">
        <f t="shared" si="5"/>
        <v>0.36677751523525653</v>
      </c>
      <c r="AL23" s="46">
        <f t="shared" si="5"/>
        <v>0.36306358501615188</v>
      </c>
    </row>
    <row r="24" spans="1:40" x14ac:dyDescent="0.25">
      <c r="A24" s="29"/>
      <c r="B24" s="26" t="s">
        <v>49</v>
      </c>
      <c r="C24" s="47">
        <f t="shared" si="5"/>
        <v>0.56712910250872872</v>
      </c>
      <c r="D24" s="48">
        <f t="shared" si="5"/>
        <v>0.56712910250872872</v>
      </c>
      <c r="E24" s="48">
        <f t="shared" si="5"/>
        <v>0.56712910250872872</v>
      </c>
      <c r="F24" s="48">
        <f t="shared" si="5"/>
        <v>0.56712910250872872</v>
      </c>
      <c r="G24" s="48">
        <f t="shared" si="5"/>
        <v>0.56712910250872872</v>
      </c>
      <c r="H24" s="48">
        <f t="shared" si="5"/>
        <v>0.56070764780538562</v>
      </c>
      <c r="I24" s="48">
        <f t="shared" si="5"/>
        <v>0.55458835443290422</v>
      </c>
      <c r="J24" s="48">
        <f t="shared" si="5"/>
        <v>0.54947708631758729</v>
      </c>
      <c r="K24" s="48">
        <f t="shared" si="5"/>
        <v>0.54459062058278862</v>
      </c>
      <c r="L24" s="48">
        <f t="shared" si="5"/>
        <v>0.5399013628427346</v>
      </c>
      <c r="M24" s="48">
        <f t="shared" si="5"/>
        <v>0.53471886501464516</v>
      </c>
      <c r="N24" s="48">
        <f t="shared" si="5"/>
        <v>0.52987490644954138</v>
      </c>
      <c r="O24" s="48">
        <f t="shared" si="5"/>
        <v>0.52468737971077639</v>
      </c>
      <c r="P24" s="48">
        <f t="shared" si="5"/>
        <v>0.5197759415555061</v>
      </c>
      <c r="Q24" s="48">
        <f t="shared" si="5"/>
        <v>0.51510241587815175</v>
      </c>
      <c r="R24" s="48">
        <f t="shared" si="5"/>
        <v>0.50873008222390481</v>
      </c>
      <c r="S24" s="48">
        <f t="shared" si="5"/>
        <v>0.50635102629868245</v>
      </c>
      <c r="T24" s="48">
        <f t="shared" si="5"/>
        <v>0.50222675073727363</v>
      </c>
      <c r="U24" s="48">
        <f t="shared" si="5"/>
        <v>0.49824540724643174</v>
      </c>
      <c r="V24" s="48">
        <f t="shared" si="5"/>
        <v>0.49439203850525154</v>
      </c>
      <c r="W24" s="48">
        <f t="shared" si="5"/>
        <v>0.49032136108046354</v>
      </c>
      <c r="X24" s="48">
        <f t="shared" si="5"/>
        <v>0.48719095615345714</v>
      </c>
      <c r="Y24" s="48">
        <f t="shared" si="5"/>
        <v>0.4838227316436936</v>
      </c>
      <c r="Z24" s="48">
        <f t="shared" si="5"/>
        <v>0.48054089800880101</v>
      </c>
      <c r="AA24" s="48">
        <f t="shared" si="5"/>
        <v>0.47733817752229979</v>
      </c>
      <c r="AB24" s="48">
        <f t="shared" si="5"/>
        <v>0.47420815536447208</v>
      </c>
      <c r="AC24" s="48">
        <f t="shared" si="5"/>
        <v>0.4711451497606402</v>
      </c>
      <c r="AD24" s="48">
        <f t="shared" si="5"/>
        <v>0.46814410552799313</v>
      </c>
      <c r="AE24" s="48">
        <f t="shared" si="5"/>
        <v>0.46520050616033914</v>
      </c>
      <c r="AF24" s="48">
        <f t="shared" si="5"/>
        <v>0.46231030072045548</v>
      </c>
      <c r="AG24" s="48">
        <f t="shared" si="5"/>
        <v>0.46054254746607343</v>
      </c>
      <c r="AH24" s="48">
        <f t="shared" si="5"/>
        <v>0.45837681556684506</v>
      </c>
      <c r="AI24" s="48">
        <f t="shared" si="5"/>
        <v>0.45621108366761681</v>
      </c>
      <c r="AJ24" s="48">
        <f t="shared" si="5"/>
        <v>0.45404535176838845</v>
      </c>
      <c r="AK24" s="48">
        <f t="shared" si="5"/>
        <v>0.45187961986915998</v>
      </c>
      <c r="AL24" s="49">
        <f t="shared" si="5"/>
        <v>0.44971388796993167</v>
      </c>
    </row>
    <row r="25" spans="1:40" x14ac:dyDescent="0.25">
      <c r="C25" s="50">
        <v>2015</v>
      </c>
      <c r="D25" s="50">
        <v>2016</v>
      </c>
      <c r="E25" s="50">
        <v>2017</v>
      </c>
      <c r="F25" s="50">
        <v>2018</v>
      </c>
      <c r="G25" s="50">
        <v>2019</v>
      </c>
      <c r="H25" s="50">
        <v>2020</v>
      </c>
      <c r="I25" s="50">
        <v>2021</v>
      </c>
      <c r="J25" s="50">
        <v>2022</v>
      </c>
      <c r="K25" s="50">
        <v>2023</v>
      </c>
      <c r="L25" s="50">
        <v>2024</v>
      </c>
      <c r="M25" s="50">
        <v>2025</v>
      </c>
      <c r="N25" s="50">
        <v>2026</v>
      </c>
      <c r="O25" s="50">
        <v>2027</v>
      </c>
      <c r="P25" s="50">
        <v>2028</v>
      </c>
      <c r="Q25" s="50">
        <v>2029</v>
      </c>
      <c r="R25" s="50">
        <v>2030</v>
      </c>
      <c r="S25" s="50">
        <v>2031</v>
      </c>
      <c r="T25" s="50">
        <v>2032</v>
      </c>
      <c r="U25" s="50">
        <v>2033</v>
      </c>
      <c r="V25" s="50">
        <v>2034</v>
      </c>
      <c r="W25" s="50">
        <v>2035</v>
      </c>
      <c r="X25" s="50">
        <v>2036</v>
      </c>
      <c r="Y25" s="50">
        <v>2037</v>
      </c>
      <c r="Z25" s="50">
        <v>2038</v>
      </c>
      <c r="AA25" s="50">
        <v>2039</v>
      </c>
      <c r="AB25" s="50">
        <v>2040</v>
      </c>
      <c r="AC25" s="50">
        <v>2041</v>
      </c>
      <c r="AD25" s="50">
        <v>2042</v>
      </c>
      <c r="AE25" s="50">
        <v>2043</v>
      </c>
      <c r="AF25" s="50">
        <v>2044</v>
      </c>
      <c r="AG25" s="50">
        <v>2045</v>
      </c>
      <c r="AH25" s="50">
        <v>2046</v>
      </c>
      <c r="AI25" s="50">
        <v>2047</v>
      </c>
      <c r="AJ25" s="50">
        <v>2048</v>
      </c>
      <c r="AK25" s="50">
        <v>2049</v>
      </c>
      <c r="AL25" s="50">
        <v>2050</v>
      </c>
    </row>
    <row r="26" spans="1:40" x14ac:dyDescent="0.25">
      <c r="A26" t="s">
        <v>45</v>
      </c>
      <c r="B26" s="55">
        <v>8.2000000000000003E-2</v>
      </c>
      <c r="C26" s="71">
        <f>C22*$B$29</f>
        <v>0.62007816382281689</v>
      </c>
      <c r="D26" s="71">
        <f t="shared" ref="D26:AL28" si="6">D22*$B$29</f>
        <v>0.56044589948137347</v>
      </c>
      <c r="E26" s="71">
        <f t="shared" si="6"/>
        <v>0.51682305667430839</v>
      </c>
      <c r="F26" s="71">
        <f t="shared" si="6"/>
        <v>0.49651090953637883</v>
      </c>
      <c r="G26" s="71">
        <f t="shared" si="6"/>
        <v>0.48575722855688619</v>
      </c>
      <c r="H26" s="71">
        <f t="shared" si="6"/>
        <v>0.47500354757739333</v>
      </c>
      <c r="I26" s="71">
        <f t="shared" si="6"/>
        <v>0.46424986659790068</v>
      </c>
      <c r="J26" s="71">
        <f t="shared" si="6"/>
        <v>0.45349618561840793</v>
      </c>
      <c r="K26" s="71">
        <f t="shared" si="6"/>
        <v>0.44274250463891524</v>
      </c>
      <c r="L26" s="71">
        <f t="shared" si="6"/>
        <v>0.43198882365942259</v>
      </c>
      <c r="M26" s="71">
        <f t="shared" si="6"/>
        <v>0.42123514267992979</v>
      </c>
      <c r="N26" s="71">
        <f t="shared" si="6"/>
        <v>0.41048146170043714</v>
      </c>
      <c r="O26" s="71">
        <f t="shared" si="6"/>
        <v>0.39972778072094439</v>
      </c>
      <c r="P26" s="71">
        <f t="shared" si="6"/>
        <v>0.39123892303259905</v>
      </c>
      <c r="Q26" s="71">
        <f t="shared" si="6"/>
        <v>0.38297321260059136</v>
      </c>
      <c r="R26" s="71">
        <f t="shared" si="6"/>
        <v>0.37697232545973081</v>
      </c>
      <c r="S26" s="71">
        <f t="shared" si="6"/>
        <v>0.37097143831887031</v>
      </c>
      <c r="T26" s="71">
        <f t="shared" si="6"/>
        <v>0.36497055117800975</v>
      </c>
      <c r="U26" s="71">
        <f t="shared" si="6"/>
        <v>0.35896966403714914</v>
      </c>
      <c r="V26" s="71">
        <f t="shared" si="6"/>
        <v>0.35296877689628864</v>
      </c>
      <c r="W26" s="71">
        <f t="shared" si="6"/>
        <v>0.34696788975542814</v>
      </c>
      <c r="X26" s="71">
        <f t="shared" si="6"/>
        <v>0.34096700261456758</v>
      </c>
      <c r="Y26" s="71">
        <f t="shared" si="6"/>
        <v>0.33496611547370708</v>
      </c>
      <c r="Z26" s="71">
        <f t="shared" si="6"/>
        <v>0.32896522833284636</v>
      </c>
      <c r="AA26" s="71">
        <f t="shared" si="6"/>
        <v>0.3229990038473296</v>
      </c>
      <c r="AB26" s="71">
        <f t="shared" si="6"/>
        <v>0.31703277936181284</v>
      </c>
      <c r="AC26" s="71">
        <f t="shared" si="6"/>
        <v>0.31106655487629603</v>
      </c>
      <c r="AD26" s="71">
        <f t="shared" si="6"/>
        <v>0.30510033039077927</v>
      </c>
      <c r="AE26" s="71">
        <f t="shared" si="6"/>
        <v>0.29913410590526252</v>
      </c>
      <c r="AF26" s="71">
        <f t="shared" si="6"/>
        <v>0.29316788141974581</v>
      </c>
      <c r="AG26" s="71">
        <f t="shared" si="6"/>
        <v>0.287201656934229</v>
      </c>
      <c r="AH26" s="71">
        <f t="shared" si="6"/>
        <v>0.28123543244871224</v>
      </c>
      <c r="AI26" s="71">
        <f t="shared" si="6"/>
        <v>0.27526920796319559</v>
      </c>
      <c r="AJ26" s="71">
        <f t="shared" si="6"/>
        <v>0.26930298347767878</v>
      </c>
      <c r="AK26" s="71">
        <f t="shared" si="6"/>
        <v>0.26333675899216202</v>
      </c>
      <c r="AL26" s="71">
        <f t="shared" si="6"/>
        <v>0.25737053450664521</v>
      </c>
    </row>
    <row r="27" spans="1:40" x14ac:dyDescent="0.25">
      <c r="A27" t="s">
        <v>36</v>
      </c>
      <c r="B27" s="50">
        <v>12.77</v>
      </c>
      <c r="C27" s="71">
        <f t="shared" ref="C27:R28" si="7">C23*$B$29</f>
        <v>0.62007816382281689</v>
      </c>
      <c r="D27" s="71">
        <f t="shared" si="7"/>
        <v>0.58911132080971285</v>
      </c>
      <c r="E27" s="71">
        <f t="shared" si="7"/>
        <v>0.56738569348466772</v>
      </c>
      <c r="F27" s="71">
        <f t="shared" si="7"/>
        <v>0.54900623797239889</v>
      </c>
      <c r="G27" s="71">
        <f t="shared" si="7"/>
        <v>0.53935206741672859</v>
      </c>
      <c r="H27" s="71">
        <f t="shared" si="7"/>
        <v>0.53389689801377826</v>
      </c>
      <c r="I27" s="71">
        <f t="shared" si="7"/>
        <v>0.52844172861082817</v>
      </c>
      <c r="J27" s="71">
        <f t="shared" si="7"/>
        <v>0.52298655920787784</v>
      </c>
      <c r="K27" s="71">
        <f t="shared" si="7"/>
        <v>0.51753138980492763</v>
      </c>
      <c r="L27" s="71">
        <f t="shared" si="7"/>
        <v>0.51207622040197753</v>
      </c>
      <c r="M27" s="71">
        <f t="shared" si="7"/>
        <v>0.50662105099902732</v>
      </c>
      <c r="N27" s="71">
        <f t="shared" si="7"/>
        <v>0.50116588159607711</v>
      </c>
      <c r="O27" s="71">
        <f t="shared" si="7"/>
        <v>0.49571071219312679</v>
      </c>
      <c r="P27" s="71">
        <f t="shared" si="7"/>
        <v>0.49025554279017669</v>
      </c>
      <c r="Q27" s="71">
        <f t="shared" si="7"/>
        <v>0.48579883965979054</v>
      </c>
      <c r="R27" s="71">
        <f t="shared" si="7"/>
        <v>0.4813421365294045</v>
      </c>
      <c r="S27" s="71">
        <f t="shared" si="6"/>
        <v>0.47688543339901851</v>
      </c>
      <c r="T27" s="71">
        <f t="shared" si="6"/>
        <v>0.47242873026863241</v>
      </c>
      <c r="U27" s="71">
        <f t="shared" si="6"/>
        <v>0.46797202713824637</v>
      </c>
      <c r="V27" s="71">
        <f t="shared" si="6"/>
        <v>0.46351532400786022</v>
      </c>
      <c r="W27" s="71">
        <f t="shared" si="6"/>
        <v>0.45905862087747412</v>
      </c>
      <c r="X27" s="71">
        <f t="shared" si="6"/>
        <v>0.45460191774708808</v>
      </c>
      <c r="Y27" s="71">
        <f t="shared" si="6"/>
        <v>0.45014521461670198</v>
      </c>
      <c r="Z27" s="71">
        <f t="shared" si="6"/>
        <v>0.445688511486316</v>
      </c>
      <c r="AA27" s="71">
        <f t="shared" si="6"/>
        <v>0.44162783637611402</v>
      </c>
      <c r="AB27" s="71">
        <f t="shared" si="6"/>
        <v>0.43756716126591205</v>
      </c>
      <c r="AC27" s="71">
        <f t="shared" si="6"/>
        <v>0.43350648615570997</v>
      </c>
      <c r="AD27" s="71">
        <f t="shared" si="6"/>
        <v>0.429445811045508</v>
      </c>
      <c r="AE27" s="71">
        <f t="shared" si="6"/>
        <v>0.42538513593530602</v>
      </c>
      <c r="AF27" s="71">
        <f t="shared" si="6"/>
        <v>0.42132446082510405</v>
      </c>
      <c r="AG27" s="71">
        <f t="shared" si="6"/>
        <v>0.41726378571490197</v>
      </c>
      <c r="AH27" s="71">
        <f t="shared" si="6"/>
        <v>0.4132031106047</v>
      </c>
      <c r="AI27" s="71">
        <f t="shared" si="6"/>
        <v>0.40914243549449797</v>
      </c>
      <c r="AJ27" s="71">
        <f t="shared" si="6"/>
        <v>0.40508176038429589</v>
      </c>
      <c r="AK27" s="71">
        <f t="shared" si="6"/>
        <v>0.40102108527409369</v>
      </c>
      <c r="AL27" s="71">
        <f t="shared" si="6"/>
        <v>0.39696041016389155</v>
      </c>
    </row>
    <row r="28" spans="1:40" x14ac:dyDescent="0.25">
      <c r="A28" t="s">
        <v>93</v>
      </c>
      <c r="B28" s="86">
        <f>88.9/97.2</f>
        <v>0.91460905349794241</v>
      </c>
      <c r="C28" s="71">
        <f t="shared" si="7"/>
        <v>0.62007816382281689</v>
      </c>
      <c r="D28" s="71">
        <f t="shared" si="6"/>
        <v>0.62007816382281689</v>
      </c>
      <c r="E28" s="71">
        <f t="shared" si="6"/>
        <v>0.62007816382281689</v>
      </c>
      <c r="F28" s="71">
        <f t="shared" si="6"/>
        <v>0.62007816382281689</v>
      </c>
      <c r="G28" s="71">
        <f t="shared" si="6"/>
        <v>0.62007816382281689</v>
      </c>
      <c r="H28" s="71">
        <f t="shared" si="6"/>
        <v>0.61305718072759818</v>
      </c>
      <c r="I28" s="71">
        <f t="shared" si="6"/>
        <v>0.60636656975116177</v>
      </c>
      <c r="J28" s="71">
        <f t="shared" si="6"/>
        <v>0.60077809662620341</v>
      </c>
      <c r="K28" s="71">
        <f t="shared" si="6"/>
        <v>0.59543541418050672</v>
      </c>
      <c r="L28" s="71">
        <f t="shared" si="6"/>
        <v>0.59030835172456464</v>
      </c>
      <c r="M28" s="71">
        <f t="shared" si="6"/>
        <v>0.58464199864368394</v>
      </c>
      <c r="N28" s="71">
        <f t="shared" si="6"/>
        <v>0.57934579197857616</v>
      </c>
      <c r="O28" s="71">
        <f t="shared" si="6"/>
        <v>0.57367394047117504</v>
      </c>
      <c r="P28" s="71">
        <f t="shared" si="6"/>
        <v>0.56830395409668377</v>
      </c>
      <c r="Q28" s="71">
        <f t="shared" si="6"/>
        <v>0.56319409250119623</v>
      </c>
      <c r="R28" s="71">
        <f t="shared" si="6"/>
        <v>0.55622681655976991</v>
      </c>
      <c r="S28" s="71">
        <f t="shared" si="6"/>
        <v>0.55362564405210268</v>
      </c>
      <c r="T28" s="71">
        <f t="shared" si="6"/>
        <v>0.54911631239215963</v>
      </c>
      <c r="U28" s="71">
        <f t="shared" si="6"/>
        <v>0.54476325741679599</v>
      </c>
      <c r="V28" s="71">
        <f t="shared" si="6"/>
        <v>0.54055012533982505</v>
      </c>
      <c r="W28" s="71">
        <f t="shared" si="6"/>
        <v>0.53609939591699718</v>
      </c>
      <c r="X28" s="71">
        <f t="shared" si="6"/>
        <v>0.53267672596305993</v>
      </c>
      <c r="Y28" s="71">
        <f t="shared" si="6"/>
        <v>0.52899403279827906</v>
      </c>
      <c r="Z28" s="71">
        <f t="shared" si="6"/>
        <v>0.5254057962480928</v>
      </c>
      <c r="AA28" s="71">
        <f t="shared" si="6"/>
        <v>0.52190405911324556</v>
      </c>
      <c r="AB28" s="71">
        <f t="shared" si="6"/>
        <v>0.518481807665092</v>
      </c>
      <c r="AC28" s="71">
        <f t="shared" si="6"/>
        <v>0.51513282965955254</v>
      </c>
      <c r="AD28" s="71">
        <f t="shared" si="6"/>
        <v>0.51185159794511725</v>
      </c>
      <c r="AE28" s="71">
        <f t="shared" si="6"/>
        <v>0.50863317433953836</v>
      </c>
      <c r="AF28" s="71">
        <f t="shared" si="6"/>
        <v>0.50547312969660596</v>
      </c>
      <c r="AG28" s="71">
        <f t="shared" si="6"/>
        <v>0.50354033311251212</v>
      </c>
      <c r="AH28" s="71">
        <f t="shared" si="6"/>
        <v>0.50117240127218599</v>
      </c>
      <c r="AI28" s="71">
        <f t="shared" si="6"/>
        <v>0.49880446943185996</v>
      </c>
      <c r="AJ28" s="71">
        <f t="shared" si="6"/>
        <v>0.49643653759153378</v>
      </c>
      <c r="AK28" s="71">
        <f t="shared" si="6"/>
        <v>0.49406860575120748</v>
      </c>
      <c r="AL28" s="71">
        <f t="shared" si="6"/>
        <v>0.49170067391088135</v>
      </c>
    </row>
    <row r="29" spans="1:40" x14ac:dyDescent="0.25">
      <c r="B29" s="86">
        <f>1/B28</f>
        <v>1.0933633295838019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spans="1:40" x14ac:dyDescent="0.25">
      <c r="A30" t="s">
        <v>57</v>
      </c>
      <c r="C30" s="30">
        <v>2015</v>
      </c>
      <c r="D30" s="30">
        <v>2016</v>
      </c>
      <c r="E30" s="30">
        <v>2017</v>
      </c>
      <c r="F30" s="30">
        <v>2018</v>
      </c>
      <c r="G30" s="30">
        <v>2019</v>
      </c>
      <c r="H30" s="30">
        <v>2020</v>
      </c>
      <c r="I30" s="30">
        <v>2021</v>
      </c>
      <c r="J30" s="30">
        <v>2022</v>
      </c>
      <c r="K30" s="30">
        <v>2023</v>
      </c>
      <c r="L30" s="30">
        <v>2024</v>
      </c>
      <c r="M30" s="30">
        <v>2025</v>
      </c>
      <c r="N30" s="30">
        <v>2026</v>
      </c>
      <c r="O30" s="30">
        <v>2027</v>
      </c>
      <c r="P30" s="30">
        <v>2028</v>
      </c>
      <c r="Q30" s="30">
        <v>2029</v>
      </c>
      <c r="R30" s="30">
        <v>2030</v>
      </c>
      <c r="S30" s="30">
        <v>2031</v>
      </c>
      <c r="T30" s="30">
        <v>2032</v>
      </c>
      <c r="U30" s="30">
        <v>2033</v>
      </c>
      <c r="V30" s="30">
        <v>2034</v>
      </c>
      <c r="W30" s="30">
        <v>2035</v>
      </c>
      <c r="X30" s="30">
        <v>2036</v>
      </c>
      <c r="Y30" s="30">
        <v>2037</v>
      </c>
      <c r="Z30" s="30">
        <v>2038</v>
      </c>
      <c r="AA30" s="30">
        <v>2039</v>
      </c>
      <c r="AB30" s="30">
        <v>2040</v>
      </c>
      <c r="AC30" s="30">
        <v>2041</v>
      </c>
      <c r="AD30" s="30">
        <v>2042</v>
      </c>
      <c r="AE30" s="30">
        <v>2043</v>
      </c>
      <c r="AF30" s="30">
        <v>2044</v>
      </c>
      <c r="AG30" s="30">
        <v>2045</v>
      </c>
      <c r="AH30" s="30">
        <v>2046</v>
      </c>
      <c r="AI30" s="30">
        <v>2047</v>
      </c>
      <c r="AJ30" s="30">
        <v>2048</v>
      </c>
      <c r="AK30" s="30">
        <v>2049</v>
      </c>
      <c r="AL30" s="30">
        <v>2050</v>
      </c>
    </row>
    <row r="31" spans="1:40" x14ac:dyDescent="0.25">
      <c r="A31" s="136" t="s">
        <v>30</v>
      </c>
      <c r="B31" s="27" t="s">
        <v>51</v>
      </c>
      <c r="C31" s="33">
        <f>C3/$C3</f>
        <v>1</v>
      </c>
      <c r="D31" s="33">
        <f t="shared" ref="D31:AL33" si="8">D3/$C3</f>
        <v>1</v>
      </c>
      <c r="E31" s="33">
        <f t="shared" si="8"/>
        <v>1</v>
      </c>
      <c r="F31" s="33">
        <f t="shared" si="8"/>
        <v>1</v>
      </c>
      <c r="G31" s="33">
        <f t="shared" si="8"/>
        <v>1</v>
      </c>
      <c r="H31" s="33">
        <f t="shared" si="8"/>
        <v>1</v>
      </c>
      <c r="I31" s="33">
        <f t="shared" si="8"/>
        <v>1</v>
      </c>
      <c r="J31" s="33">
        <f t="shared" si="8"/>
        <v>1</v>
      </c>
      <c r="K31" s="33">
        <f t="shared" si="8"/>
        <v>1</v>
      </c>
      <c r="L31" s="33">
        <f t="shared" si="8"/>
        <v>1</v>
      </c>
      <c r="M31" s="33">
        <f t="shared" si="8"/>
        <v>1</v>
      </c>
      <c r="N31" s="33">
        <f t="shared" si="8"/>
        <v>1</v>
      </c>
      <c r="O31" s="33">
        <f t="shared" si="8"/>
        <v>1</v>
      </c>
      <c r="P31" s="33">
        <f t="shared" si="8"/>
        <v>1</v>
      </c>
      <c r="Q31" s="33">
        <f t="shared" si="8"/>
        <v>1</v>
      </c>
      <c r="R31" s="33">
        <f t="shared" si="8"/>
        <v>1</v>
      </c>
      <c r="S31" s="33">
        <f t="shared" si="8"/>
        <v>1</v>
      </c>
      <c r="T31" s="33">
        <f t="shared" si="8"/>
        <v>1</v>
      </c>
      <c r="U31" s="33">
        <f t="shared" si="8"/>
        <v>1</v>
      </c>
      <c r="V31" s="33">
        <f t="shared" si="8"/>
        <v>1</v>
      </c>
      <c r="W31" s="33">
        <f t="shared" si="8"/>
        <v>1</v>
      </c>
      <c r="X31" s="33">
        <f t="shared" si="8"/>
        <v>1</v>
      </c>
      <c r="Y31" s="33">
        <f t="shared" si="8"/>
        <v>1</v>
      </c>
      <c r="Z31" s="33">
        <f t="shared" si="8"/>
        <v>1</v>
      </c>
      <c r="AA31" s="33">
        <f t="shared" si="8"/>
        <v>1</v>
      </c>
      <c r="AB31" s="33">
        <f t="shared" si="8"/>
        <v>1</v>
      </c>
      <c r="AC31" s="33">
        <f t="shared" si="8"/>
        <v>1</v>
      </c>
      <c r="AD31" s="33">
        <f t="shared" si="8"/>
        <v>1</v>
      </c>
      <c r="AE31" s="33">
        <f t="shared" si="8"/>
        <v>1</v>
      </c>
      <c r="AF31" s="33">
        <f t="shared" si="8"/>
        <v>1</v>
      </c>
      <c r="AG31" s="33">
        <f t="shared" si="8"/>
        <v>1</v>
      </c>
      <c r="AH31" s="33">
        <f t="shared" si="8"/>
        <v>1</v>
      </c>
      <c r="AI31" s="33">
        <f t="shared" si="8"/>
        <v>1</v>
      </c>
      <c r="AJ31" s="33">
        <f t="shared" si="8"/>
        <v>1</v>
      </c>
      <c r="AK31" s="33">
        <f t="shared" si="8"/>
        <v>1</v>
      </c>
      <c r="AL31" s="33">
        <f t="shared" si="8"/>
        <v>1</v>
      </c>
    </row>
    <row r="32" spans="1:40" x14ac:dyDescent="0.25">
      <c r="A32" s="136"/>
      <c r="B32" s="28" t="s">
        <v>50</v>
      </c>
      <c r="C32" s="33">
        <f t="shared" ref="C32:R33" si="9">C4/$C4</f>
        <v>1</v>
      </c>
      <c r="D32" s="33">
        <f t="shared" si="9"/>
        <v>1</v>
      </c>
      <c r="E32" s="33">
        <f t="shared" si="9"/>
        <v>1</v>
      </c>
      <c r="F32" s="33">
        <f t="shared" si="9"/>
        <v>1</v>
      </c>
      <c r="G32" s="33">
        <f t="shared" si="9"/>
        <v>1</v>
      </c>
      <c r="H32" s="33">
        <f t="shared" si="9"/>
        <v>1</v>
      </c>
      <c r="I32" s="33">
        <f t="shared" si="9"/>
        <v>1</v>
      </c>
      <c r="J32" s="33">
        <f t="shared" si="9"/>
        <v>1</v>
      </c>
      <c r="K32" s="33">
        <f t="shared" si="9"/>
        <v>1</v>
      </c>
      <c r="L32" s="33">
        <f t="shared" si="9"/>
        <v>1</v>
      </c>
      <c r="M32" s="33">
        <f t="shared" si="9"/>
        <v>1</v>
      </c>
      <c r="N32" s="33">
        <f t="shared" si="9"/>
        <v>1</v>
      </c>
      <c r="O32" s="33">
        <f t="shared" si="9"/>
        <v>1</v>
      </c>
      <c r="P32" s="33">
        <f t="shared" si="9"/>
        <v>1</v>
      </c>
      <c r="Q32" s="33">
        <f t="shared" si="9"/>
        <v>1</v>
      </c>
      <c r="R32" s="33">
        <f t="shared" si="9"/>
        <v>1</v>
      </c>
      <c r="S32" s="33">
        <f t="shared" si="8"/>
        <v>1</v>
      </c>
      <c r="T32" s="33">
        <f t="shared" si="8"/>
        <v>1</v>
      </c>
      <c r="U32" s="33">
        <f t="shared" si="8"/>
        <v>1</v>
      </c>
      <c r="V32" s="33">
        <f t="shared" si="8"/>
        <v>1</v>
      </c>
      <c r="W32" s="33">
        <f t="shared" si="8"/>
        <v>1</v>
      </c>
      <c r="X32" s="33">
        <f t="shared" si="8"/>
        <v>1</v>
      </c>
      <c r="Y32" s="33">
        <f t="shared" si="8"/>
        <v>1</v>
      </c>
      <c r="Z32" s="33">
        <f t="shared" si="8"/>
        <v>1</v>
      </c>
      <c r="AA32" s="33">
        <f t="shared" si="8"/>
        <v>1</v>
      </c>
      <c r="AB32" s="33">
        <f t="shared" si="8"/>
        <v>1</v>
      </c>
      <c r="AC32" s="33">
        <f t="shared" si="8"/>
        <v>1</v>
      </c>
      <c r="AD32" s="33">
        <f t="shared" si="8"/>
        <v>1</v>
      </c>
      <c r="AE32" s="33">
        <f t="shared" si="8"/>
        <v>1</v>
      </c>
      <c r="AF32" s="33">
        <f t="shared" si="8"/>
        <v>1</v>
      </c>
      <c r="AG32" s="33">
        <f t="shared" si="8"/>
        <v>1</v>
      </c>
      <c r="AH32" s="33">
        <f t="shared" si="8"/>
        <v>1</v>
      </c>
      <c r="AI32" s="33">
        <f t="shared" si="8"/>
        <v>1</v>
      </c>
      <c r="AJ32" s="33">
        <f t="shared" si="8"/>
        <v>1</v>
      </c>
      <c r="AK32" s="33">
        <f t="shared" si="8"/>
        <v>1</v>
      </c>
      <c r="AL32" s="33">
        <f t="shared" si="8"/>
        <v>1</v>
      </c>
    </row>
    <row r="33" spans="1:38" x14ac:dyDescent="0.25">
      <c r="A33" s="136"/>
      <c r="B33" s="29" t="s">
        <v>49</v>
      </c>
      <c r="C33" s="33">
        <f t="shared" si="9"/>
        <v>1</v>
      </c>
      <c r="D33" s="33">
        <f t="shared" si="9"/>
        <v>1</v>
      </c>
      <c r="E33" s="33">
        <f t="shared" si="9"/>
        <v>1</v>
      </c>
      <c r="F33" s="33">
        <f t="shared" si="9"/>
        <v>1</v>
      </c>
      <c r="G33" s="33">
        <f t="shared" si="9"/>
        <v>1</v>
      </c>
      <c r="H33" s="33">
        <f t="shared" si="9"/>
        <v>1</v>
      </c>
      <c r="I33" s="33">
        <f t="shared" si="9"/>
        <v>1</v>
      </c>
      <c r="J33" s="33">
        <f t="shared" si="9"/>
        <v>1</v>
      </c>
      <c r="K33" s="33">
        <f t="shared" si="9"/>
        <v>1</v>
      </c>
      <c r="L33" s="33">
        <f t="shared" si="9"/>
        <v>1</v>
      </c>
      <c r="M33" s="33">
        <f t="shared" si="9"/>
        <v>1</v>
      </c>
      <c r="N33" s="33">
        <f t="shared" si="9"/>
        <v>1</v>
      </c>
      <c r="O33" s="33">
        <f t="shared" si="9"/>
        <v>1</v>
      </c>
      <c r="P33" s="33">
        <f t="shared" si="9"/>
        <v>1</v>
      </c>
      <c r="Q33" s="33">
        <f t="shared" si="9"/>
        <v>1</v>
      </c>
      <c r="R33" s="33">
        <f t="shared" si="9"/>
        <v>1</v>
      </c>
      <c r="S33" s="33">
        <f t="shared" si="8"/>
        <v>1</v>
      </c>
      <c r="T33" s="33">
        <f t="shared" si="8"/>
        <v>1</v>
      </c>
      <c r="U33" s="33">
        <f t="shared" si="8"/>
        <v>1</v>
      </c>
      <c r="V33" s="33">
        <f t="shared" si="8"/>
        <v>1</v>
      </c>
      <c r="W33" s="33">
        <f t="shared" si="8"/>
        <v>1</v>
      </c>
      <c r="X33" s="33">
        <f t="shared" si="8"/>
        <v>1</v>
      </c>
      <c r="Y33" s="33">
        <f t="shared" si="8"/>
        <v>1</v>
      </c>
      <c r="Z33" s="33">
        <f t="shared" si="8"/>
        <v>1</v>
      </c>
      <c r="AA33" s="33">
        <f t="shared" si="8"/>
        <v>1</v>
      </c>
      <c r="AB33" s="33">
        <f t="shared" si="8"/>
        <v>1</v>
      </c>
      <c r="AC33" s="33">
        <f t="shared" si="8"/>
        <v>1</v>
      </c>
      <c r="AD33" s="33">
        <f t="shared" si="8"/>
        <v>1</v>
      </c>
      <c r="AE33" s="33">
        <f t="shared" si="8"/>
        <v>1</v>
      </c>
      <c r="AF33" s="33">
        <f t="shared" si="8"/>
        <v>1</v>
      </c>
      <c r="AG33" s="33">
        <f t="shared" si="8"/>
        <v>1</v>
      </c>
      <c r="AH33" s="33">
        <f t="shared" si="8"/>
        <v>1</v>
      </c>
      <c r="AI33" s="33">
        <f t="shared" si="8"/>
        <v>1</v>
      </c>
      <c r="AJ33" s="33">
        <f t="shared" si="8"/>
        <v>1</v>
      </c>
      <c r="AK33" s="33">
        <f t="shared" si="8"/>
        <v>1</v>
      </c>
      <c r="AL33" s="33">
        <f t="shared" si="8"/>
        <v>1</v>
      </c>
    </row>
    <row r="34" spans="1:38" x14ac:dyDescent="0.25">
      <c r="A34" s="136" t="s">
        <v>31</v>
      </c>
      <c r="B34" s="27" t="s">
        <v>51</v>
      </c>
      <c r="C34" s="33" t="e">
        <f>#REF!/#REF!</f>
        <v>#REF!</v>
      </c>
      <c r="D34" s="33" t="e">
        <f>#REF!/#REF!</f>
        <v>#REF!</v>
      </c>
      <c r="E34" s="33" t="e">
        <f>C6/#REF!</f>
        <v>#REF!</v>
      </c>
      <c r="F34" s="33" t="e">
        <f>D6/#REF!</f>
        <v>#REF!</v>
      </c>
      <c r="G34" s="33" t="e">
        <f>E6/#REF!</f>
        <v>#REF!</v>
      </c>
      <c r="H34" s="33" t="e">
        <f>F6/#REF!</f>
        <v>#REF!</v>
      </c>
      <c r="I34" s="33" t="e">
        <f>G6/#REF!</f>
        <v>#REF!</v>
      </c>
      <c r="J34" s="33" t="e">
        <f>H6/#REF!</f>
        <v>#REF!</v>
      </c>
      <c r="K34" s="33" t="e">
        <f>I6/#REF!</f>
        <v>#REF!</v>
      </c>
      <c r="L34" s="33" t="e">
        <f>J6/#REF!</f>
        <v>#REF!</v>
      </c>
      <c r="M34" s="33" t="e">
        <f>K6/#REF!</f>
        <v>#REF!</v>
      </c>
      <c r="N34" s="33" t="e">
        <f>L6/#REF!</f>
        <v>#REF!</v>
      </c>
      <c r="O34" s="33" t="e">
        <f>M6/#REF!</f>
        <v>#REF!</v>
      </c>
      <c r="P34" s="33" t="e">
        <f>N6/#REF!</f>
        <v>#REF!</v>
      </c>
      <c r="Q34" s="33" t="e">
        <f>O6/#REF!</f>
        <v>#REF!</v>
      </c>
      <c r="R34" s="33" t="e">
        <f>P6/#REF!</f>
        <v>#REF!</v>
      </c>
      <c r="S34" s="33" t="e">
        <f>Q6/#REF!</f>
        <v>#REF!</v>
      </c>
      <c r="T34" s="33" t="e">
        <f>R6/#REF!</f>
        <v>#REF!</v>
      </c>
      <c r="U34" s="33" t="e">
        <f>S6/#REF!</f>
        <v>#REF!</v>
      </c>
      <c r="V34" s="33" t="e">
        <f>T6/#REF!</f>
        <v>#REF!</v>
      </c>
      <c r="W34" s="33" t="e">
        <f>U6/#REF!</f>
        <v>#REF!</v>
      </c>
      <c r="X34" s="33" t="e">
        <f>V6/#REF!</f>
        <v>#REF!</v>
      </c>
      <c r="Y34" s="33" t="e">
        <f>W6/#REF!</f>
        <v>#REF!</v>
      </c>
      <c r="Z34" s="33" t="e">
        <f>X6/#REF!</f>
        <v>#REF!</v>
      </c>
      <c r="AA34" s="33" t="e">
        <f>Y6/#REF!</f>
        <v>#REF!</v>
      </c>
      <c r="AB34" s="33" t="e">
        <f>Z6/#REF!</f>
        <v>#REF!</v>
      </c>
      <c r="AC34" s="33" t="e">
        <f>AA6/#REF!</f>
        <v>#REF!</v>
      </c>
      <c r="AD34" s="33" t="e">
        <f>AB6/#REF!</f>
        <v>#REF!</v>
      </c>
      <c r="AE34" s="33" t="e">
        <f>AC6/#REF!</f>
        <v>#REF!</v>
      </c>
      <c r="AF34" s="33" t="e">
        <f>AD6/#REF!</f>
        <v>#REF!</v>
      </c>
      <c r="AG34" s="33" t="e">
        <f>AE6/#REF!</f>
        <v>#REF!</v>
      </c>
      <c r="AH34" s="33" t="e">
        <f>AF6/#REF!</f>
        <v>#REF!</v>
      </c>
      <c r="AI34" s="33" t="e">
        <f>AG6/#REF!</f>
        <v>#REF!</v>
      </c>
      <c r="AJ34" s="33" t="e">
        <f>AH6/#REF!</f>
        <v>#REF!</v>
      </c>
      <c r="AK34" s="33" t="e">
        <f>AI6/#REF!</f>
        <v>#REF!</v>
      </c>
      <c r="AL34" s="33" t="e">
        <f>AJ6/#REF!</f>
        <v>#REF!</v>
      </c>
    </row>
    <row r="35" spans="1:38" x14ac:dyDescent="0.25">
      <c r="A35" s="136"/>
      <c r="B35" s="28" t="s">
        <v>50</v>
      </c>
      <c r="C35" s="33" t="e">
        <f>#REF!/#REF!</f>
        <v>#REF!</v>
      </c>
      <c r="D35" s="33" t="e">
        <f>#REF!/#REF!</f>
        <v>#REF!</v>
      </c>
      <c r="E35" s="33" t="e">
        <f>C7/#REF!</f>
        <v>#REF!</v>
      </c>
      <c r="F35" s="33" t="e">
        <f>D7/#REF!</f>
        <v>#REF!</v>
      </c>
      <c r="G35" s="33" t="e">
        <f>E7/#REF!</f>
        <v>#REF!</v>
      </c>
      <c r="H35" s="33" t="e">
        <f>F7/#REF!</f>
        <v>#REF!</v>
      </c>
      <c r="I35" s="33" t="e">
        <f>G7/#REF!</f>
        <v>#REF!</v>
      </c>
      <c r="J35" s="33" t="e">
        <f>H7/#REF!</f>
        <v>#REF!</v>
      </c>
      <c r="K35" s="33" t="e">
        <f>I7/#REF!</f>
        <v>#REF!</v>
      </c>
      <c r="L35" s="33" t="e">
        <f>J7/#REF!</f>
        <v>#REF!</v>
      </c>
      <c r="M35" s="33" t="e">
        <f>K7/#REF!</f>
        <v>#REF!</v>
      </c>
      <c r="N35" s="33" t="e">
        <f>L7/#REF!</f>
        <v>#REF!</v>
      </c>
      <c r="O35" s="33" t="e">
        <f>M7/#REF!</f>
        <v>#REF!</v>
      </c>
      <c r="P35" s="33" t="e">
        <f>N7/#REF!</f>
        <v>#REF!</v>
      </c>
      <c r="Q35" s="33" t="e">
        <f>O7/#REF!</f>
        <v>#REF!</v>
      </c>
      <c r="R35" s="33" t="e">
        <f>P7/#REF!</f>
        <v>#REF!</v>
      </c>
      <c r="S35" s="33" t="e">
        <f>Q7/#REF!</f>
        <v>#REF!</v>
      </c>
      <c r="T35" s="33" t="e">
        <f>R7/#REF!</f>
        <v>#REF!</v>
      </c>
      <c r="U35" s="33" t="e">
        <f>S7/#REF!</f>
        <v>#REF!</v>
      </c>
      <c r="V35" s="33" t="e">
        <f>T7/#REF!</f>
        <v>#REF!</v>
      </c>
      <c r="W35" s="33" t="e">
        <f>U7/#REF!</f>
        <v>#REF!</v>
      </c>
      <c r="X35" s="33" t="e">
        <f>V7/#REF!</f>
        <v>#REF!</v>
      </c>
      <c r="Y35" s="33" t="e">
        <f>W7/#REF!</f>
        <v>#REF!</v>
      </c>
      <c r="Z35" s="33" t="e">
        <f>X7/#REF!</f>
        <v>#REF!</v>
      </c>
      <c r="AA35" s="33" t="e">
        <f>Y7/#REF!</f>
        <v>#REF!</v>
      </c>
      <c r="AB35" s="33" t="e">
        <f>Z7/#REF!</f>
        <v>#REF!</v>
      </c>
      <c r="AC35" s="33" t="e">
        <f>AA7/#REF!</f>
        <v>#REF!</v>
      </c>
      <c r="AD35" s="33" t="e">
        <f>AB7/#REF!</f>
        <v>#REF!</v>
      </c>
      <c r="AE35" s="33" t="e">
        <f>AC7/#REF!</f>
        <v>#REF!</v>
      </c>
      <c r="AF35" s="33" t="e">
        <f>AD7/#REF!</f>
        <v>#REF!</v>
      </c>
      <c r="AG35" s="33" t="e">
        <f>AE7/#REF!</f>
        <v>#REF!</v>
      </c>
      <c r="AH35" s="33" t="e">
        <f>AF7/#REF!</f>
        <v>#REF!</v>
      </c>
      <c r="AI35" s="33" t="e">
        <f>AG7/#REF!</f>
        <v>#REF!</v>
      </c>
      <c r="AJ35" s="33" t="e">
        <f>AH7/#REF!</f>
        <v>#REF!</v>
      </c>
      <c r="AK35" s="33" t="e">
        <f>AI7/#REF!</f>
        <v>#REF!</v>
      </c>
      <c r="AL35" s="33" t="e">
        <f>AJ7/#REF!</f>
        <v>#REF!</v>
      </c>
    </row>
    <row r="36" spans="1:38" x14ac:dyDescent="0.25">
      <c r="A36" s="136"/>
      <c r="B36" s="29" t="s">
        <v>49</v>
      </c>
      <c r="C36" s="33" t="e">
        <f>#REF!/#REF!</f>
        <v>#REF!</v>
      </c>
      <c r="D36" s="33" t="e">
        <f>#REF!/#REF!</f>
        <v>#REF!</v>
      </c>
      <c r="E36" s="33" t="e">
        <f>C8/#REF!</f>
        <v>#REF!</v>
      </c>
      <c r="F36" s="33" t="e">
        <f>D8/#REF!</f>
        <v>#REF!</v>
      </c>
      <c r="G36" s="33" t="e">
        <f>E8/#REF!</f>
        <v>#REF!</v>
      </c>
      <c r="H36" s="33" t="e">
        <f>F8/#REF!</f>
        <v>#REF!</v>
      </c>
      <c r="I36" s="33" t="e">
        <f>G8/#REF!</f>
        <v>#REF!</v>
      </c>
      <c r="J36" s="33" t="e">
        <f>H8/#REF!</f>
        <v>#REF!</v>
      </c>
      <c r="K36" s="33" t="e">
        <f>I8/#REF!</f>
        <v>#REF!</v>
      </c>
      <c r="L36" s="33" t="e">
        <f>J8/#REF!</f>
        <v>#REF!</v>
      </c>
      <c r="M36" s="33" t="e">
        <f>K8/#REF!</f>
        <v>#REF!</v>
      </c>
      <c r="N36" s="33" t="e">
        <f>L8/#REF!</f>
        <v>#REF!</v>
      </c>
      <c r="O36" s="33" t="e">
        <f>M8/#REF!</f>
        <v>#REF!</v>
      </c>
      <c r="P36" s="33" t="e">
        <f>N8/#REF!</f>
        <v>#REF!</v>
      </c>
      <c r="Q36" s="33" t="e">
        <f>O8/#REF!</f>
        <v>#REF!</v>
      </c>
      <c r="R36" s="33" t="e">
        <f>P8/#REF!</f>
        <v>#REF!</v>
      </c>
      <c r="S36" s="33" t="e">
        <f>Q8/#REF!</f>
        <v>#REF!</v>
      </c>
      <c r="T36" s="33" t="e">
        <f>R8/#REF!</f>
        <v>#REF!</v>
      </c>
      <c r="U36" s="33" t="e">
        <f>S8/#REF!</f>
        <v>#REF!</v>
      </c>
      <c r="V36" s="33" t="e">
        <f>T8/#REF!</f>
        <v>#REF!</v>
      </c>
      <c r="W36" s="33" t="e">
        <f>U8/#REF!</f>
        <v>#REF!</v>
      </c>
      <c r="X36" s="33" t="e">
        <f>V8/#REF!</f>
        <v>#REF!</v>
      </c>
      <c r="Y36" s="33" t="e">
        <f>W8/#REF!</f>
        <v>#REF!</v>
      </c>
      <c r="Z36" s="33" t="e">
        <f>X8/#REF!</f>
        <v>#REF!</v>
      </c>
      <c r="AA36" s="33" t="e">
        <f>Y8/#REF!</f>
        <v>#REF!</v>
      </c>
      <c r="AB36" s="33" t="e">
        <f>Z8/#REF!</f>
        <v>#REF!</v>
      </c>
      <c r="AC36" s="33" t="e">
        <f>AA8/#REF!</f>
        <v>#REF!</v>
      </c>
      <c r="AD36" s="33" t="e">
        <f>AB8/#REF!</f>
        <v>#REF!</v>
      </c>
      <c r="AE36" s="33" t="e">
        <f>AC8/#REF!</f>
        <v>#REF!</v>
      </c>
      <c r="AF36" s="33" t="e">
        <f>AD8/#REF!</f>
        <v>#REF!</v>
      </c>
      <c r="AG36" s="33" t="e">
        <f>AE8/#REF!</f>
        <v>#REF!</v>
      </c>
      <c r="AH36" s="33" t="e">
        <f>AF8/#REF!</f>
        <v>#REF!</v>
      </c>
      <c r="AI36" s="33" t="e">
        <f>AG8/#REF!</f>
        <v>#REF!</v>
      </c>
      <c r="AJ36" s="33" t="e">
        <f>AH8/#REF!</f>
        <v>#REF!</v>
      </c>
      <c r="AK36" s="33" t="e">
        <f>AI8/#REF!</f>
        <v>#REF!</v>
      </c>
      <c r="AL36" s="33" t="e">
        <f>AJ8/#REF!</f>
        <v>#REF!</v>
      </c>
    </row>
    <row r="37" spans="1:38" x14ac:dyDescent="0.25">
      <c r="A37" s="136" t="s">
        <v>38</v>
      </c>
      <c r="B37" s="27" t="s">
        <v>51</v>
      </c>
      <c r="C37" s="33">
        <f>C12/$C12</f>
        <v>1</v>
      </c>
      <c r="D37" s="33">
        <f t="shared" ref="D37:AL39" si="10">D12/$C12</f>
        <v>0.9538461538461539</v>
      </c>
      <c r="E37" s="33">
        <f t="shared" si="10"/>
        <v>0.9076923076923078</v>
      </c>
      <c r="F37" s="33">
        <f t="shared" si="10"/>
        <v>0.86153846153846159</v>
      </c>
      <c r="G37" s="33">
        <f t="shared" si="10"/>
        <v>0.81538461538461549</v>
      </c>
      <c r="H37" s="33">
        <f t="shared" si="10"/>
        <v>0.76923076923076927</v>
      </c>
      <c r="I37" s="33">
        <f t="shared" si="10"/>
        <v>0.76923076923076927</v>
      </c>
      <c r="J37" s="33">
        <f t="shared" si="10"/>
        <v>0.76923076923076927</v>
      </c>
      <c r="K37" s="33">
        <f t="shared" si="10"/>
        <v>0.76923076923076927</v>
      </c>
      <c r="L37" s="33">
        <f t="shared" si="10"/>
        <v>0.76923076923076927</v>
      </c>
      <c r="M37" s="33">
        <f t="shared" si="10"/>
        <v>0.76923076923076927</v>
      </c>
      <c r="N37" s="33">
        <f t="shared" si="10"/>
        <v>0.76923076923076927</v>
      </c>
      <c r="O37" s="33">
        <f t="shared" si="10"/>
        <v>0.76923076923076927</v>
      </c>
      <c r="P37" s="33">
        <f t="shared" si="10"/>
        <v>0.76923076923076927</v>
      </c>
      <c r="Q37" s="33">
        <f t="shared" si="10"/>
        <v>0.76923076923076927</v>
      </c>
      <c r="R37" s="33">
        <f t="shared" si="10"/>
        <v>0.76923076923076927</v>
      </c>
      <c r="S37" s="33">
        <f t="shared" si="10"/>
        <v>0.76923076923076927</v>
      </c>
      <c r="T37" s="33">
        <f t="shared" si="10"/>
        <v>0.76923076923076927</v>
      </c>
      <c r="U37" s="33">
        <f t="shared" si="10"/>
        <v>0.76923076923076927</v>
      </c>
      <c r="V37" s="33">
        <f t="shared" si="10"/>
        <v>0.76923076923076927</v>
      </c>
      <c r="W37" s="33">
        <f t="shared" si="10"/>
        <v>0.76923076923076927</v>
      </c>
      <c r="X37" s="33">
        <f t="shared" si="10"/>
        <v>0.76923076923076927</v>
      </c>
      <c r="Y37" s="33">
        <f t="shared" si="10"/>
        <v>0.76923076923076927</v>
      </c>
      <c r="Z37" s="33">
        <f t="shared" si="10"/>
        <v>0.76923076923076927</v>
      </c>
      <c r="AA37" s="33">
        <f t="shared" si="10"/>
        <v>0.76923076923076927</v>
      </c>
      <c r="AB37" s="33">
        <f t="shared" si="10"/>
        <v>0.76923076923076927</v>
      </c>
      <c r="AC37" s="33">
        <f t="shared" si="10"/>
        <v>0.76923076923076927</v>
      </c>
      <c r="AD37" s="33">
        <f t="shared" si="10"/>
        <v>0.76923076923076927</v>
      </c>
      <c r="AE37" s="33">
        <f t="shared" si="10"/>
        <v>0.76923076923076927</v>
      </c>
      <c r="AF37" s="33">
        <f t="shared" si="10"/>
        <v>0.76923076923076927</v>
      </c>
      <c r="AG37" s="33">
        <f t="shared" si="10"/>
        <v>0.76923076923076927</v>
      </c>
      <c r="AH37" s="33">
        <f t="shared" si="10"/>
        <v>0.76923076923076927</v>
      </c>
      <c r="AI37" s="33">
        <f t="shared" si="10"/>
        <v>0.76923076923076927</v>
      </c>
      <c r="AJ37" s="33">
        <f t="shared" si="10"/>
        <v>0.76923076923076927</v>
      </c>
      <c r="AK37" s="33">
        <f t="shared" si="10"/>
        <v>0.76923076923076927</v>
      </c>
      <c r="AL37" s="33">
        <f t="shared" si="10"/>
        <v>0.76923076923076927</v>
      </c>
    </row>
    <row r="38" spans="1:38" x14ac:dyDescent="0.25">
      <c r="A38" s="136"/>
      <c r="B38" s="28" t="s">
        <v>50</v>
      </c>
      <c r="C38" s="33">
        <f t="shared" ref="C38:R39" si="11">C13/$C13</f>
        <v>1</v>
      </c>
      <c r="D38" s="33">
        <f t="shared" si="11"/>
        <v>0.9538461538461539</v>
      </c>
      <c r="E38" s="33">
        <f t="shared" si="11"/>
        <v>0.9076923076923078</v>
      </c>
      <c r="F38" s="33">
        <f t="shared" si="11"/>
        <v>0.86153846153846159</v>
      </c>
      <c r="G38" s="33">
        <f t="shared" si="11"/>
        <v>0.81538461538461549</v>
      </c>
      <c r="H38" s="33">
        <f t="shared" si="11"/>
        <v>0.76923076923076927</v>
      </c>
      <c r="I38" s="33">
        <f t="shared" si="11"/>
        <v>0.76923076923076927</v>
      </c>
      <c r="J38" s="33">
        <f t="shared" si="11"/>
        <v>0.76923076923076927</v>
      </c>
      <c r="K38" s="33">
        <f t="shared" si="11"/>
        <v>0.76923076923076927</v>
      </c>
      <c r="L38" s="33">
        <f t="shared" si="11"/>
        <v>0.76923076923076927</v>
      </c>
      <c r="M38" s="33">
        <f t="shared" si="11"/>
        <v>0.76923076923076927</v>
      </c>
      <c r="N38" s="33">
        <f t="shared" si="11"/>
        <v>0.76923076923076927</v>
      </c>
      <c r="O38" s="33">
        <f t="shared" si="11"/>
        <v>0.76923076923076927</v>
      </c>
      <c r="P38" s="33">
        <f t="shared" si="11"/>
        <v>0.76923076923076927</v>
      </c>
      <c r="Q38" s="33">
        <f t="shared" si="11"/>
        <v>0.76923076923076927</v>
      </c>
      <c r="R38" s="33">
        <f t="shared" si="11"/>
        <v>0.76923076923076927</v>
      </c>
      <c r="S38" s="33">
        <f t="shared" si="10"/>
        <v>0.76923076923076927</v>
      </c>
      <c r="T38" s="33">
        <f t="shared" si="10"/>
        <v>0.76923076923076927</v>
      </c>
      <c r="U38" s="33">
        <f t="shared" si="10"/>
        <v>0.76923076923076927</v>
      </c>
      <c r="V38" s="33">
        <f t="shared" si="10"/>
        <v>0.76923076923076927</v>
      </c>
      <c r="W38" s="33">
        <f t="shared" si="10"/>
        <v>0.76923076923076927</v>
      </c>
      <c r="X38" s="33">
        <f t="shared" si="10"/>
        <v>0.76923076923076927</v>
      </c>
      <c r="Y38" s="33">
        <f t="shared" si="10"/>
        <v>0.76923076923076927</v>
      </c>
      <c r="Z38" s="33">
        <f t="shared" si="10"/>
        <v>0.76923076923076927</v>
      </c>
      <c r="AA38" s="33">
        <f t="shared" si="10"/>
        <v>0.76923076923076927</v>
      </c>
      <c r="AB38" s="33">
        <f t="shared" si="10"/>
        <v>0.76923076923076927</v>
      </c>
      <c r="AC38" s="33">
        <f t="shared" si="10"/>
        <v>0.76923076923076927</v>
      </c>
      <c r="AD38" s="33">
        <f t="shared" si="10"/>
        <v>0.76923076923076927</v>
      </c>
      <c r="AE38" s="33">
        <f t="shared" si="10"/>
        <v>0.76923076923076927</v>
      </c>
      <c r="AF38" s="33">
        <f t="shared" si="10"/>
        <v>0.76923076923076927</v>
      </c>
      <c r="AG38" s="33">
        <f t="shared" si="10"/>
        <v>0.76923076923076927</v>
      </c>
      <c r="AH38" s="33">
        <f t="shared" si="10"/>
        <v>0.76923076923076927</v>
      </c>
      <c r="AI38" s="33">
        <f t="shared" si="10"/>
        <v>0.76923076923076927</v>
      </c>
      <c r="AJ38" s="33">
        <f t="shared" si="10"/>
        <v>0.76923076923076927</v>
      </c>
      <c r="AK38" s="33">
        <f t="shared" si="10"/>
        <v>0.76923076923076927</v>
      </c>
      <c r="AL38" s="33">
        <f t="shared" si="10"/>
        <v>0.76923076923076927</v>
      </c>
    </row>
    <row r="39" spans="1:38" x14ac:dyDescent="0.25">
      <c r="A39" s="136"/>
      <c r="B39" s="29" t="s">
        <v>49</v>
      </c>
      <c r="C39" s="33">
        <f t="shared" si="11"/>
        <v>1</v>
      </c>
      <c r="D39" s="33">
        <f t="shared" si="10"/>
        <v>1</v>
      </c>
      <c r="E39" s="33">
        <f t="shared" si="10"/>
        <v>1</v>
      </c>
      <c r="F39" s="33">
        <f t="shared" si="10"/>
        <v>1</v>
      </c>
      <c r="G39" s="33">
        <f t="shared" si="10"/>
        <v>1</v>
      </c>
      <c r="H39" s="33">
        <f t="shared" si="10"/>
        <v>1</v>
      </c>
      <c r="I39" s="33">
        <f t="shared" si="10"/>
        <v>1</v>
      </c>
      <c r="J39" s="33">
        <f t="shared" si="10"/>
        <v>1</v>
      </c>
      <c r="K39" s="33">
        <f t="shared" si="10"/>
        <v>1</v>
      </c>
      <c r="L39" s="33">
        <f t="shared" si="10"/>
        <v>1</v>
      </c>
      <c r="M39" s="33">
        <f t="shared" si="10"/>
        <v>1</v>
      </c>
      <c r="N39" s="33">
        <f t="shared" si="10"/>
        <v>1</v>
      </c>
      <c r="O39" s="33">
        <f t="shared" si="10"/>
        <v>1</v>
      </c>
      <c r="P39" s="33">
        <f t="shared" si="10"/>
        <v>1</v>
      </c>
      <c r="Q39" s="33">
        <f t="shared" si="10"/>
        <v>1</v>
      </c>
      <c r="R39" s="33">
        <f t="shared" si="10"/>
        <v>1</v>
      </c>
      <c r="S39" s="33">
        <f t="shared" si="10"/>
        <v>1</v>
      </c>
      <c r="T39" s="33">
        <f t="shared" si="10"/>
        <v>1</v>
      </c>
      <c r="U39" s="33">
        <f t="shared" si="10"/>
        <v>1</v>
      </c>
      <c r="V39" s="33">
        <f t="shared" si="10"/>
        <v>1</v>
      </c>
      <c r="W39" s="33">
        <f t="shared" si="10"/>
        <v>1</v>
      </c>
      <c r="X39" s="33">
        <f t="shared" si="10"/>
        <v>1</v>
      </c>
      <c r="Y39" s="33">
        <f t="shared" si="10"/>
        <v>1</v>
      </c>
      <c r="Z39" s="33">
        <f t="shared" si="10"/>
        <v>1</v>
      </c>
      <c r="AA39" s="33">
        <f t="shared" si="10"/>
        <v>1</v>
      </c>
      <c r="AB39" s="33">
        <f t="shared" si="10"/>
        <v>1</v>
      </c>
      <c r="AC39" s="33">
        <f t="shared" si="10"/>
        <v>1</v>
      </c>
      <c r="AD39" s="33">
        <f t="shared" si="10"/>
        <v>1</v>
      </c>
      <c r="AE39" s="33">
        <f t="shared" si="10"/>
        <v>1</v>
      </c>
      <c r="AF39" s="33">
        <f t="shared" si="10"/>
        <v>1</v>
      </c>
      <c r="AG39" s="33">
        <f t="shared" si="10"/>
        <v>1</v>
      </c>
      <c r="AH39" s="33">
        <f t="shared" si="10"/>
        <v>1</v>
      </c>
      <c r="AI39" s="33">
        <f t="shared" si="10"/>
        <v>1</v>
      </c>
      <c r="AJ39" s="33">
        <f t="shared" si="10"/>
        <v>1</v>
      </c>
      <c r="AK39" s="33">
        <f t="shared" si="10"/>
        <v>1</v>
      </c>
      <c r="AL39" s="33">
        <f t="shared" si="10"/>
        <v>1</v>
      </c>
    </row>
    <row r="40" spans="1:38" x14ac:dyDescent="0.25">
      <c r="A40" s="136" t="s">
        <v>44</v>
      </c>
      <c r="B40" s="27" t="s">
        <v>51</v>
      </c>
      <c r="C40" s="33">
        <f>C22/$C22</f>
        <v>1</v>
      </c>
      <c r="D40" s="33">
        <f t="shared" ref="D40:AL42" si="12">D22/$C22</f>
        <v>0.90383105256632934</v>
      </c>
      <c r="E40" s="33">
        <f t="shared" si="12"/>
        <v>0.8334804978263789</v>
      </c>
      <c r="F40" s="33">
        <f t="shared" si="12"/>
        <v>0.80072309993204893</v>
      </c>
      <c r="G40" s="33">
        <f t="shared" si="12"/>
        <v>0.78338063956673687</v>
      </c>
      <c r="H40" s="33">
        <f t="shared" si="12"/>
        <v>0.76603817920142458</v>
      </c>
      <c r="I40" s="33">
        <f t="shared" si="12"/>
        <v>0.74869571883611252</v>
      </c>
      <c r="J40" s="33">
        <f t="shared" si="12"/>
        <v>0.73135325847080046</v>
      </c>
      <c r="K40" s="33">
        <f t="shared" si="12"/>
        <v>0.71401079810548829</v>
      </c>
      <c r="L40" s="33">
        <f t="shared" si="12"/>
        <v>0.69666833774017622</v>
      </c>
      <c r="M40" s="33">
        <f t="shared" si="12"/>
        <v>0.67932587737486405</v>
      </c>
      <c r="N40" s="33">
        <f t="shared" si="12"/>
        <v>0.66198341700955199</v>
      </c>
      <c r="O40" s="33">
        <f t="shared" si="12"/>
        <v>0.64464095664423993</v>
      </c>
      <c r="P40" s="33">
        <f t="shared" si="12"/>
        <v>0.63095097660041588</v>
      </c>
      <c r="Q40" s="33">
        <f t="shared" si="12"/>
        <v>0.61762086611716793</v>
      </c>
      <c r="R40" s="33">
        <f t="shared" si="12"/>
        <v>0.60794323595540778</v>
      </c>
      <c r="S40" s="33">
        <f t="shared" si="12"/>
        <v>0.59826560579364774</v>
      </c>
      <c r="T40" s="33">
        <f t="shared" si="12"/>
        <v>0.58858797563188758</v>
      </c>
      <c r="U40" s="33">
        <f t="shared" si="12"/>
        <v>0.57891034547012732</v>
      </c>
      <c r="V40" s="33">
        <f t="shared" si="12"/>
        <v>0.56923271530836717</v>
      </c>
      <c r="W40" s="33">
        <f t="shared" si="12"/>
        <v>0.55955508514660712</v>
      </c>
      <c r="X40" s="33">
        <f t="shared" si="12"/>
        <v>0.54987745498484697</v>
      </c>
      <c r="Y40" s="33">
        <f t="shared" si="12"/>
        <v>0.54019982482308693</v>
      </c>
      <c r="Z40" s="33">
        <f t="shared" si="12"/>
        <v>0.53052219466132644</v>
      </c>
      <c r="AA40" s="33">
        <f t="shared" si="12"/>
        <v>0.52090046496077613</v>
      </c>
      <c r="AB40" s="33">
        <f t="shared" si="12"/>
        <v>0.5112787352602256</v>
      </c>
      <c r="AC40" s="33">
        <f t="shared" si="12"/>
        <v>0.50165700555967507</v>
      </c>
      <c r="AD40" s="33">
        <f t="shared" si="12"/>
        <v>0.49203527585912477</v>
      </c>
      <c r="AE40" s="33">
        <f t="shared" si="12"/>
        <v>0.48241354615857435</v>
      </c>
      <c r="AF40" s="33">
        <f t="shared" si="12"/>
        <v>0.47279181645802404</v>
      </c>
      <c r="AG40" s="33">
        <f t="shared" si="12"/>
        <v>0.46317008675747351</v>
      </c>
      <c r="AH40" s="33">
        <f t="shared" si="12"/>
        <v>0.45354835705692315</v>
      </c>
      <c r="AI40" s="33">
        <f t="shared" si="12"/>
        <v>0.44392662735637289</v>
      </c>
      <c r="AJ40" s="33">
        <f t="shared" si="12"/>
        <v>0.43430489765582242</v>
      </c>
      <c r="AK40" s="33">
        <f t="shared" si="12"/>
        <v>0.42468316795527195</v>
      </c>
      <c r="AL40" s="33">
        <f t="shared" si="12"/>
        <v>0.41506143825472153</v>
      </c>
    </row>
    <row r="41" spans="1:38" x14ac:dyDescent="0.25">
      <c r="A41" s="136"/>
      <c r="B41" s="28" t="s">
        <v>50</v>
      </c>
      <c r="C41" s="33">
        <f t="shared" ref="C41:R42" si="13">C23/$C23</f>
        <v>1</v>
      </c>
      <c r="D41" s="33">
        <f t="shared" si="13"/>
        <v>0.95005977500934446</v>
      </c>
      <c r="E41" s="33">
        <f t="shared" si="13"/>
        <v>0.91502285774216408</v>
      </c>
      <c r="F41" s="33">
        <f t="shared" si="13"/>
        <v>0.88538231146174273</v>
      </c>
      <c r="G41" s="33">
        <f t="shared" si="13"/>
        <v>0.86981303145976396</v>
      </c>
      <c r="H41" s="33">
        <f t="shared" si="13"/>
        <v>0.86101548024570596</v>
      </c>
      <c r="I41" s="33">
        <f t="shared" si="13"/>
        <v>0.85221792903164828</v>
      </c>
      <c r="J41" s="33">
        <f t="shared" si="13"/>
        <v>0.84342037781759016</v>
      </c>
      <c r="K41" s="33">
        <f t="shared" si="13"/>
        <v>0.83462282660353226</v>
      </c>
      <c r="L41" s="33">
        <f t="shared" si="13"/>
        <v>0.82582527538947448</v>
      </c>
      <c r="M41" s="33">
        <f t="shared" si="13"/>
        <v>0.81702772417541669</v>
      </c>
      <c r="N41" s="33">
        <f t="shared" si="13"/>
        <v>0.80823017296135879</v>
      </c>
      <c r="O41" s="33">
        <f t="shared" si="13"/>
        <v>0.79943262174730079</v>
      </c>
      <c r="P41" s="33">
        <f t="shared" si="13"/>
        <v>0.790635070533243</v>
      </c>
      <c r="Q41" s="33">
        <f t="shared" si="13"/>
        <v>0.78344774578871346</v>
      </c>
      <c r="R41" s="33">
        <f t="shared" si="13"/>
        <v>0.77626042104418413</v>
      </c>
      <c r="S41" s="33">
        <f t="shared" si="12"/>
        <v>0.76907309629965492</v>
      </c>
      <c r="T41" s="33">
        <f t="shared" si="12"/>
        <v>0.7618857715551256</v>
      </c>
      <c r="U41" s="33">
        <f t="shared" si="12"/>
        <v>0.75469844681059628</v>
      </c>
      <c r="V41" s="33">
        <f t="shared" si="12"/>
        <v>0.74751112206606674</v>
      </c>
      <c r="W41" s="33">
        <f t="shared" si="12"/>
        <v>0.7403237973215373</v>
      </c>
      <c r="X41" s="33">
        <f t="shared" si="12"/>
        <v>0.73313647257700798</v>
      </c>
      <c r="Y41" s="33">
        <f t="shared" si="12"/>
        <v>0.72594914783247855</v>
      </c>
      <c r="Z41" s="33">
        <f t="shared" si="12"/>
        <v>0.71876182308794934</v>
      </c>
      <c r="AA41" s="33">
        <f t="shared" si="12"/>
        <v>0.71221317269657336</v>
      </c>
      <c r="AB41" s="33">
        <f t="shared" si="12"/>
        <v>0.70566452230519738</v>
      </c>
      <c r="AC41" s="33">
        <f t="shared" si="12"/>
        <v>0.6991158719138213</v>
      </c>
      <c r="AD41" s="33">
        <f t="shared" si="12"/>
        <v>0.69256722152244532</v>
      </c>
      <c r="AE41" s="33">
        <f t="shared" si="12"/>
        <v>0.68601857113106934</v>
      </c>
      <c r="AF41" s="33">
        <f t="shared" si="12"/>
        <v>0.67946992073969337</v>
      </c>
      <c r="AG41" s="33">
        <f t="shared" si="12"/>
        <v>0.67292127034831728</v>
      </c>
      <c r="AH41" s="33">
        <f t="shared" si="12"/>
        <v>0.66637261995694141</v>
      </c>
      <c r="AI41" s="33">
        <f t="shared" si="12"/>
        <v>0.65982396956556533</v>
      </c>
      <c r="AJ41" s="33">
        <f t="shared" si="12"/>
        <v>0.65327531917418913</v>
      </c>
      <c r="AK41" s="33">
        <f t="shared" si="12"/>
        <v>0.64672666878281293</v>
      </c>
      <c r="AL41" s="33">
        <f t="shared" si="12"/>
        <v>0.64017801839143662</v>
      </c>
    </row>
    <row r="42" spans="1:38" x14ac:dyDescent="0.25">
      <c r="A42" s="136"/>
      <c r="B42" s="29" t="s">
        <v>49</v>
      </c>
      <c r="C42" s="33">
        <f t="shared" si="13"/>
        <v>1</v>
      </c>
      <c r="D42" s="33">
        <f t="shared" si="12"/>
        <v>1</v>
      </c>
      <c r="E42" s="33">
        <f t="shared" si="12"/>
        <v>1</v>
      </c>
      <c r="F42" s="33">
        <f t="shared" si="12"/>
        <v>1</v>
      </c>
      <c r="G42" s="33">
        <f t="shared" si="12"/>
        <v>1</v>
      </c>
      <c r="H42" s="33">
        <f t="shared" si="12"/>
        <v>0.98867726118279342</v>
      </c>
      <c r="I42" s="33">
        <f t="shared" si="12"/>
        <v>0.97788731345235191</v>
      </c>
      <c r="J42" s="33">
        <f t="shared" si="12"/>
        <v>0.96887478333759158</v>
      </c>
      <c r="K42" s="33">
        <f t="shared" si="12"/>
        <v>0.96025863982955595</v>
      </c>
      <c r="L42" s="33">
        <f t="shared" si="12"/>
        <v>0.95199022665994282</v>
      </c>
      <c r="M42" s="33">
        <f t="shared" si="12"/>
        <v>0.94285209954714899</v>
      </c>
      <c r="N42" s="33">
        <f t="shared" si="12"/>
        <v>0.93431090752636181</v>
      </c>
      <c r="O42" s="33">
        <f t="shared" si="12"/>
        <v>0.9251639131016044</v>
      </c>
      <c r="P42" s="33">
        <f t="shared" si="12"/>
        <v>0.9165037365500146</v>
      </c>
      <c r="Q42" s="33">
        <f t="shared" si="12"/>
        <v>0.90826306320653638</v>
      </c>
      <c r="R42" s="33">
        <f t="shared" si="12"/>
        <v>0.89702693791150478</v>
      </c>
      <c r="S42" s="33">
        <f t="shared" si="12"/>
        <v>0.89283202723825861</v>
      </c>
      <c r="T42" s="33">
        <f t="shared" si="12"/>
        <v>0.88555982846876358</v>
      </c>
      <c r="U42" s="33">
        <f t="shared" si="12"/>
        <v>0.87853965709467929</v>
      </c>
      <c r="V42" s="33">
        <f t="shared" si="12"/>
        <v>0.8717451393664678</v>
      </c>
      <c r="W42" s="33">
        <f t="shared" si="12"/>
        <v>0.86456744841958977</v>
      </c>
      <c r="X42" s="33">
        <f t="shared" si="12"/>
        <v>0.85904770888734061</v>
      </c>
      <c r="Y42" s="33">
        <f t="shared" si="12"/>
        <v>0.85310862994594261</v>
      </c>
      <c r="Z42" s="33">
        <f t="shared" si="12"/>
        <v>0.847321881178554</v>
      </c>
      <c r="AA42" s="33">
        <f t="shared" si="12"/>
        <v>0.84167463001063858</v>
      </c>
      <c r="AB42" s="33">
        <f t="shared" si="12"/>
        <v>0.83615556540262981</v>
      </c>
      <c r="AC42" s="33">
        <f t="shared" si="12"/>
        <v>0.83075466886904958</v>
      </c>
      <c r="AD42" s="33">
        <f t="shared" si="12"/>
        <v>0.8254630267731462</v>
      </c>
      <c r="AE42" s="33">
        <f t="shared" si="12"/>
        <v>0.82027267530884507</v>
      </c>
      <c r="AF42" s="33">
        <f t="shared" si="12"/>
        <v>0.81517647159244488</v>
      </c>
      <c r="AG42" s="33">
        <f t="shared" si="12"/>
        <v>0.81205945071208052</v>
      </c>
      <c r="AH42" s="33">
        <f t="shared" si="12"/>
        <v>0.80824068724244347</v>
      </c>
      <c r="AI42" s="33">
        <f t="shared" si="12"/>
        <v>0.80442192377280664</v>
      </c>
      <c r="AJ42" s="33">
        <f t="shared" si="12"/>
        <v>0.80060316030316958</v>
      </c>
      <c r="AK42" s="33">
        <f t="shared" si="12"/>
        <v>0.79678439683353242</v>
      </c>
      <c r="AL42" s="33">
        <f t="shared" si="12"/>
        <v>0.79296563336389547</v>
      </c>
    </row>
    <row r="44" spans="1:38" x14ac:dyDescent="0.25">
      <c r="B44" t="s">
        <v>66</v>
      </c>
    </row>
    <row r="45" spans="1:38" x14ac:dyDescent="0.25">
      <c r="B45" t="s">
        <v>65</v>
      </c>
    </row>
    <row r="50" spans="19:23" x14ac:dyDescent="0.25">
      <c r="S50" s="89"/>
      <c r="T50" s="89"/>
      <c r="U50" s="89" t="s">
        <v>112</v>
      </c>
      <c r="V50" s="89"/>
      <c r="W50" s="89"/>
    </row>
    <row r="51" spans="19:23" x14ac:dyDescent="0.25">
      <c r="U51" s="89" t="s">
        <v>111</v>
      </c>
    </row>
  </sheetData>
  <mergeCells count="4">
    <mergeCell ref="A31:A33"/>
    <mergeCell ref="A34:A36"/>
    <mergeCell ref="A37:A39"/>
    <mergeCell ref="A40:A42"/>
  </mergeCells>
  <hyperlinks>
    <hyperlink ref="AN12" r:id="rId1" xr:uid="{00000000-0004-0000-0200-000000000000}"/>
    <hyperlink ref="AN10" r:id="rId2" xr:uid="{00000000-0004-0000-0200-000001000000}"/>
    <hyperlink ref="AN14" r:id="rId3" xr:uid="{00000000-0004-0000-0200-000002000000}"/>
    <hyperlink ref="AN8" r:id="rId4" display="https://www.eia.gov/todayinenergy/detail.php?id=30912" xr:uid="{00000000-0004-0000-0200-000003000000}"/>
    <hyperlink ref="AN18" r:id="rId5" xr:uid="{00000000-0004-0000-0200-000004000000}"/>
    <hyperlink ref="AN21" r:id="rId6" xr:uid="{00000000-0004-0000-0200-000005000000}"/>
  </hyperlinks>
  <pageMargins left="0.7" right="0.7" top="0.75" bottom="0.75" header="0.3" footer="0.3"/>
  <drawing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0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x14ac:dyDescent="0.25"/>
  <cols>
    <col min="1" max="1" width="20" customWidth="1"/>
    <col min="2" max="2" width="20.5703125" customWidth="1"/>
    <col min="3" max="3" width="10.42578125" style="30" customWidth="1"/>
    <col min="4" max="38" width="9.140625" style="30"/>
  </cols>
  <sheetData>
    <row r="1" spans="1:42" ht="18.75" x14ac:dyDescent="0.3">
      <c r="B1" s="135" t="s">
        <v>201</v>
      </c>
    </row>
    <row r="2" spans="1:42" x14ac:dyDescent="0.25">
      <c r="A2" s="56" t="s">
        <v>47</v>
      </c>
      <c r="C2" s="50">
        <v>2015</v>
      </c>
      <c r="D2" s="50">
        <v>2016</v>
      </c>
      <c r="E2" s="50">
        <v>2017</v>
      </c>
      <c r="F2" s="50">
        <v>2018</v>
      </c>
      <c r="G2" s="50">
        <v>2019</v>
      </c>
      <c r="H2" s="50">
        <v>2020</v>
      </c>
      <c r="I2" s="50">
        <v>2021</v>
      </c>
      <c r="J2" s="50">
        <v>2022</v>
      </c>
      <c r="K2" s="50">
        <v>2023</v>
      </c>
      <c r="L2" s="50">
        <v>2024</v>
      </c>
      <c r="M2" s="50">
        <v>2025</v>
      </c>
      <c r="N2" s="50">
        <v>2026</v>
      </c>
      <c r="O2" s="50">
        <v>2027</v>
      </c>
      <c r="P2" s="50">
        <v>2028</v>
      </c>
      <c r="Q2" s="50">
        <v>2029</v>
      </c>
      <c r="R2" s="50">
        <v>2030</v>
      </c>
      <c r="S2" s="50">
        <v>2031</v>
      </c>
      <c r="T2" s="50">
        <v>2032</v>
      </c>
      <c r="U2" s="50">
        <v>2033</v>
      </c>
      <c r="V2" s="50">
        <v>2034</v>
      </c>
      <c r="W2" s="50">
        <v>2035</v>
      </c>
      <c r="X2" s="50">
        <v>2036</v>
      </c>
      <c r="Y2" s="50">
        <v>2037</v>
      </c>
      <c r="Z2" s="50">
        <v>2038</v>
      </c>
      <c r="AA2" s="50">
        <v>2039</v>
      </c>
      <c r="AB2" s="50">
        <v>2040</v>
      </c>
      <c r="AC2" s="50">
        <v>2041</v>
      </c>
      <c r="AD2" s="50">
        <v>2042</v>
      </c>
      <c r="AE2" s="50">
        <v>2043</v>
      </c>
      <c r="AF2" s="50">
        <v>2044</v>
      </c>
      <c r="AG2" s="50">
        <v>2045</v>
      </c>
      <c r="AH2" s="50">
        <v>2046</v>
      </c>
      <c r="AI2" s="50">
        <v>2047</v>
      </c>
      <c r="AJ2" s="50">
        <v>2048</v>
      </c>
      <c r="AK2" s="50">
        <v>2049</v>
      </c>
      <c r="AL2" s="50">
        <v>2050</v>
      </c>
    </row>
    <row r="3" spans="1:42" x14ac:dyDescent="0.25">
      <c r="A3" s="27" t="s">
        <v>30</v>
      </c>
      <c r="B3" s="27" t="s">
        <v>33</v>
      </c>
      <c r="C3" s="62">
        <v>0.36366571999053598</v>
      </c>
      <c r="D3" s="60">
        <v>0.37040828270118153</v>
      </c>
      <c r="E3" s="60">
        <v>0.3769585430316934</v>
      </c>
      <c r="F3" s="60">
        <v>0.3833164990801799</v>
      </c>
      <c r="G3" s="60">
        <v>0.38948215084654902</v>
      </c>
      <c r="H3" s="60">
        <v>0.39545549833075472</v>
      </c>
      <c r="I3" s="60">
        <v>0.40123654153298111</v>
      </c>
      <c r="J3" s="60">
        <v>0.40682528045309013</v>
      </c>
      <c r="K3" s="60">
        <v>0.41222171509103567</v>
      </c>
      <c r="L3" s="60">
        <v>0.4174258454470019</v>
      </c>
      <c r="M3" s="60">
        <v>0.42243767152085071</v>
      </c>
      <c r="N3" s="60">
        <v>0.4272571933125362</v>
      </c>
      <c r="O3" s="60">
        <v>0.43188441082224227</v>
      </c>
      <c r="P3" s="60">
        <v>0.43631932404983098</v>
      </c>
      <c r="Q3" s="60">
        <v>0.44056193299525626</v>
      </c>
      <c r="R3" s="60">
        <v>0.44461223765865621</v>
      </c>
      <c r="S3" s="60">
        <v>0.44847023803998476</v>
      </c>
      <c r="T3" s="60">
        <v>0.45213593413914993</v>
      </c>
      <c r="U3" s="60">
        <v>0.4556093259563358</v>
      </c>
      <c r="V3" s="60">
        <v>0.45889041349135817</v>
      </c>
      <c r="W3" s="60">
        <v>0.46197919674426324</v>
      </c>
      <c r="X3" s="60">
        <v>0.46487567571514288</v>
      </c>
      <c r="Y3" s="60">
        <v>0.46757985040395111</v>
      </c>
      <c r="Z3" s="60">
        <v>0.47009172081059608</v>
      </c>
      <c r="AA3" s="60">
        <v>0.47241128693521556</v>
      </c>
      <c r="AB3" s="60">
        <v>0.47453854877771773</v>
      </c>
      <c r="AC3" s="60">
        <v>0.47647350633810248</v>
      </c>
      <c r="AD3" s="60">
        <v>0.47821615961646186</v>
      </c>
      <c r="AE3" s="60">
        <v>0.47976650861270387</v>
      </c>
      <c r="AF3" s="60">
        <v>0.48112455332682846</v>
      </c>
      <c r="AG3" s="60">
        <v>0.48229029375892768</v>
      </c>
      <c r="AH3" s="60">
        <v>0.48326372990890959</v>
      </c>
      <c r="AI3" s="60">
        <v>0.48404486177672806</v>
      </c>
      <c r="AJ3" s="60">
        <v>0.48463368936256712</v>
      </c>
      <c r="AK3" s="60">
        <v>0.48503021266628887</v>
      </c>
      <c r="AL3">
        <v>0.48523443168784725</v>
      </c>
      <c r="AM3">
        <v>0.48523443168784725</v>
      </c>
    </row>
    <row r="4" spans="1:42" x14ac:dyDescent="0.25">
      <c r="A4" s="28"/>
      <c r="B4" s="28" t="s">
        <v>34</v>
      </c>
      <c r="C4" s="62">
        <v>0.36</v>
      </c>
      <c r="D4" s="62">
        <v>0.36</v>
      </c>
      <c r="E4" s="62">
        <v>0.36</v>
      </c>
      <c r="F4" s="62">
        <v>0.36</v>
      </c>
      <c r="G4" s="62">
        <v>0.36</v>
      </c>
      <c r="H4" s="62">
        <v>0.36366571999053598</v>
      </c>
      <c r="I4" s="62">
        <v>0.36651948085480524</v>
      </c>
      <c r="J4" s="62">
        <v>0.36931979154494637</v>
      </c>
      <c r="K4" s="62">
        <v>0.37206665152762364</v>
      </c>
      <c r="L4" s="62">
        <v>0.37476006080291246</v>
      </c>
      <c r="M4" s="62">
        <v>0.37740001937077522</v>
      </c>
      <c r="N4" s="62">
        <v>0.37998652723121179</v>
      </c>
      <c r="O4" s="62">
        <v>0.38251958438422223</v>
      </c>
      <c r="P4" s="62">
        <v>0.38499919082976874</v>
      </c>
      <c r="Q4" s="62">
        <v>0.38742534656790806</v>
      </c>
      <c r="R4" s="62">
        <v>0.38979805159864001</v>
      </c>
      <c r="S4" s="62">
        <v>0.39211730592192701</v>
      </c>
      <c r="T4" s="62">
        <v>0.39438310953780675</v>
      </c>
      <c r="U4" s="62">
        <v>0.39659546244624144</v>
      </c>
      <c r="V4" s="62">
        <v>0.3987543646472122</v>
      </c>
      <c r="W4" s="62">
        <v>0.40085981614081351</v>
      </c>
      <c r="X4" s="62">
        <v>0.40291181692696976</v>
      </c>
      <c r="Y4" s="62">
        <v>0.40491036700569988</v>
      </c>
      <c r="Z4" s="62">
        <v>0.40685546637700387</v>
      </c>
      <c r="AA4" s="62">
        <v>0.40874711504088174</v>
      </c>
      <c r="AB4" s="62">
        <v>0.4105853129972768</v>
      </c>
      <c r="AC4" s="62">
        <v>0.41237006024630235</v>
      </c>
      <c r="AD4" s="62">
        <v>0.41410135678790178</v>
      </c>
      <c r="AE4" s="62">
        <v>0.41577920262205614</v>
      </c>
      <c r="AF4" s="62">
        <v>0.41740359774880326</v>
      </c>
      <c r="AG4" s="62">
        <v>0.41897454216806762</v>
      </c>
      <c r="AH4" s="62">
        <v>0.4204920358799436</v>
      </c>
      <c r="AI4" s="62">
        <v>0.4219560788843934</v>
      </c>
      <c r="AJ4" s="62">
        <v>0.42336667118143595</v>
      </c>
      <c r="AK4" s="62">
        <v>0.42472381277103349</v>
      </c>
      <c r="AL4" s="62">
        <v>0.42602750365320485</v>
      </c>
      <c r="AM4" s="62">
        <v>0.42727774382789346</v>
      </c>
      <c r="AN4" s="62">
        <v>0.42847453329521257</v>
      </c>
      <c r="AO4" s="62">
        <v>0.42961787205510554</v>
      </c>
      <c r="AP4" s="62">
        <v>0.43070776010757239</v>
      </c>
    </row>
    <row r="5" spans="1:42" x14ac:dyDescent="0.25">
      <c r="A5" s="29"/>
      <c r="B5" s="29" t="s">
        <v>35</v>
      </c>
      <c r="C5" s="64">
        <v>0.36</v>
      </c>
      <c r="D5" s="64">
        <v>0.36</v>
      </c>
      <c r="E5" s="64">
        <v>0.36</v>
      </c>
      <c r="F5" s="64">
        <v>0.36</v>
      </c>
      <c r="G5" s="64">
        <v>0.36</v>
      </c>
      <c r="H5" s="64">
        <v>0.36</v>
      </c>
      <c r="I5" s="64">
        <v>0.36</v>
      </c>
      <c r="J5" s="64">
        <v>0.36</v>
      </c>
      <c r="K5" s="64">
        <v>0.36</v>
      </c>
      <c r="L5" s="64">
        <v>0.36</v>
      </c>
      <c r="M5" s="64">
        <v>0.36</v>
      </c>
      <c r="N5" s="64">
        <v>0.36</v>
      </c>
      <c r="O5" s="64">
        <v>0.36</v>
      </c>
      <c r="P5" s="64">
        <v>0.36</v>
      </c>
      <c r="Q5" s="64">
        <v>0.36</v>
      </c>
      <c r="R5" s="64">
        <v>0.36</v>
      </c>
      <c r="S5" s="64">
        <v>0.36</v>
      </c>
      <c r="T5" s="64">
        <v>0.36</v>
      </c>
      <c r="U5" s="64">
        <v>0.36</v>
      </c>
      <c r="V5" s="64">
        <v>0.36</v>
      </c>
      <c r="W5" s="64">
        <v>0.36</v>
      </c>
      <c r="X5" s="64">
        <v>0.36</v>
      </c>
      <c r="Y5" s="64">
        <v>0.36</v>
      </c>
      <c r="Z5" s="64">
        <v>0.36</v>
      </c>
      <c r="AA5" s="64">
        <v>0.36</v>
      </c>
      <c r="AB5" s="64">
        <v>0.36</v>
      </c>
      <c r="AC5" s="64">
        <v>0.36</v>
      </c>
      <c r="AD5" s="64">
        <v>0.36</v>
      </c>
      <c r="AE5" s="64">
        <v>0.36</v>
      </c>
      <c r="AF5" s="64">
        <v>0.36</v>
      </c>
      <c r="AG5" s="64">
        <v>0.36</v>
      </c>
      <c r="AH5" s="64">
        <v>0.36</v>
      </c>
      <c r="AI5" s="64">
        <v>0.36</v>
      </c>
      <c r="AJ5" s="64">
        <v>0.36</v>
      </c>
      <c r="AK5" s="64">
        <v>0.36</v>
      </c>
      <c r="AL5" s="64">
        <v>0.36</v>
      </c>
      <c r="AM5" s="23"/>
    </row>
    <row r="6" spans="1:42" x14ac:dyDescent="0.25">
      <c r="A6" s="27" t="s">
        <v>31</v>
      </c>
      <c r="B6" s="27" t="s">
        <v>33</v>
      </c>
      <c r="C6" s="36">
        <v>1607.7892405902801</v>
      </c>
      <c r="D6" s="36">
        <v>1525.1577284542461</v>
      </c>
      <c r="E6" s="36">
        <v>1514.0207073817903</v>
      </c>
      <c r="F6" s="36">
        <v>1497.0800859905792</v>
      </c>
      <c r="G6" s="36">
        <v>1474.5208377228651</v>
      </c>
      <c r="H6" s="36">
        <v>1446.5279360213385</v>
      </c>
      <c r="I6" s="36">
        <v>1438.2177752974997</v>
      </c>
      <c r="J6" s="36">
        <v>1426.0240326224766</v>
      </c>
      <c r="K6" s="36">
        <v>1409.9033479693628</v>
      </c>
      <c r="L6" s="36">
        <v>1389.9889023516357</v>
      </c>
      <c r="M6" s="36">
        <v>1366.4138767804961</v>
      </c>
      <c r="N6" s="36">
        <v>1339.3114522678538</v>
      </c>
      <c r="O6" s="36">
        <v>1308.8148098270569</v>
      </c>
      <c r="P6" s="36">
        <v>1275.0571304694029</v>
      </c>
      <c r="Q6" s="36">
        <v>1238.1715952068539</v>
      </c>
      <c r="R6" s="36">
        <v>1198.2913850523362</v>
      </c>
      <c r="S6" s="36">
        <v>1210.0733130526876</v>
      </c>
      <c r="T6" s="36">
        <v>1220.5020523823782</v>
      </c>
      <c r="U6" s="36">
        <v>1229.602574482175</v>
      </c>
      <c r="V6" s="36">
        <v>1237.3998507908752</v>
      </c>
      <c r="W6" s="36">
        <v>1243.9188527485167</v>
      </c>
      <c r="X6" s="36">
        <v>1249.1845517953584</v>
      </c>
      <c r="Y6" s="36">
        <v>1253.2219193709416</v>
      </c>
      <c r="Z6" s="36">
        <v>1256.0559269145851</v>
      </c>
      <c r="AA6" s="36">
        <v>1257.7115458667702</v>
      </c>
      <c r="AB6" s="36">
        <v>1258.2137476668165</v>
      </c>
      <c r="AC6" s="36">
        <v>1257.5875037545131</v>
      </c>
      <c r="AD6" s="36">
        <v>1255.8577855700937</v>
      </c>
      <c r="AE6" s="36">
        <v>1253.0495645528965</v>
      </c>
      <c r="AF6" s="36">
        <v>1249.1878121426967</v>
      </c>
      <c r="AG6" s="36">
        <v>1244.2974997797228</v>
      </c>
      <c r="AH6" s="36">
        <v>1238.40359890332</v>
      </c>
      <c r="AI6" s="36">
        <v>1231.5310809530602</v>
      </c>
      <c r="AJ6" s="36">
        <v>1223.7049173695848</v>
      </c>
      <c r="AK6" s="36">
        <v>1214.9500795920337</v>
      </c>
      <c r="AL6" s="37">
        <v>1205.2915390599862</v>
      </c>
      <c r="AM6" s="23"/>
    </row>
    <row r="7" spans="1:42" x14ac:dyDescent="0.25">
      <c r="A7" s="28" t="s">
        <v>41</v>
      </c>
      <c r="B7" s="28" t="s">
        <v>34</v>
      </c>
      <c r="C7" s="38">
        <v>1607.7892405902801</v>
      </c>
      <c r="D7" s="38">
        <v>1566.5691663781283</v>
      </c>
      <c r="E7" s="38">
        <v>1562.9722235911784</v>
      </c>
      <c r="F7" s="38">
        <v>1557.681864928853</v>
      </c>
      <c r="G7" s="38">
        <v>1550.7298470009116</v>
      </c>
      <c r="H7" s="38">
        <v>1542.1479264159123</v>
      </c>
      <c r="I7" s="38">
        <v>1540.1151947071708</v>
      </c>
      <c r="J7" s="38">
        <v>1536.7080460573454</v>
      </c>
      <c r="K7" s="38">
        <v>1531.952160781042</v>
      </c>
      <c r="L7" s="38">
        <v>1525.8732191942854</v>
      </c>
      <c r="M7" s="38">
        <v>1518.4969016125031</v>
      </c>
      <c r="N7" s="38">
        <v>1509.8488883507898</v>
      </c>
      <c r="O7" s="38">
        <v>1499.9548597249466</v>
      </c>
      <c r="P7" s="38">
        <v>1488.840496050052</v>
      </c>
      <c r="Q7" s="38">
        <v>1476.5314776414079</v>
      </c>
      <c r="R7" s="38">
        <v>1463.0534848153138</v>
      </c>
      <c r="S7" s="38">
        <v>1470.5009006604109</v>
      </c>
      <c r="T7" s="38">
        <v>1477.2014426885901</v>
      </c>
      <c r="U7" s="38">
        <v>1483.1659181976138</v>
      </c>
      <c r="V7" s="38">
        <v>1488.4051344853294</v>
      </c>
      <c r="W7" s="38">
        <v>1492.9298988490818</v>
      </c>
      <c r="X7" s="38">
        <v>1496.7510185876965</v>
      </c>
      <c r="Y7" s="38">
        <v>1499.8793009985138</v>
      </c>
      <c r="Z7" s="38">
        <v>1502.3255533792246</v>
      </c>
      <c r="AA7" s="38">
        <v>1504.1005830279762</v>
      </c>
      <c r="AB7" s="38">
        <v>1505.2151972419872</v>
      </c>
      <c r="AC7" s="38">
        <v>1505.680203319886</v>
      </c>
      <c r="AD7" s="38">
        <v>1505.5064085591878</v>
      </c>
      <c r="AE7" s="38">
        <v>1504.7046202578949</v>
      </c>
      <c r="AF7" s="38">
        <v>1503.285645713531</v>
      </c>
      <c r="AG7" s="38">
        <v>1501.2602922240999</v>
      </c>
      <c r="AH7" s="38">
        <v>1498.6393670869859</v>
      </c>
      <c r="AI7" s="38">
        <v>1495.4336776009322</v>
      </c>
      <c r="AJ7" s="38">
        <v>1491.6540310633206</v>
      </c>
      <c r="AK7" s="38">
        <v>1487.311234771995</v>
      </c>
      <c r="AL7" s="39">
        <v>1482.4160960246579</v>
      </c>
      <c r="AM7" s="23"/>
    </row>
    <row r="8" spans="1:42" ht="16.5" customHeight="1" x14ac:dyDescent="0.25">
      <c r="A8" s="29" t="s">
        <v>103</v>
      </c>
      <c r="B8" s="29" t="s">
        <v>35</v>
      </c>
      <c r="C8" s="40">
        <v>1607.7892405902801</v>
      </c>
      <c r="D8" s="40">
        <v>1607.7892405902801</v>
      </c>
      <c r="E8" s="40">
        <v>1607.7892405902801</v>
      </c>
      <c r="F8" s="40">
        <v>1607.7892405902801</v>
      </c>
      <c r="G8" s="40">
        <v>1607.7892405902801</v>
      </c>
      <c r="H8" s="40">
        <v>1607.7892405902801</v>
      </c>
      <c r="I8" s="40">
        <v>1607.7892405902801</v>
      </c>
      <c r="J8" s="40">
        <v>1607.7892405902801</v>
      </c>
      <c r="K8" s="40">
        <v>1607.7892405902801</v>
      </c>
      <c r="L8" s="40">
        <v>1607.7892405902801</v>
      </c>
      <c r="M8" s="40">
        <v>1607.7892405902801</v>
      </c>
      <c r="N8" s="40">
        <v>1607.7892405902801</v>
      </c>
      <c r="O8" s="40">
        <v>1607.7892405902801</v>
      </c>
      <c r="P8" s="40">
        <v>1607.7892405902801</v>
      </c>
      <c r="Q8" s="40">
        <v>1607.7892405902801</v>
      </c>
      <c r="R8" s="40">
        <v>1607.7892405902801</v>
      </c>
      <c r="S8" s="40">
        <v>1607.7892405902801</v>
      </c>
      <c r="T8" s="40">
        <v>1607.7892405902801</v>
      </c>
      <c r="U8" s="40">
        <v>1607.7892405902801</v>
      </c>
      <c r="V8" s="40">
        <v>1607.7892405902801</v>
      </c>
      <c r="W8" s="40">
        <v>1607.7892405902801</v>
      </c>
      <c r="X8" s="40">
        <v>1607.7892405902801</v>
      </c>
      <c r="Y8" s="40">
        <v>1607.7892405902801</v>
      </c>
      <c r="Z8" s="40">
        <v>1607.7892405902801</v>
      </c>
      <c r="AA8" s="40">
        <v>1607.7892405902801</v>
      </c>
      <c r="AB8" s="40">
        <v>1607.7892405902801</v>
      </c>
      <c r="AC8" s="40">
        <v>1607.7892405902801</v>
      </c>
      <c r="AD8" s="40">
        <v>1607.7892405902801</v>
      </c>
      <c r="AE8" s="40">
        <v>1607.7892405902801</v>
      </c>
      <c r="AF8" s="40">
        <v>1607.7892405902801</v>
      </c>
      <c r="AG8" s="40">
        <v>1607.7892405902801</v>
      </c>
      <c r="AH8" s="40">
        <v>1607.7892405902801</v>
      </c>
      <c r="AI8" s="40">
        <v>1607.7892405902801</v>
      </c>
      <c r="AJ8" s="40">
        <v>1607.7892405902801</v>
      </c>
      <c r="AK8" s="40">
        <v>1607.7892405902801</v>
      </c>
      <c r="AL8" s="41">
        <v>1607.7892405902801</v>
      </c>
      <c r="AM8" s="23"/>
    </row>
    <row r="9" spans="1:42" ht="16.5" customHeight="1" x14ac:dyDescent="0.25">
      <c r="A9" s="27" t="s">
        <v>32</v>
      </c>
      <c r="B9" s="27" t="s">
        <v>33</v>
      </c>
      <c r="C9" s="36">
        <v>12500</v>
      </c>
      <c r="D9" s="36">
        <v>12500</v>
      </c>
      <c r="E9" s="36">
        <v>12500</v>
      </c>
      <c r="F9" s="36">
        <v>12500</v>
      </c>
      <c r="G9" s="36">
        <v>12500</v>
      </c>
      <c r="H9" s="36">
        <v>12500</v>
      </c>
      <c r="I9" s="36">
        <f>H9*I6/H6</f>
        <v>12428.188729397305</v>
      </c>
      <c r="J9" s="36">
        <v>12344.0978</v>
      </c>
      <c r="K9" s="36">
        <v>12266.8773</v>
      </c>
      <c r="L9" s="36">
        <v>12190.14</v>
      </c>
      <c r="M9" s="36">
        <v>12113.882600000001</v>
      </c>
      <c r="N9" s="36">
        <v>12038.1023</v>
      </c>
      <c r="O9" s="36">
        <v>11962.7961</v>
      </c>
      <c r="P9" s="36">
        <v>11887.960999999999</v>
      </c>
      <c r="Q9" s="36">
        <v>11813.593999999999</v>
      </c>
      <c r="R9" s="36">
        <v>11739.6922</v>
      </c>
      <c r="S9" s="36">
        <v>11666.252699999999</v>
      </c>
      <c r="T9" s="36">
        <v>11593.2726</v>
      </c>
      <c r="U9" s="36">
        <v>11520.749100000001</v>
      </c>
      <c r="V9" s="36">
        <v>11448.6793</v>
      </c>
      <c r="W9" s="36">
        <v>11377.060299999999</v>
      </c>
      <c r="X9" s="36">
        <v>11305.889300000001</v>
      </c>
      <c r="Y9" s="36">
        <v>11235.163500000001</v>
      </c>
      <c r="Z9" s="36">
        <v>11164.8802</v>
      </c>
      <c r="AA9" s="36">
        <v>11095.0365</v>
      </c>
      <c r="AB9" s="36">
        <v>11026</v>
      </c>
      <c r="AC9" s="36">
        <v>10956.988300000001</v>
      </c>
      <c r="AD9" s="36">
        <v>10888.408600000001</v>
      </c>
      <c r="AE9" s="36">
        <v>10820.2582</v>
      </c>
      <c r="AF9" s="36">
        <v>10752.5342</v>
      </c>
      <c r="AG9" s="36">
        <v>10685.234200000001</v>
      </c>
      <c r="AH9" s="36">
        <v>10618.3554</v>
      </c>
      <c r="AI9" s="36">
        <v>10551.895200000001</v>
      </c>
      <c r="AJ9" s="36">
        <v>10485.851000000001</v>
      </c>
      <c r="AK9" s="36">
        <v>10420.2201</v>
      </c>
      <c r="AL9" s="36">
        <v>10355</v>
      </c>
      <c r="AM9" s="23">
        <f>AL9/H9</f>
        <v>0.82840000000000003</v>
      </c>
    </row>
    <row r="10" spans="1:42" ht="16.5" customHeight="1" x14ac:dyDescent="0.25">
      <c r="A10" s="28" t="s">
        <v>105</v>
      </c>
      <c r="B10" s="28" t="s">
        <v>34</v>
      </c>
      <c r="C10" s="36">
        <v>12500</v>
      </c>
      <c r="D10" s="36">
        <v>12500</v>
      </c>
      <c r="E10" s="36">
        <v>12500</v>
      </c>
      <c r="F10" s="36">
        <v>12500</v>
      </c>
      <c r="G10" s="36">
        <v>12500</v>
      </c>
      <c r="H10" s="36">
        <v>12500</v>
      </c>
      <c r="I10" s="36">
        <f>H10*I7/H7</f>
        <v>12483.523534983882</v>
      </c>
      <c r="J10" s="36">
        <v>12456.2089</v>
      </c>
      <c r="K10" s="36">
        <v>12434.3709</v>
      </c>
      <c r="L10" s="36">
        <v>12412.5712</v>
      </c>
      <c r="M10" s="36">
        <v>12390.809800000001</v>
      </c>
      <c r="N10" s="36">
        <v>12369.0864</v>
      </c>
      <c r="O10" s="36">
        <v>12347.4012</v>
      </c>
      <c r="P10" s="36">
        <v>12325.754000000001</v>
      </c>
      <c r="Q10" s="36">
        <v>12304.144700000001</v>
      </c>
      <c r="R10" s="36">
        <v>12282.5733</v>
      </c>
      <c r="S10" s="36">
        <v>12261.039699999999</v>
      </c>
      <c r="T10" s="36">
        <v>12239.543900000001</v>
      </c>
      <c r="U10" s="36">
        <v>12218.085800000001</v>
      </c>
      <c r="V10" s="36">
        <v>12196.665300000001</v>
      </c>
      <c r="W10" s="36">
        <v>12175.282300000001</v>
      </c>
      <c r="X10" s="36">
        <v>12153.936900000001</v>
      </c>
      <c r="Y10" s="36">
        <v>12132.6288</v>
      </c>
      <c r="Z10" s="36">
        <v>12111.358099999999</v>
      </c>
      <c r="AA10" s="36">
        <v>12090.1247</v>
      </c>
      <c r="AB10" s="36">
        <v>12069</v>
      </c>
      <c r="AC10" s="36">
        <v>12047.833699999999</v>
      </c>
      <c r="AD10" s="36">
        <v>12026.704599999999</v>
      </c>
      <c r="AE10" s="36">
        <v>12005.612499999999</v>
      </c>
      <c r="AF10" s="36">
        <v>11984.5574</v>
      </c>
      <c r="AG10" s="36">
        <v>11963.539199999999</v>
      </c>
      <c r="AH10" s="36">
        <v>11942.5579</v>
      </c>
      <c r="AI10" s="36">
        <v>11921.6134</v>
      </c>
      <c r="AJ10" s="36">
        <v>11900.705599999999</v>
      </c>
      <c r="AK10" s="36">
        <v>11879.834500000001</v>
      </c>
      <c r="AL10" s="36">
        <v>11859</v>
      </c>
      <c r="AM10" s="23"/>
    </row>
    <row r="11" spans="1:42" ht="16.5" customHeight="1" x14ac:dyDescent="0.25">
      <c r="A11" s="29" t="s">
        <v>182</v>
      </c>
      <c r="B11" s="29" t="s">
        <v>35</v>
      </c>
      <c r="C11" s="36">
        <v>12500</v>
      </c>
      <c r="D11" s="36">
        <v>12500</v>
      </c>
      <c r="E11" s="36">
        <v>12500</v>
      </c>
      <c r="F11" s="36">
        <v>12500</v>
      </c>
      <c r="G11" s="36">
        <v>12500</v>
      </c>
      <c r="H11" s="36">
        <v>12500</v>
      </c>
      <c r="I11" s="36">
        <f>H11*I8/H8</f>
        <v>12500</v>
      </c>
      <c r="J11" s="36">
        <f t="shared" ref="J11:AL11" si="0">I11*J8/I8</f>
        <v>12500</v>
      </c>
      <c r="K11" s="36">
        <f t="shared" si="0"/>
        <v>12500</v>
      </c>
      <c r="L11" s="36">
        <f t="shared" si="0"/>
        <v>12500</v>
      </c>
      <c r="M11" s="36">
        <f t="shared" si="0"/>
        <v>12500</v>
      </c>
      <c r="N11" s="36">
        <f t="shared" si="0"/>
        <v>12500</v>
      </c>
      <c r="O11" s="36">
        <f t="shared" si="0"/>
        <v>12500</v>
      </c>
      <c r="P11" s="36">
        <f t="shared" si="0"/>
        <v>12500</v>
      </c>
      <c r="Q11" s="36">
        <f t="shared" si="0"/>
        <v>12500</v>
      </c>
      <c r="R11" s="36">
        <f t="shared" si="0"/>
        <v>12500</v>
      </c>
      <c r="S11" s="36">
        <f t="shared" si="0"/>
        <v>12500</v>
      </c>
      <c r="T11" s="36">
        <f t="shared" si="0"/>
        <v>12500</v>
      </c>
      <c r="U11" s="36">
        <f t="shared" si="0"/>
        <v>12500</v>
      </c>
      <c r="V11" s="36">
        <f t="shared" si="0"/>
        <v>12500</v>
      </c>
      <c r="W11" s="36">
        <f t="shared" si="0"/>
        <v>12500</v>
      </c>
      <c r="X11" s="36">
        <f t="shared" si="0"/>
        <v>12500</v>
      </c>
      <c r="Y11" s="36">
        <f t="shared" si="0"/>
        <v>12500</v>
      </c>
      <c r="Z11" s="36">
        <f t="shared" si="0"/>
        <v>12500</v>
      </c>
      <c r="AA11" s="36">
        <f t="shared" si="0"/>
        <v>12500</v>
      </c>
      <c r="AB11" s="36">
        <f t="shared" si="0"/>
        <v>12500</v>
      </c>
      <c r="AC11" s="36">
        <f t="shared" si="0"/>
        <v>12500</v>
      </c>
      <c r="AD11" s="36">
        <f t="shared" si="0"/>
        <v>12500</v>
      </c>
      <c r="AE11" s="36">
        <f t="shared" si="0"/>
        <v>12500</v>
      </c>
      <c r="AF11" s="36">
        <f t="shared" si="0"/>
        <v>12500</v>
      </c>
      <c r="AG11" s="36">
        <f t="shared" si="0"/>
        <v>12500</v>
      </c>
      <c r="AH11" s="36">
        <f t="shared" si="0"/>
        <v>12500</v>
      </c>
      <c r="AI11" s="36">
        <f t="shared" si="0"/>
        <v>12500</v>
      </c>
      <c r="AJ11" s="36">
        <f t="shared" si="0"/>
        <v>12500</v>
      </c>
      <c r="AK11" s="36">
        <f t="shared" si="0"/>
        <v>12500</v>
      </c>
      <c r="AL11" s="36">
        <f t="shared" si="0"/>
        <v>12500</v>
      </c>
      <c r="AM11" s="23"/>
    </row>
    <row r="12" spans="1:42" x14ac:dyDescent="0.25">
      <c r="A12" s="27" t="s">
        <v>38</v>
      </c>
      <c r="B12" s="27" t="s">
        <v>33</v>
      </c>
      <c r="C12" s="36">
        <v>51</v>
      </c>
      <c r="D12" s="36">
        <v>50.271428571428572</v>
      </c>
      <c r="E12" s="36">
        <v>49.542857142857144</v>
      </c>
      <c r="F12" s="36">
        <v>48.814285714285724</v>
      </c>
      <c r="G12" s="36">
        <v>48.085714285714296</v>
      </c>
      <c r="H12" s="36">
        <v>47.357142857142868</v>
      </c>
      <c r="I12" s="36">
        <v>46.628571428571448</v>
      </c>
      <c r="J12" s="36">
        <v>45.90000000000002</v>
      </c>
      <c r="K12" s="36">
        <v>45.171428571428592</v>
      </c>
      <c r="L12" s="36">
        <v>44.442857142857164</v>
      </c>
      <c r="M12" s="36">
        <v>43.714285714285737</v>
      </c>
      <c r="N12" s="36">
        <v>42.985714285714316</v>
      </c>
      <c r="O12" s="36">
        <v>42.257142857142888</v>
      </c>
      <c r="P12" s="36">
        <v>41.52857142857146</v>
      </c>
      <c r="Q12" s="36">
        <v>40.80000000000004</v>
      </c>
      <c r="R12" s="36">
        <v>40.071428571428612</v>
      </c>
      <c r="S12" s="36">
        <v>39.707142857142898</v>
      </c>
      <c r="T12" s="36">
        <v>39.342857142857184</v>
      </c>
      <c r="U12" s="36">
        <v>38.97857142857147</v>
      </c>
      <c r="V12" s="36">
        <v>38.614285714285757</v>
      </c>
      <c r="W12" s="36">
        <v>38.250000000000043</v>
      </c>
      <c r="X12" s="36">
        <v>37.885714285714329</v>
      </c>
      <c r="Y12" s="36">
        <v>37.521428571428622</v>
      </c>
      <c r="Z12" s="36">
        <v>37.157142857142908</v>
      </c>
      <c r="AA12" s="36">
        <v>36.792857142857194</v>
      </c>
      <c r="AB12" s="36">
        <v>36.42857142857148</v>
      </c>
      <c r="AC12" s="36">
        <v>36.064285714285766</v>
      </c>
      <c r="AD12" s="36">
        <v>35.700000000000053</v>
      </c>
      <c r="AE12" s="36">
        <v>35.335714285714339</v>
      </c>
      <c r="AF12" s="36">
        <v>34.971428571428632</v>
      </c>
      <c r="AG12" s="36">
        <v>34.607142857142918</v>
      </c>
      <c r="AH12" s="36">
        <v>34.242857142857204</v>
      </c>
      <c r="AI12" s="36">
        <v>33.87857142857149</v>
      </c>
      <c r="AJ12" s="36">
        <v>33.514285714285776</v>
      </c>
      <c r="AK12" s="36">
        <v>33.150000000000063</v>
      </c>
      <c r="AL12" s="36">
        <v>32.785714285714349</v>
      </c>
      <c r="AM12" s="23"/>
    </row>
    <row r="13" spans="1:42" x14ac:dyDescent="0.25">
      <c r="A13" s="28" t="s">
        <v>40</v>
      </c>
      <c r="B13" s="28" t="s">
        <v>34</v>
      </c>
      <c r="C13" s="38">
        <v>51</v>
      </c>
      <c r="D13" s="38">
        <v>51</v>
      </c>
      <c r="E13" s="38">
        <v>51</v>
      </c>
      <c r="F13" s="38">
        <v>51</v>
      </c>
      <c r="G13" s="38">
        <v>51</v>
      </c>
      <c r="H13" s="38">
        <v>51</v>
      </c>
      <c r="I13" s="38">
        <v>51</v>
      </c>
      <c r="J13" s="38">
        <v>51</v>
      </c>
      <c r="K13" s="38">
        <v>51</v>
      </c>
      <c r="L13" s="38">
        <v>51</v>
      </c>
      <c r="M13" s="38">
        <v>51</v>
      </c>
      <c r="N13" s="38">
        <v>51</v>
      </c>
      <c r="O13" s="38">
        <v>51</v>
      </c>
      <c r="P13" s="38">
        <v>51</v>
      </c>
      <c r="Q13" s="38">
        <v>51</v>
      </c>
      <c r="R13" s="38">
        <v>51</v>
      </c>
      <c r="S13" s="38">
        <v>51</v>
      </c>
      <c r="T13" s="38">
        <v>51</v>
      </c>
      <c r="U13" s="38">
        <v>51</v>
      </c>
      <c r="V13" s="38">
        <v>51</v>
      </c>
      <c r="W13" s="38">
        <v>51</v>
      </c>
      <c r="X13" s="38">
        <v>51</v>
      </c>
      <c r="Y13" s="38">
        <v>51</v>
      </c>
      <c r="Z13" s="38">
        <v>51</v>
      </c>
      <c r="AA13" s="38">
        <v>51</v>
      </c>
      <c r="AB13" s="38">
        <v>51</v>
      </c>
      <c r="AC13" s="38">
        <v>51</v>
      </c>
      <c r="AD13" s="38">
        <v>51</v>
      </c>
      <c r="AE13" s="38">
        <v>51</v>
      </c>
      <c r="AF13" s="38">
        <v>51</v>
      </c>
      <c r="AG13" s="38">
        <v>51</v>
      </c>
      <c r="AH13" s="38">
        <v>51</v>
      </c>
      <c r="AI13" s="38">
        <v>51</v>
      </c>
      <c r="AJ13" s="38">
        <v>51</v>
      </c>
      <c r="AK13" s="38">
        <v>51</v>
      </c>
      <c r="AL13" s="38">
        <v>51</v>
      </c>
      <c r="AM13" s="23"/>
    </row>
    <row r="14" spans="1:42" x14ac:dyDescent="0.25">
      <c r="A14" s="29"/>
      <c r="B14" s="29" t="s">
        <v>35</v>
      </c>
      <c r="C14" s="40">
        <v>51</v>
      </c>
      <c r="D14" s="40">
        <v>51</v>
      </c>
      <c r="E14" s="40">
        <v>51</v>
      </c>
      <c r="F14" s="40">
        <v>51</v>
      </c>
      <c r="G14" s="40">
        <v>51</v>
      </c>
      <c r="H14" s="40">
        <v>51</v>
      </c>
      <c r="I14" s="40">
        <v>51</v>
      </c>
      <c r="J14" s="40">
        <v>51</v>
      </c>
      <c r="K14" s="40">
        <v>51</v>
      </c>
      <c r="L14" s="40">
        <v>51</v>
      </c>
      <c r="M14" s="40">
        <v>51</v>
      </c>
      <c r="N14" s="40">
        <v>51</v>
      </c>
      <c r="O14" s="40">
        <v>51</v>
      </c>
      <c r="P14" s="40">
        <v>51</v>
      </c>
      <c r="Q14" s="40">
        <v>51</v>
      </c>
      <c r="R14" s="40">
        <v>51</v>
      </c>
      <c r="S14" s="40">
        <v>51</v>
      </c>
      <c r="T14" s="40">
        <v>51</v>
      </c>
      <c r="U14" s="40">
        <v>51</v>
      </c>
      <c r="V14" s="40">
        <v>51</v>
      </c>
      <c r="W14" s="40">
        <v>51</v>
      </c>
      <c r="X14" s="40">
        <v>51</v>
      </c>
      <c r="Y14" s="40">
        <v>51</v>
      </c>
      <c r="Z14" s="40">
        <v>51</v>
      </c>
      <c r="AA14" s="40">
        <v>51</v>
      </c>
      <c r="AB14" s="40">
        <v>51</v>
      </c>
      <c r="AC14" s="40">
        <v>51</v>
      </c>
      <c r="AD14" s="40">
        <v>51</v>
      </c>
      <c r="AE14" s="40">
        <v>51</v>
      </c>
      <c r="AF14" s="40">
        <v>51</v>
      </c>
      <c r="AG14" s="40">
        <v>51</v>
      </c>
      <c r="AH14" s="40">
        <v>51</v>
      </c>
      <c r="AI14" s="40">
        <v>51</v>
      </c>
      <c r="AJ14" s="40">
        <v>51</v>
      </c>
      <c r="AK14" s="40">
        <v>51</v>
      </c>
      <c r="AL14" s="40">
        <v>51</v>
      </c>
      <c r="AM14" s="23"/>
    </row>
    <row r="15" spans="1:42" x14ac:dyDescent="0.25">
      <c r="A15" s="27" t="s">
        <v>37</v>
      </c>
      <c r="B15" s="27" t="s">
        <v>33</v>
      </c>
      <c r="C15" s="36">
        <v>500</v>
      </c>
      <c r="D15" s="36">
        <f>C15*D12/C12</f>
        <v>492.85714285714289</v>
      </c>
      <c r="E15" s="36">
        <f>D15*E12/D12</f>
        <v>485.71428571428578</v>
      </c>
      <c r="F15" s="36">
        <f>E15*F12/E12</f>
        <v>478.57142857142873</v>
      </c>
      <c r="G15" s="36">
        <f>F15*G12/F12</f>
        <v>471.42857142857156</v>
      </c>
      <c r="H15" s="36">
        <f>G15*H12/G12</f>
        <v>464.28571428571445</v>
      </c>
      <c r="I15" s="36">
        <f>H15</f>
        <v>464.28571428571445</v>
      </c>
      <c r="J15" s="36">
        <f t="shared" ref="J15:AL15" si="1">I15</f>
        <v>464.28571428571445</v>
      </c>
      <c r="K15" s="36">
        <f t="shared" si="1"/>
        <v>464.28571428571445</v>
      </c>
      <c r="L15" s="36">
        <f t="shared" si="1"/>
        <v>464.28571428571445</v>
      </c>
      <c r="M15" s="36">
        <f t="shared" si="1"/>
        <v>464.28571428571445</v>
      </c>
      <c r="N15" s="36">
        <f t="shared" si="1"/>
        <v>464.28571428571445</v>
      </c>
      <c r="O15" s="36">
        <f t="shared" si="1"/>
        <v>464.28571428571445</v>
      </c>
      <c r="P15" s="36">
        <f t="shared" si="1"/>
        <v>464.28571428571445</v>
      </c>
      <c r="Q15" s="36">
        <f t="shared" si="1"/>
        <v>464.28571428571445</v>
      </c>
      <c r="R15" s="36">
        <f t="shared" si="1"/>
        <v>464.28571428571445</v>
      </c>
      <c r="S15" s="36">
        <f t="shared" si="1"/>
        <v>464.28571428571445</v>
      </c>
      <c r="T15" s="36">
        <f t="shared" si="1"/>
        <v>464.28571428571445</v>
      </c>
      <c r="U15" s="36">
        <f t="shared" si="1"/>
        <v>464.28571428571445</v>
      </c>
      <c r="V15" s="36">
        <f t="shared" si="1"/>
        <v>464.28571428571445</v>
      </c>
      <c r="W15" s="36">
        <f t="shared" si="1"/>
        <v>464.28571428571445</v>
      </c>
      <c r="X15" s="36">
        <f t="shared" si="1"/>
        <v>464.28571428571445</v>
      </c>
      <c r="Y15" s="36">
        <f t="shared" si="1"/>
        <v>464.28571428571445</v>
      </c>
      <c r="Z15" s="36">
        <f t="shared" si="1"/>
        <v>464.28571428571445</v>
      </c>
      <c r="AA15" s="36">
        <f t="shared" si="1"/>
        <v>464.28571428571445</v>
      </c>
      <c r="AB15" s="36">
        <f t="shared" si="1"/>
        <v>464.28571428571445</v>
      </c>
      <c r="AC15" s="36">
        <f t="shared" si="1"/>
        <v>464.28571428571445</v>
      </c>
      <c r="AD15" s="36">
        <f t="shared" si="1"/>
        <v>464.28571428571445</v>
      </c>
      <c r="AE15" s="36">
        <f t="shared" si="1"/>
        <v>464.28571428571445</v>
      </c>
      <c r="AF15" s="36">
        <f t="shared" si="1"/>
        <v>464.28571428571445</v>
      </c>
      <c r="AG15" s="36">
        <f t="shared" si="1"/>
        <v>464.28571428571445</v>
      </c>
      <c r="AH15" s="36">
        <f t="shared" si="1"/>
        <v>464.28571428571445</v>
      </c>
      <c r="AI15" s="36">
        <f t="shared" si="1"/>
        <v>464.28571428571445</v>
      </c>
      <c r="AJ15" s="36">
        <f t="shared" si="1"/>
        <v>464.28571428571445</v>
      </c>
      <c r="AK15" s="36">
        <f t="shared" si="1"/>
        <v>464.28571428571445</v>
      </c>
      <c r="AL15" s="36">
        <f t="shared" si="1"/>
        <v>464.28571428571445</v>
      </c>
      <c r="AM15" s="23"/>
    </row>
    <row r="16" spans="1:42" x14ac:dyDescent="0.25">
      <c r="A16" s="28" t="s">
        <v>39</v>
      </c>
      <c r="B16" s="28" t="s">
        <v>34</v>
      </c>
      <c r="C16" s="36">
        <v>500</v>
      </c>
      <c r="D16" s="36">
        <v>500</v>
      </c>
      <c r="E16" s="36">
        <v>500</v>
      </c>
      <c r="F16" s="36">
        <f t="shared" ref="F16:U17" si="2">E16*F13/E13</f>
        <v>500</v>
      </c>
      <c r="G16" s="36">
        <f t="shared" si="2"/>
        <v>500</v>
      </c>
      <c r="H16" s="36">
        <f t="shared" si="2"/>
        <v>500</v>
      </c>
      <c r="I16" s="36">
        <f t="shared" si="2"/>
        <v>500</v>
      </c>
      <c r="J16" s="36">
        <f t="shared" si="2"/>
        <v>500</v>
      </c>
      <c r="K16" s="36">
        <f t="shared" si="2"/>
        <v>500</v>
      </c>
      <c r="L16" s="36">
        <f t="shared" si="2"/>
        <v>500</v>
      </c>
      <c r="M16" s="36">
        <f t="shared" si="2"/>
        <v>500</v>
      </c>
      <c r="N16" s="36">
        <f t="shared" si="2"/>
        <v>500</v>
      </c>
      <c r="O16" s="36">
        <f t="shared" si="2"/>
        <v>500</v>
      </c>
      <c r="P16" s="36">
        <f t="shared" si="2"/>
        <v>500</v>
      </c>
      <c r="Q16" s="36">
        <f t="shared" si="2"/>
        <v>500</v>
      </c>
      <c r="R16" s="36">
        <f t="shared" si="2"/>
        <v>500</v>
      </c>
      <c r="S16" s="36">
        <f t="shared" si="2"/>
        <v>500</v>
      </c>
      <c r="T16" s="36">
        <f t="shared" si="2"/>
        <v>500</v>
      </c>
      <c r="U16" s="36">
        <f t="shared" si="2"/>
        <v>500</v>
      </c>
      <c r="V16" s="36">
        <f t="shared" ref="G16:AL17" si="3">U16*V13/U13</f>
        <v>500</v>
      </c>
      <c r="W16" s="36">
        <f t="shared" si="3"/>
        <v>500</v>
      </c>
      <c r="X16" s="36">
        <f t="shared" si="3"/>
        <v>500</v>
      </c>
      <c r="Y16" s="36">
        <f t="shared" si="3"/>
        <v>500</v>
      </c>
      <c r="Z16" s="36">
        <f t="shared" si="3"/>
        <v>500</v>
      </c>
      <c r="AA16" s="36">
        <f t="shared" si="3"/>
        <v>500</v>
      </c>
      <c r="AB16" s="36">
        <f t="shared" si="3"/>
        <v>500</v>
      </c>
      <c r="AC16" s="36">
        <f t="shared" si="3"/>
        <v>500</v>
      </c>
      <c r="AD16" s="36">
        <f t="shared" si="3"/>
        <v>500</v>
      </c>
      <c r="AE16" s="36">
        <f t="shared" si="3"/>
        <v>500</v>
      </c>
      <c r="AF16" s="36">
        <f t="shared" si="3"/>
        <v>500</v>
      </c>
      <c r="AG16" s="36">
        <f t="shared" si="3"/>
        <v>500</v>
      </c>
      <c r="AH16" s="36">
        <f t="shared" si="3"/>
        <v>500</v>
      </c>
      <c r="AI16" s="36">
        <f t="shared" si="3"/>
        <v>500</v>
      </c>
      <c r="AJ16" s="36">
        <f t="shared" si="3"/>
        <v>500</v>
      </c>
      <c r="AK16" s="36">
        <f t="shared" si="3"/>
        <v>500</v>
      </c>
      <c r="AL16" s="36">
        <f t="shared" si="3"/>
        <v>500</v>
      </c>
      <c r="AM16" s="23"/>
    </row>
    <row r="17" spans="1:39" x14ac:dyDescent="0.25">
      <c r="A17" s="29"/>
      <c r="B17" s="29" t="s">
        <v>35</v>
      </c>
      <c r="C17" s="36">
        <v>500</v>
      </c>
      <c r="D17" s="36">
        <v>500</v>
      </c>
      <c r="E17" s="36">
        <v>500</v>
      </c>
      <c r="F17" s="36">
        <f t="shared" si="2"/>
        <v>500</v>
      </c>
      <c r="G17" s="36">
        <f t="shared" si="3"/>
        <v>500</v>
      </c>
      <c r="H17" s="36">
        <f t="shared" si="3"/>
        <v>500</v>
      </c>
      <c r="I17" s="36">
        <f t="shared" si="3"/>
        <v>500</v>
      </c>
      <c r="J17" s="36">
        <f t="shared" si="3"/>
        <v>500</v>
      </c>
      <c r="K17" s="36">
        <f t="shared" si="3"/>
        <v>500</v>
      </c>
      <c r="L17" s="36">
        <f t="shared" si="3"/>
        <v>500</v>
      </c>
      <c r="M17" s="36">
        <f t="shared" si="3"/>
        <v>500</v>
      </c>
      <c r="N17" s="36">
        <f t="shared" si="3"/>
        <v>500</v>
      </c>
      <c r="O17" s="36">
        <f t="shared" si="3"/>
        <v>500</v>
      </c>
      <c r="P17" s="36">
        <f t="shared" si="3"/>
        <v>500</v>
      </c>
      <c r="Q17" s="36">
        <f t="shared" si="3"/>
        <v>500</v>
      </c>
      <c r="R17" s="36">
        <f t="shared" si="3"/>
        <v>500</v>
      </c>
      <c r="S17" s="36">
        <f t="shared" si="3"/>
        <v>500</v>
      </c>
      <c r="T17" s="36">
        <f t="shared" si="3"/>
        <v>500</v>
      </c>
      <c r="U17" s="36">
        <f t="shared" si="3"/>
        <v>500</v>
      </c>
      <c r="V17" s="36">
        <f t="shared" si="3"/>
        <v>500</v>
      </c>
      <c r="W17" s="36">
        <f t="shared" si="3"/>
        <v>500</v>
      </c>
      <c r="X17" s="36">
        <f t="shared" si="3"/>
        <v>500</v>
      </c>
      <c r="Y17" s="36">
        <f t="shared" si="3"/>
        <v>500</v>
      </c>
      <c r="Z17" s="36">
        <f t="shared" si="3"/>
        <v>500</v>
      </c>
      <c r="AA17" s="36">
        <f t="shared" si="3"/>
        <v>500</v>
      </c>
      <c r="AB17" s="36">
        <f t="shared" si="3"/>
        <v>500</v>
      </c>
      <c r="AC17" s="36">
        <f t="shared" si="3"/>
        <v>500</v>
      </c>
      <c r="AD17" s="36">
        <f t="shared" si="3"/>
        <v>500</v>
      </c>
      <c r="AE17" s="36">
        <f t="shared" si="3"/>
        <v>500</v>
      </c>
      <c r="AF17" s="36">
        <f t="shared" si="3"/>
        <v>500</v>
      </c>
      <c r="AG17" s="36">
        <f t="shared" si="3"/>
        <v>500</v>
      </c>
      <c r="AH17" s="36">
        <f t="shared" si="3"/>
        <v>500</v>
      </c>
      <c r="AI17" s="36">
        <f t="shared" si="3"/>
        <v>500</v>
      </c>
      <c r="AJ17" s="36">
        <f t="shared" si="3"/>
        <v>500</v>
      </c>
      <c r="AK17" s="36">
        <f t="shared" si="3"/>
        <v>500</v>
      </c>
      <c r="AL17" s="36">
        <f t="shared" si="3"/>
        <v>500</v>
      </c>
      <c r="AM17" s="23"/>
    </row>
    <row r="18" spans="1:39" x14ac:dyDescent="0.25">
      <c r="A18" s="35" t="s">
        <v>42</v>
      </c>
      <c r="B18" s="27" t="s">
        <v>33</v>
      </c>
      <c r="C18" s="42">
        <v>20</v>
      </c>
      <c r="D18" s="42">
        <v>20</v>
      </c>
      <c r="E18" s="42">
        <v>20</v>
      </c>
      <c r="F18" s="42">
        <v>20</v>
      </c>
      <c r="G18" s="42">
        <v>20</v>
      </c>
      <c r="H18" s="42">
        <v>20</v>
      </c>
      <c r="I18" s="42">
        <v>20</v>
      </c>
      <c r="J18" s="42">
        <v>20</v>
      </c>
      <c r="K18" s="42">
        <v>20</v>
      </c>
      <c r="L18" s="42">
        <v>20</v>
      </c>
      <c r="M18" s="42">
        <v>20</v>
      </c>
      <c r="N18" s="42">
        <v>20</v>
      </c>
      <c r="O18" s="42">
        <v>20</v>
      </c>
      <c r="P18" s="42">
        <v>20</v>
      </c>
      <c r="Q18" s="42">
        <v>20</v>
      </c>
      <c r="R18" s="42">
        <v>20</v>
      </c>
      <c r="S18" s="42">
        <v>20</v>
      </c>
      <c r="T18" s="42">
        <v>20</v>
      </c>
      <c r="U18" s="42">
        <v>20</v>
      </c>
      <c r="V18" s="42">
        <v>20</v>
      </c>
      <c r="W18" s="42">
        <v>20</v>
      </c>
      <c r="X18" s="42">
        <v>20</v>
      </c>
      <c r="Y18" s="42">
        <v>20</v>
      </c>
      <c r="Z18" s="42">
        <v>20</v>
      </c>
      <c r="AA18" s="42">
        <v>20</v>
      </c>
      <c r="AB18" s="42">
        <v>20</v>
      </c>
      <c r="AC18" s="42">
        <v>20</v>
      </c>
      <c r="AD18" s="42">
        <v>20</v>
      </c>
      <c r="AE18" s="42">
        <v>20</v>
      </c>
      <c r="AF18" s="42">
        <v>20</v>
      </c>
      <c r="AG18" s="42">
        <v>20</v>
      </c>
      <c r="AH18" s="42">
        <v>20</v>
      </c>
      <c r="AI18" s="42">
        <v>20</v>
      </c>
      <c r="AJ18" s="42">
        <v>20</v>
      </c>
      <c r="AK18" s="42">
        <v>20</v>
      </c>
      <c r="AL18" s="43">
        <v>20</v>
      </c>
      <c r="AM18" s="23"/>
    </row>
    <row r="19" spans="1:39" x14ac:dyDescent="0.25">
      <c r="A19" s="34" t="s">
        <v>43</v>
      </c>
      <c r="B19" s="28" t="s">
        <v>34</v>
      </c>
      <c r="C19" s="51">
        <v>20</v>
      </c>
      <c r="D19" s="51">
        <v>20</v>
      </c>
      <c r="E19" s="51">
        <v>20</v>
      </c>
      <c r="F19" s="51">
        <v>20</v>
      </c>
      <c r="G19" s="51">
        <v>20</v>
      </c>
      <c r="H19" s="51">
        <v>20</v>
      </c>
      <c r="I19" s="51">
        <v>20</v>
      </c>
      <c r="J19" s="51">
        <v>20</v>
      </c>
      <c r="K19" s="51">
        <v>20</v>
      </c>
      <c r="L19" s="51">
        <v>20</v>
      </c>
      <c r="M19" s="51">
        <v>20</v>
      </c>
      <c r="N19" s="51">
        <v>20</v>
      </c>
      <c r="O19" s="51">
        <v>20</v>
      </c>
      <c r="P19" s="51">
        <v>20</v>
      </c>
      <c r="Q19" s="51">
        <v>20</v>
      </c>
      <c r="R19" s="51">
        <v>20</v>
      </c>
      <c r="S19" s="51">
        <v>20</v>
      </c>
      <c r="T19" s="51">
        <v>20</v>
      </c>
      <c r="U19" s="51">
        <v>20</v>
      </c>
      <c r="V19" s="51">
        <v>20</v>
      </c>
      <c r="W19" s="51">
        <v>20</v>
      </c>
      <c r="X19" s="51">
        <v>20</v>
      </c>
      <c r="Y19" s="51">
        <v>20</v>
      </c>
      <c r="Z19" s="51">
        <v>20</v>
      </c>
      <c r="AA19" s="51">
        <v>20</v>
      </c>
      <c r="AB19" s="51">
        <v>20</v>
      </c>
      <c r="AC19" s="51">
        <v>20</v>
      </c>
      <c r="AD19" s="51">
        <v>20</v>
      </c>
      <c r="AE19" s="51">
        <v>20</v>
      </c>
      <c r="AF19" s="51">
        <v>20</v>
      </c>
      <c r="AG19" s="51">
        <v>20</v>
      </c>
      <c r="AH19" s="51">
        <v>20</v>
      </c>
      <c r="AI19" s="51">
        <v>20</v>
      </c>
      <c r="AJ19" s="51">
        <v>20</v>
      </c>
      <c r="AK19" s="51">
        <v>20</v>
      </c>
      <c r="AL19" s="52">
        <v>20</v>
      </c>
      <c r="AM19" s="23"/>
    </row>
    <row r="20" spans="1:39" x14ac:dyDescent="0.25">
      <c r="A20" s="26"/>
      <c r="B20" s="29" t="s">
        <v>35</v>
      </c>
      <c r="C20" s="53">
        <v>20</v>
      </c>
      <c r="D20" s="53">
        <v>20</v>
      </c>
      <c r="E20" s="53">
        <v>20</v>
      </c>
      <c r="F20" s="53">
        <v>20</v>
      </c>
      <c r="G20" s="53">
        <v>20</v>
      </c>
      <c r="H20" s="53">
        <v>20</v>
      </c>
      <c r="I20" s="53">
        <v>20</v>
      </c>
      <c r="J20" s="53">
        <v>20</v>
      </c>
      <c r="K20" s="53">
        <v>20</v>
      </c>
      <c r="L20" s="53">
        <v>20</v>
      </c>
      <c r="M20" s="53">
        <v>20</v>
      </c>
      <c r="N20" s="53">
        <v>20</v>
      </c>
      <c r="O20" s="53">
        <v>20</v>
      </c>
      <c r="P20" s="53">
        <v>20</v>
      </c>
      <c r="Q20" s="53">
        <v>20</v>
      </c>
      <c r="R20" s="53">
        <v>20</v>
      </c>
      <c r="S20" s="53">
        <v>20</v>
      </c>
      <c r="T20" s="53">
        <v>20</v>
      </c>
      <c r="U20" s="53">
        <v>20</v>
      </c>
      <c r="V20" s="53">
        <v>20</v>
      </c>
      <c r="W20" s="53">
        <v>20</v>
      </c>
      <c r="X20" s="53">
        <v>20</v>
      </c>
      <c r="Y20" s="53">
        <v>20</v>
      </c>
      <c r="Z20" s="53">
        <v>20</v>
      </c>
      <c r="AA20" s="53">
        <v>20</v>
      </c>
      <c r="AB20" s="53">
        <v>20</v>
      </c>
      <c r="AC20" s="53">
        <v>20</v>
      </c>
      <c r="AD20" s="53">
        <v>20</v>
      </c>
      <c r="AE20" s="53">
        <v>20</v>
      </c>
      <c r="AF20" s="53">
        <v>20</v>
      </c>
      <c r="AG20" s="53">
        <v>20</v>
      </c>
      <c r="AH20" s="53">
        <v>20</v>
      </c>
      <c r="AI20" s="53">
        <v>20</v>
      </c>
      <c r="AJ20" s="53">
        <v>20</v>
      </c>
      <c r="AK20" s="53">
        <v>20</v>
      </c>
      <c r="AL20" s="54">
        <v>20</v>
      </c>
      <c r="AM20" s="23"/>
    </row>
    <row r="21" spans="1:39" x14ac:dyDescent="0.25">
      <c r="C21" s="50">
        <v>2015</v>
      </c>
      <c r="D21" s="50">
        <v>2016</v>
      </c>
      <c r="E21" s="50">
        <v>2017</v>
      </c>
      <c r="F21" s="50">
        <v>2018</v>
      </c>
      <c r="G21" s="50">
        <v>2019</v>
      </c>
      <c r="H21" s="50">
        <v>2020</v>
      </c>
      <c r="I21" s="50">
        <v>2021</v>
      </c>
      <c r="J21" s="50">
        <v>2022</v>
      </c>
      <c r="K21" s="50">
        <v>2023</v>
      </c>
      <c r="L21" s="50">
        <v>2024</v>
      </c>
      <c r="M21" s="50">
        <v>2025</v>
      </c>
      <c r="N21" s="50">
        <v>2026</v>
      </c>
      <c r="O21" s="50">
        <v>2027</v>
      </c>
      <c r="P21" s="50">
        <v>2028</v>
      </c>
      <c r="Q21" s="50">
        <v>2029</v>
      </c>
      <c r="R21" s="50">
        <v>2030</v>
      </c>
      <c r="S21" s="50">
        <v>2031</v>
      </c>
      <c r="T21" s="50">
        <v>2032</v>
      </c>
      <c r="U21" s="50">
        <v>2033</v>
      </c>
      <c r="V21" s="50">
        <v>2034</v>
      </c>
      <c r="W21" s="50">
        <v>2035</v>
      </c>
      <c r="X21" s="50">
        <v>2036</v>
      </c>
      <c r="Y21" s="50">
        <v>2037</v>
      </c>
      <c r="Z21" s="50">
        <v>2038</v>
      </c>
      <c r="AA21" s="50">
        <v>2039</v>
      </c>
      <c r="AB21" s="50">
        <v>2040</v>
      </c>
      <c r="AC21" s="50">
        <v>2041</v>
      </c>
      <c r="AD21" s="50">
        <v>2042</v>
      </c>
      <c r="AE21" s="50">
        <v>2043</v>
      </c>
      <c r="AF21" s="50">
        <v>2044</v>
      </c>
      <c r="AG21" s="50">
        <v>2045</v>
      </c>
      <c r="AH21" s="50">
        <v>2046</v>
      </c>
      <c r="AI21" s="50">
        <v>2047</v>
      </c>
      <c r="AJ21" s="50">
        <v>2048</v>
      </c>
      <c r="AK21" s="50">
        <v>2049</v>
      </c>
      <c r="AL21" s="50">
        <v>2050</v>
      </c>
      <c r="AM21" s="23"/>
    </row>
    <row r="22" spans="1:39" x14ac:dyDescent="0.25">
      <c r="A22" s="27" t="s">
        <v>44</v>
      </c>
      <c r="B22" s="24" t="s">
        <v>33</v>
      </c>
      <c r="C22" s="44">
        <f t="shared" ref="C22:AL24" si="4">(-1*PMT($B$26,C18,C9)+C15)/(8760*C3)</f>
        <v>0.56256180335782546</v>
      </c>
      <c r="D22" s="45">
        <f t="shared" si="4"/>
        <v>0.5501201191299302</v>
      </c>
      <c r="E22" s="45">
        <f t="shared" si="4"/>
        <v>0.53839780980427887</v>
      </c>
      <c r="F22" s="45">
        <f t="shared" si="4"/>
        <v>0.52734035657041356</v>
      </c>
      <c r="G22" s="45">
        <f t="shared" si="4"/>
        <v>0.51689882120573016</v>
      </c>
      <c r="H22" s="45">
        <f t="shared" si="4"/>
        <v>0.50702916219043237</v>
      </c>
      <c r="I22" s="45">
        <f t="shared" si="4"/>
        <v>0.49761185030496619</v>
      </c>
      <c r="J22" s="45">
        <f t="shared" si="4"/>
        <v>0.4883367591846694</v>
      </c>
      <c r="K22" s="45">
        <f t="shared" si="4"/>
        <v>0.47973332736721663</v>
      </c>
      <c r="L22" s="45">
        <f t="shared" si="4"/>
        <v>0.4715830491741026</v>
      </c>
      <c r="M22" s="45">
        <f t="shared" si="4"/>
        <v>0.4638579541985266</v>
      </c>
      <c r="N22" s="45">
        <f t="shared" si="4"/>
        <v>0.45653257164394101</v>
      </c>
      <c r="O22" s="45">
        <f t="shared" si="4"/>
        <v>0.44958365274994005</v>
      </c>
      <c r="P22" s="45">
        <f t="shared" si="4"/>
        <v>0.44298995101341093</v>
      </c>
      <c r="Q22" s="45">
        <f t="shared" si="4"/>
        <v>0.43673202429915675</v>
      </c>
      <c r="R22" s="45">
        <f t="shared" si="4"/>
        <v>0.43079206341160464</v>
      </c>
      <c r="S22" s="45">
        <f t="shared" si="4"/>
        <v>0.42515373585844157</v>
      </c>
      <c r="T22" s="45">
        <f t="shared" si="4"/>
        <v>0.41980205024176015</v>
      </c>
      <c r="U22" s="45">
        <f t="shared" si="4"/>
        <v>0.41472323879142475</v>
      </c>
      <c r="V22" s="45">
        <f t="shared" si="4"/>
        <v>0.40990464565411433</v>
      </c>
      <c r="W22" s="45">
        <f t="shared" si="4"/>
        <v>0.40533463496589622</v>
      </c>
      <c r="X22" s="45">
        <f t="shared" si="4"/>
        <v>0.40100250926158787</v>
      </c>
      <c r="Y22" s="45">
        <f t="shared" si="4"/>
        <v>0.39689843196026153</v>
      </c>
      <c r="Z22" s="45">
        <f t="shared" si="4"/>
        <v>0.39301336311434326</v>
      </c>
      <c r="AA22" s="45">
        <f t="shared" si="4"/>
        <v>0.38933899231626157</v>
      </c>
      <c r="AB22" s="45">
        <f t="shared" si="4"/>
        <v>0.38587690406247999</v>
      </c>
      <c r="AC22" s="45">
        <f t="shared" si="4"/>
        <v>0.38260068594722385</v>
      </c>
      <c r="AD22" s="45">
        <f t="shared" si="4"/>
        <v>0.37951417752550093</v>
      </c>
      <c r="AE22" s="45">
        <f t="shared" si="4"/>
        <v>0.37661153365721978</v>
      </c>
      <c r="AF22" s="45">
        <f t="shared" si="4"/>
        <v>0.37388742525082252</v>
      </c>
      <c r="AG22" s="45">
        <f t="shared" si="4"/>
        <v>0.37133702684759978</v>
      </c>
      <c r="AH22" s="45">
        <f t="shared" si="4"/>
        <v>0.3689559683670211</v>
      </c>
      <c r="AI22" s="45">
        <f t="shared" si="4"/>
        <v>0.36674032688874675</v>
      </c>
      <c r="AJ22" s="45">
        <f t="shared" si="4"/>
        <v>0.364686601725494</v>
      </c>
      <c r="AK22" s="45">
        <f t="shared" si="4"/>
        <v>0.36279169471102363</v>
      </c>
      <c r="AL22" s="46">
        <f t="shared" si="4"/>
        <v>0.36105290277491897</v>
      </c>
      <c r="AM22" s="23"/>
    </row>
    <row r="23" spans="1:39" x14ac:dyDescent="0.25">
      <c r="A23" s="28" t="s">
        <v>46</v>
      </c>
      <c r="B23" s="25" t="s">
        <v>34</v>
      </c>
      <c r="C23" s="44">
        <f t="shared" si="4"/>
        <v>0.56829012015916092</v>
      </c>
      <c r="D23" s="45">
        <f t="shared" si="4"/>
        <v>0.56829012015916092</v>
      </c>
      <c r="E23" s="45">
        <f t="shared" si="4"/>
        <v>0.56829012015916092</v>
      </c>
      <c r="F23" s="45">
        <f t="shared" si="4"/>
        <v>0.56829012015916092</v>
      </c>
      <c r="G23" s="45">
        <f t="shared" si="4"/>
        <v>0.56829012015916092</v>
      </c>
      <c r="H23" s="45">
        <f t="shared" si="4"/>
        <v>0.56256180335782546</v>
      </c>
      <c r="I23" s="45">
        <f t="shared" si="4"/>
        <v>0.55765115542266597</v>
      </c>
      <c r="J23" s="45">
        <f t="shared" si="4"/>
        <v>0.55255009090988139</v>
      </c>
      <c r="K23" s="45">
        <f t="shared" si="4"/>
        <v>0.54777815546061071</v>
      </c>
      <c r="L23" s="45">
        <f t="shared" si="4"/>
        <v>0.54315482630731782</v>
      </c>
      <c r="M23" s="45">
        <f t="shared" si="4"/>
        <v>0.53867495736296245</v>
      </c>
      <c r="N23" s="45">
        <f t="shared" si="4"/>
        <v>0.53433365876028227</v>
      </c>
      <c r="O23" s="45">
        <f t="shared" si="4"/>
        <v>0.53012630585718989</v>
      </c>
      <c r="P23" s="45">
        <f t="shared" si="4"/>
        <v>0.52604849632133222</v>
      </c>
      <c r="Q23" s="45">
        <f t="shared" si="4"/>
        <v>0.5220960520182184</v>
      </c>
      <c r="R23" s="45">
        <f t="shared" si="4"/>
        <v>0.51826500615129345</v>
      </c>
      <c r="S23" s="45">
        <f t="shared" si="4"/>
        <v>0.5145515852976843</v>
      </c>
      <c r="T23" s="45">
        <f t="shared" si="4"/>
        <v>0.51095220446132483</v>
      </c>
      <c r="U23" s="45">
        <f t="shared" si="4"/>
        <v>0.50746345078107669</v>
      </c>
      <c r="V23" s="45">
        <f t="shared" si="4"/>
        <v>0.50408207702468721</v>
      </c>
      <c r="W23" s="45">
        <f t="shared" si="4"/>
        <v>0.50080499268826417</v>
      </c>
      <c r="X23" s="45">
        <f t="shared" si="4"/>
        <v>0.49762926155541698</v>
      </c>
      <c r="Y23" s="45">
        <f t="shared" si="4"/>
        <v>0.49455207632346138</v>
      </c>
      <c r="Z23" s="45">
        <f t="shared" si="4"/>
        <v>0.49157077486795364</v>
      </c>
      <c r="AA23" s="45">
        <f t="shared" si="4"/>
        <v>0.48868281589024809</v>
      </c>
      <c r="AB23" s="45">
        <f t="shared" si="4"/>
        <v>0.48588783346176301</v>
      </c>
      <c r="AC23" s="45">
        <f t="shared" si="4"/>
        <v>0.48317919632682022</v>
      </c>
      <c r="AD23" s="45">
        <f t="shared" si="4"/>
        <v>0.48055698474045244</v>
      </c>
      <c r="AE23" s="45">
        <f t="shared" si="4"/>
        <v>0.47801910210415854</v>
      </c>
      <c r="AF23" s="45">
        <f t="shared" si="4"/>
        <v>0.47556355651412618</v>
      </c>
      <c r="AG23" s="45">
        <f t="shared" si="4"/>
        <v>0.47318844767433393</v>
      </c>
      <c r="AH23" s="45">
        <f t="shared" si="4"/>
        <v>0.47089196832396651</v>
      </c>
      <c r="AI23" s="45">
        <f t="shared" si="4"/>
        <v>0.46867239462332139</v>
      </c>
      <c r="AJ23" s="45">
        <f t="shared" si="4"/>
        <v>0.46652808526948186</v>
      </c>
      <c r="AK23" s="45">
        <f t="shared" si="4"/>
        <v>0.46445748078675653</v>
      </c>
      <c r="AL23" s="46">
        <f t="shared" si="4"/>
        <v>0.46245909467552043</v>
      </c>
      <c r="AM23" s="23"/>
    </row>
    <row r="24" spans="1:39" x14ac:dyDescent="0.25">
      <c r="A24" s="29"/>
      <c r="B24" s="26" t="s">
        <v>35</v>
      </c>
      <c r="C24" s="47">
        <f t="shared" si="4"/>
        <v>0.56829012015916092</v>
      </c>
      <c r="D24" s="48">
        <f t="shared" si="4"/>
        <v>0.56829012015916092</v>
      </c>
      <c r="E24" s="48">
        <f t="shared" si="4"/>
        <v>0.56829012015916092</v>
      </c>
      <c r="F24" s="48">
        <f t="shared" si="4"/>
        <v>0.56829012015916092</v>
      </c>
      <c r="G24" s="48">
        <f t="shared" si="4"/>
        <v>0.56829012015916092</v>
      </c>
      <c r="H24" s="48">
        <f t="shared" si="4"/>
        <v>0.56829012015916092</v>
      </c>
      <c r="I24" s="48">
        <f t="shared" si="4"/>
        <v>0.56829012015916092</v>
      </c>
      <c r="J24" s="48">
        <f t="shared" si="4"/>
        <v>0.56829012015916092</v>
      </c>
      <c r="K24" s="48">
        <f t="shared" si="4"/>
        <v>0.56829012015916092</v>
      </c>
      <c r="L24" s="48">
        <f t="shared" si="4"/>
        <v>0.56829012015916092</v>
      </c>
      <c r="M24" s="48">
        <f t="shared" si="4"/>
        <v>0.56829012015916092</v>
      </c>
      <c r="N24" s="48">
        <f t="shared" si="4"/>
        <v>0.56829012015916092</v>
      </c>
      <c r="O24" s="48">
        <f t="shared" si="4"/>
        <v>0.56829012015916092</v>
      </c>
      <c r="P24" s="48">
        <f t="shared" si="4"/>
        <v>0.56829012015916092</v>
      </c>
      <c r="Q24" s="48">
        <f t="shared" si="4"/>
        <v>0.56829012015916092</v>
      </c>
      <c r="R24" s="48">
        <f t="shared" si="4"/>
        <v>0.56829012015916092</v>
      </c>
      <c r="S24" s="48">
        <f t="shared" si="4"/>
        <v>0.56829012015916092</v>
      </c>
      <c r="T24" s="48">
        <f t="shared" si="4"/>
        <v>0.56829012015916092</v>
      </c>
      <c r="U24" s="48">
        <f t="shared" si="4"/>
        <v>0.56829012015916092</v>
      </c>
      <c r="V24" s="48">
        <f t="shared" si="4"/>
        <v>0.56829012015916092</v>
      </c>
      <c r="W24" s="48">
        <f t="shared" si="4"/>
        <v>0.56829012015916092</v>
      </c>
      <c r="X24" s="48">
        <f t="shared" si="4"/>
        <v>0.56829012015916092</v>
      </c>
      <c r="Y24" s="48">
        <f t="shared" si="4"/>
        <v>0.56829012015916092</v>
      </c>
      <c r="Z24" s="48">
        <f t="shared" si="4"/>
        <v>0.56829012015916092</v>
      </c>
      <c r="AA24" s="48">
        <f t="shared" si="4"/>
        <v>0.56829012015916092</v>
      </c>
      <c r="AB24" s="48">
        <f t="shared" si="4"/>
        <v>0.56829012015916092</v>
      </c>
      <c r="AC24" s="48">
        <f t="shared" si="4"/>
        <v>0.56829012015916092</v>
      </c>
      <c r="AD24" s="48">
        <f t="shared" si="4"/>
        <v>0.56829012015916092</v>
      </c>
      <c r="AE24" s="48">
        <f t="shared" si="4"/>
        <v>0.56829012015916092</v>
      </c>
      <c r="AF24" s="48">
        <f t="shared" si="4"/>
        <v>0.56829012015916092</v>
      </c>
      <c r="AG24" s="48">
        <f t="shared" si="4"/>
        <v>0.56829012015916092</v>
      </c>
      <c r="AH24" s="48">
        <f t="shared" si="4"/>
        <v>0.56829012015916092</v>
      </c>
      <c r="AI24" s="48">
        <f t="shared" si="4"/>
        <v>0.56829012015916092</v>
      </c>
      <c r="AJ24" s="48">
        <f t="shared" si="4"/>
        <v>0.56829012015916092</v>
      </c>
      <c r="AK24" s="48">
        <f t="shared" si="4"/>
        <v>0.56829012015916092</v>
      </c>
      <c r="AL24" s="49">
        <f t="shared" si="4"/>
        <v>0.56829012015916092</v>
      </c>
      <c r="AM24" s="23"/>
    </row>
    <row r="25" spans="1:39" x14ac:dyDescent="0.25">
      <c r="B25" s="30" t="s">
        <v>104</v>
      </c>
      <c r="C25" s="88">
        <v>2015</v>
      </c>
      <c r="D25" s="88">
        <v>2016</v>
      </c>
      <c r="E25" s="88">
        <v>2017</v>
      </c>
      <c r="F25" s="88">
        <v>2018</v>
      </c>
      <c r="G25" s="88">
        <v>2019</v>
      </c>
      <c r="H25" s="88">
        <v>2020</v>
      </c>
      <c r="I25" s="88">
        <v>2021</v>
      </c>
      <c r="J25" s="88">
        <v>2022</v>
      </c>
      <c r="K25" s="88">
        <v>2023</v>
      </c>
      <c r="L25" s="88">
        <v>2024</v>
      </c>
      <c r="M25" s="88">
        <v>2025</v>
      </c>
      <c r="N25" s="88">
        <v>2026</v>
      </c>
      <c r="O25" s="88">
        <v>2027</v>
      </c>
      <c r="P25" s="88">
        <v>2028</v>
      </c>
      <c r="Q25" s="88">
        <v>2029</v>
      </c>
      <c r="R25" s="88">
        <v>2030</v>
      </c>
      <c r="S25" s="88">
        <v>2031</v>
      </c>
      <c r="T25" s="88">
        <v>2032</v>
      </c>
      <c r="U25" s="88">
        <v>2033</v>
      </c>
      <c r="V25" s="88">
        <v>2034</v>
      </c>
      <c r="W25" s="88">
        <v>2035</v>
      </c>
      <c r="X25" s="88">
        <v>2036</v>
      </c>
      <c r="Y25" s="88">
        <v>2037</v>
      </c>
      <c r="Z25" s="88">
        <v>2038</v>
      </c>
      <c r="AA25" s="88">
        <v>2039</v>
      </c>
      <c r="AB25" s="88">
        <v>2040</v>
      </c>
      <c r="AC25" s="88">
        <v>2041</v>
      </c>
      <c r="AD25" s="88">
        <v>2042</v>
      </c>
      <c r="AE25" s="88">
        <v>2043</v>
      </c>
      <c r="AF25" s="88">
        <v>2044</v>
      </c>
      <c r="AG25" s="88">
        <v>2045</v>
      </c>
      <c r="AH25" s="88">
        <v>2046</v>
      </c>
      <c r="AI25" s="88">
        <v>2047</v>
      </c>
      <c r="AJ25" s="88">
        <v>2048</v>
      </c>
      <c r="AK25" s="88">
        <v>2049</v>
      </c>
      <c r="AL25" s="88">
        <v>2050</v>
      </c>
      <c r="AM25" s="23"/>
    </row>
    <row r="26" spans="1:39" x14ac:dyDescent="0.25">
      <c r="A26" t="s">
        <v>45</v>
      </c>
      <c r="B26" s="55">
        <v>8.2000000000000003E-2</v>
      </c>
      <c r="C26" s="71">
        <f t="shared" ref="C26:AL28" si="5">C22*$B$29</f>
        <v>0.61508444641598004</v>
      </c>
      <c r="D26" s="71">
        <f t="shared" si="5"/>
        <v>0.60148116512293825</v>
      </c>
      <c r="E26" s="71">
        <f t="shared" si="5"/>
        <v>0.58866442196823288</v>
      </c>
      <c r="F26" s="71">
        <f t="shared" si="5"/>
        <v>0.57657460808373673</v>
      </c>
      <c r="G26" s="71">
        <f t="shared" si="5"/>
        <v>0.56515821621143947</v>
      </c>
      <c r="H26" s="71">
        <f t="shared" si="5"/>
        <v>0.55436709296861664</v>
      </c>
      <c r="I26" s="71">
        <f t="shared" si="5"/>
        <v>0.54407054948979428</v>
      </c>
      <c r="J26" s="71">
        <f t="shared" si="5"/>
        <v>0.53392950498031333</v>
      </c>
      <c r="K26" s="71">
        <f t="shared" si="5"/>
        <v>0.52452282812253603</v>
      </c>
      <c r="L26" s="71">
        <f t="shared" si="5"/>
        <v>0.51561161282027856</v>
      </c>
      <c r="M26" s="71">
        <f t="shared" si="5"/>
        <v>0.50716527725643168</v>
      </c>
      <c r="N26" s="71">
        <f t="shared" si="5"/>
        <v>0.49915597259607491</v>
      </c>
      <c r="O26" s="71">
        <f t="shared" si="5"/>
        <v>0.49155827949712227</v>
      </c>
      <c r="P26" s="71">
        <f t="shared" si="5"/>
        <v>0.48434896781218828</v>
      </c>
      <c r="Q26" s="71">
        <f t="shared" si="5"/>
        <v>0.47750678022359988</v>
      </c>
      <c r="R26" s="71">
        <f t="shared" si="5"/>
        <v>0.47101224480998838</v>
      </c>
      <c r="S26" s="71">
        <f t="shared" si="5"/>
        <v>0.46484750422317789</v>
      </c>
      <c r="T26" s="71">
        <f t="shared" si="5"/>
        <v>0.45899616741843735</v>
      </c>
      <c r="U26" s="71">
        <f t="shared" si="5"/>
        <v>0.45344318122077032</v>
      </c>
      <c r="V26" s="71">
        <f t="shared" si="5"/>
        <v>0.44817470818425093</v>
      </c>
      <c r="W26" s="71">
        <f t="shared" si="5"/>
        <v>0.44317802608194723</v>
      </c>
      <c r="X26" s="71">
        <f t="shared" si="5"/>
        <v>0.43844143869770907</v>
      </c>
      <c r="Y26" s="71">
        <f t="shared" si="5"/>
        <v>0.4339541910746616</v>
      </c>
      <c r="Z26" s="71">
        <f t="shared" si="5"/>
        <v>0.42970639926562609</v>
      </c>
      <c r="AA26" s="71">
        <f t="shared" si="5"/>
        <v>0.42568897697571001</v>
      </c>
      <c r="AB26" s="71">
        <f t="shared" si="5"/>
        <v>0.42190365663524243</v>
      </c>
      <c r="AC26" s="71">
        <f t="shared" si="5"/>
        <v>0.41832155988830322</v>
      </c>
      <c r="AD26" s="71">
        <f t="shared" si="5"/>
        <v>0.41494688476353975</v>
      </c>
      <c r="AE26" s="71">
        <f t="shared" si="5"/>
        <v>0.41177324039911989</v>
      </c>
      <c r="AF26" s="71">
        <f t="shared" si="5"/>
        <v>0.40879480016175418</v>
      </c>
      <c r="AG26" s="71">
        <f t="shared" si="5"/>
        <v>0.40600628807184136</v>
      </c>
      <c r="AH26" s="71">
        <f t="shared" si="5"/>
        <v>0.40340292604358208</v>
      </c>
      <c r="AI26" s="71">
        <f t="shared" si="5"/>
        <v>0.40098042489973207</v>
      </c>
      <c r="AJ26" s="71">
        <f t="shared" si="5"/>
        <v>0.39873495711718798</v>
      </c>
      <c r="AK26" s="71">
        <f t="shared" si="5"/>
        <v>0.39666313527459496</v>
      </c>
      <c r="AL26" s="71">
        <f t="shared" si="5"/>
        <v>0.39476200393388211</v>
      </c>
      <c r="AM26" s="23"/>
    </row>
    <row r="27" spans="1:39" x14ac:dyDescent="0.25">
      <c r="A27" t="s">
        <v>94</v>
      </c>
      <c r="B27" s="59">
        <v>11.55</v>
      </c>
      <c r="C27" s="71">
        <f t="shared" si="5"/>
        <v>0.62134757794679907</v>
      </c>
      <c r="D27" s="71">
        <f t="shared" si="5"/>
        <v>0.62134757794679907</v>
      </c>
      <c r="E27" s="71">
        <f t="shared" si="5"/>
        <v>0.62134757794679907</v>
      </c>
      <c r="F27" s="71">
        <f t="shared" si="5"/>
        <v>0.62134757794679907</v>
      </c>
      <c r="G27" s="71">
        <f t="shared" si="5"/>
        <v>0.62134757794679907</v>
      </c>
      <c r="H27" s="71">
        <f t="shared" si="5"/>
        <v>0.61508444641598004</v>
      </c>
      <c r="I27" s="71">
        <f t="shared" si="5"/>
        <v>0.60971532403918027</v>
      </c>
      <c r="J27" s="71">
        <f t="shared" si="5"/>
        <v>0.6041380071590603</v>
      </c>
      <c r="K27" s="71">
        <f t="shared" si="5"/>
        <v>0.59892054792768679</v>
      </c>
      <c r="L27" s="71">
        <f t="shared" si="5"/>
        <v>0.59386556937088064</v>
      </c>
      <c r="M27" s="71">
        <f t="shared" si="5"/>
        <v>0.58896744494578113</v>
      </c>
      <c r="N27" s="71">
        <f t="shared" si="5"/>
        <v>0.58422082825083721</v>
      </c>
      <c r="O27" s="71">
        <f t="shared" si="5"/>
        <v>0.57962066287197811</v>
      </c>
      <c r="P27" s="71">
        <f t="shared" si="5"/>
        <v>0.57516213546044415</v>
      </c>
      <c r="Q27" s="71">
        <f t="shared" si="5"/>
        <v>0.57084067779719716</v>
      </c>
      <c r="R27" s="71">
        <f t="shared" si="5"/>
        <v>0.56665195273234781</v>
      </c>
      <c r="S27" s="71">
        <f t="shared" si="5"/>
        <v>0.56259183454369976</v>
      </c>
      <c r="T27" s="71">
        <f t="shared" si="5"/>
        <v>0.5586564035280176</v>
      </c>
      <c r="U27" s="71">
        <f t="shared" si="5"/>
        <v>0.55484192818808376</v>
      </c>
      <c r="V27" s="71">
        <f t="shared" si="5"/>
        <v>0.55114485811923053</v>
      </c>
      <c r="W27" s="71">
        <f t="shared" si="5"/>
        <v>0.54756181427783213</v>
      </c>
      <c r="X27" s="71">
        <f t="shared" si="5"/>
        <v>0.54408958631255933</v>
      </c>
      <c r="Y27" s="71">
        <f t="shared" si="5"/>
        <v>0.5407251048216023</v>
      </c>
      <c r="Z27" s="71">
        <f t="shared" si="5"/>
        <v>0.53746545913571531</v>
      </c>
      <c r="AA27" s="71">
        <f t="shared" si="5"/>
        <v>0.53430787069214969</v>
      </c>
      <c r="AB27" s="71">
        <f t="shared" si="5"/>
        <v>0.53125193939801307</v>
      </c>
      <c r="AC27" s="71">
        <f t="shared" si="5"/>
        <v>0.52829041488151762</v>
      </c>
      <c r="AD27" s="71">
        <f t="shared" si="5"/>
        <v>0.52542338489057339</v>
      </c>
      <c r="AE27" s="71">
        <f t="shared" si="5"/>
        <v>0.52264855708126212</v>
      </c>
      <c r="AF27" s="71">
        <f t="shared" si="5"/>
        <v>0.5199637535789996</v>
      </c>
      <c r="AG27" s="71">
        <f t="shared" si="5"/>
        <v>0.5173668966698004</v>
      </c>
      <c r="AH27" s="71">
        <f t="shared" si="5"/>
        <v>0.51485601036096218</v>
      </c>
      <c r="AI27" s="71">
        <f t="shared" si="5"/>
        <v>0.51242920986936824</v>
      </c>
      <c r="AJ27" s="71">
        <f t="shared" si="5"/>
        <v>0.51008470065459655</v>
      </c>
      <c r="AK27" s="71">
        <f t="shared" si="5"/>
        <v>0.50782077764311284</v>
      </c>
      <c r="AL27" s="71">
        <f t="shared" si="5"/>
        <v>0.50563581555073767</v>
      </c>
      <c r="AM27" s="23"/>
    </row>
    <row r="28" spans="1:39" x14ac:dyDescent="0.25">
      <c r="A28" t="s">
        <v>93</v>
      </c>
      <c r="B28" s="69">
        <f>88.9/97.2</f>
        <v>0.91460905349794241</v>
      </c>
      <c r="C28" s="71">
        <f t="shared" si="5"/>
        <v>0.62134757794679907</v>
      </c>
      <c r="D28" s="71">
        <f t="shared" si="5"/>
        <v>0.62134757794679907</v>
      </c>
      <c r="E28" s="71">
        <f t="shared" si="5"/>
        <v>0.62134757794679907</v>
      </c>
      <c r="F28" s="71">
        <f t="shared" si="5"/>
        <v>0.62134757794679907</v>
      </c>
      <c r="G28" s="71">
        <f t="shared" si="5"/>
        <v>0.62134757794679907</v>
      </c>
      <c r="H28" s="71">
        <f t="shared" si="5"/>
        <v>0.62134757794679907</v>
      </c>
      <c r="I28" s="71">
        <f t="shared" si="5"/>
        <v>0.62134757794679907</v>
      </c>
      <c r="J28" s="71">
        <f t="shared" si="5"/>
        <v>0.62134757794679907</v>
      </c>
      <c r="K28" s="71">
        <f t="shared" si="5"/>
        <v>0.62134757794679907</v>
      </c>
      <c r="L28" s="71">
        <f t="shared" si="5"/>
        <v>0.62134757794679907</v>
      </c>
      <c r="M28" s="71">
        <f t="shared" si="5"/>
        <v>0.62134757794679907</v>
      </c>
      <c r="N28" s="71">
        <f t="shared" si="5"/>
        <v>0.62134757794679907</v>
      </c>
      <c r="O28" s="71">
        <f t="shared" si="5"/>
        <v>0.62134757794679907</v>
      </c>
      <c r="P28" s="71">
        <f t="shared" si="5"/>
        <v>0.62134757794679907</v>
      </c>
      <c r="Q28" s="71">
        <f t="shared" si="5"/>
        <v>0.62134757794679907</v>
      </c>
      <c r="R28" s="71">
        <f t="shared" si="5"/>
        <v>0.62134757794679907</v>
      </c>
      <c r="S28" s="71">
        <f t="shared" si="5"/>
        <v>0.62134757794679907</v>
      </c>
      <c r="T28" s="71">
        <f t="shared" si="5"/>
        <v>0.62134757794679907</v>
      </c>
      <c r="U28" s="71">
        <f t="shared" si="5"/>
        <v>0.62134757794679907</v>
      </c>
      <c r="V28" s="71">
        <f t="shared" si="5"/>
        <v>0.62134757794679907</v>
      </c>
      <c r="W28" s="71">
        <f t="shared" si="5"/>
        <v>0.62134757794679907</v>
      </c>
      <c r="X28" s="71">
        <f t="shared" si="5"/>
        <v>0.62134757794679907</v>
      </c>
      <c r="Y28" s="71">
        <f t="shared" si="5"/>
        <v>0.62134757794679907</v>
      </c>
      <c r="Z28" s="71">
        <f t="shared" si="5"/>
        <v>0.62134757794679907</v>
      </c>
      <c r="AA28" s="71">
        <f t="shared" si="5"/>
        <v>0.62134757794679907</v>
      </c>
      <c r="AB28" s="71">
        <f t="shared" si="5"/>
        <v>0.62134757794679907</v>
      </c>
      <c r="AC28" s="71">
        <f t="shared" si="5"/>
        <v>0.62134757794679907</v>
      </c>
      <c r="AD28" s="71">
        <f t="shared" si="5"/>
        <v>0.62134757794679907</v>
      </c>
      <c r="AE28" s="71">
        <f t="shared" si="5"/>
        <v>0.62134757794679907</v>
      </c>
      <c r="AF28" s="71">
        <f t="shared" si="5"/>
        <v>0.62134757794679907</v>
      </c>
      <c r="AG28" s="71">
        <f t="shared" si="5"/>
        <v>0.62134757794679907</v>
      </c>
      <c r="AH28" s="71">
        <f t="shared" si="5"/>
        <v>0.62134757794679907</v>
      </c>
      <c r="AI28" s="71">
        <f t="shared" si="5"/>
        <v>0.62134757794679907</v>
      </c>
      <c r="AJ28" s="71">
        <f t="shared" si="5"/>
        <v>0.62134757794679907</v>
      </c>
      <c r="AK28" s="71">
        <f t="shared" si="5"/>
        <v>0.62134757794679907</v>
      </c>
      <c r="AL28" s="71">
        <f t="shared" si="5"/>
        <v>0.62134757794679907</v>
      </c>
      <c r="AM28" s="23"/>
    </row>
    <row r="29" spans="1:39" x14ac:dyDescent="0.25">
      <c r="A29" t="s">
        <v>106</v>
      </c>
      <c r="B29">
        <f>1/B28</f>
        <v>1.0933633295838019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23"/>
    </row>
    <row r="30" spans="1:39" x14ac:dyDescent="0.25">
      <c r="D30" s="33"/>
      <c r="E30" s="33"/>
      <c r="F30" s="33"/>
      <c r="G30" s="33"/>
      <c r="H30" s="33"/>
      <c r="I30" s="58" t="s">
        <v>64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M30" s="23"/>
    </row>
    <row r="31" spans="1:39" x14ac:dyDescent="0.25">
      <c r="D31" s="33"/>
      <c r="E31" s="33"/>
      <c r="F31" s="33"/>
      <c r="G31" s="33"/>
      <c r="H31" s="33"/>
      <c r="I31" s="57" t="s">
        <v>59</v>
      </c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M31" s="23"/>
    </row>
    <row r="32" spans="1:39" x14ac:dyDescent="0.25">
      <c r="D32" s="33"/>
      <c r="E32" s="33"/>
      <c r="F32" s="33"/>
      <c r="G32" s="33"/>
      <c r="H32" s="33"/>
      <c r="I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M32" s="23"/>
    </row>
    <row r="33" spans="1:39" x14ac:dyDescent="0.25">
      <c r="D33" s="33"/>
      <c r="E33" s="33"/>
      <c r="F33" s="33"/>
      <c r="G33" s="33"/>
      <c r="H33" s="33"/>
      <c r="I33" t="s">
        <v>61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M33" s="23"/>
    </row>
    <row r="34" spans="1:39" x14ac:dyDescent="0.25">
      <c r="D34" s="33"/>
      <c r="E34" s="33"/>
      <c r="F34" s="33"/>
      <c r="G34" s="33"/>
      <c r="H34" s="33"/>
      <c r="I34" s="57" t="s">
        <v>60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M34" s="23"/>
    </row>
    <row r="35" spans="1:39" x14ac:dyDescent="0.25">
      <c r="D35" s="33"/>
      <c r="E35" s="33"/>
      <c r="F35" s="33"/>
      <c r="G35" s="33"/>
      <c r="H35" s="33"/>
      <c r="I35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M35" s="23"/>
    </row>
    <row r="36" spans="1:39" x14ac:dyDescent="0.25">
      <c r="D36" s="33"/>
      <c r="E36" s="33"/>
      <c r="F36" s="33"/>
      <c r="G36" s="33"/>
      <c r="H36" s="33"/>
      <c r="I36" t="s">
        <v>62</v>
      </c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M36" s="23"/>
    </row>
    <row r="37" spans="1:39" x14ac:dyDescent="0.25">
      <c r="D37" s="33"/>
      <c r="E37" s="33"/>
      <c r="F37" s="33"/>
      <c r="G37" s="33"/>
      <c r="H37" s="33"/>
      <c r="I37" s="57" t="s">
        <v>63</v>
      </c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M37" s="23"/>
    </row>
    <row r="38" spans="1:39" x14ac:dyDescent="0.25"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M38" s="23"/>
    </row>
    <row r="39" spans="1:39" x14ac:dyDescent="0.25"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23"/>
    </row>
    <row r="40" spans="1:39" x14ac:dyDescent="0.25">
      <c r="A40" s="56" t="s">
        <v>57</v>
      </c>
      <c r="C40" s="50">
        <v>2015</v>
      </c>
      <c r="D40" s="50">
        <v>2016</v>
      </c>
      <c r="E40" s="50">
        <v>2017</v>
      </c>
      <c r="F40" s="50">
        <v>2018</v>
      </c>
      <c r="G40" s="50">
        <v>2019</v>
      </c>
      <c r="H40" s="50">
        <v>2020</v>
      </c>
      <c r="I40" s="50">
        <v>2021</v>
      </c>
      <c r="J40" s="50">
        <v>2022</v>
      </c>
      <c r="K40" s="50">
        <v>2023</v>
      </c>
      <c r="L40" s="50">
        <v>2024</v>
      </c>
      <c r="M40" s="50">
        <v>2025</v>
      </c>
      <c r="N40" s="50">
        <v>2026</v>
      </c>
      <c r="O40" s="50">
        <v>2027</v>
      </c>
      <c r="P40" s="50">
        <v>2028</v>
      </c>
      <c r="Q40" s="50">
        <v>2029</v>
      </c>
      <c r="R40" s="50">
        <v>2030</v>
      </c>
      <c r="S40" s="50">
        <v>2031</v>
      </c>
      <c r="T40" s="50">
        <v>2032</v>
      </c>
      <c r="U40" s="50">
        <v>2033</v>
      </c>
      <c r="V40" s="50">
        <v>2034</v>
      </c>
      <c r="W40" s="50">
        <v>2035</v>
      </c>
      <c r="X40" s="50">
        <v>2036</v>
      </c>
      <c r="Y40" s="50">
        <v>2037</v>
      </c>
      <c r="Z40" s="50">
        <v>2038</v>
      </c>
      <c r="AA40" s="50">
        <v>2039</v>
      </c>
      <c r="AB40" s="50">
        <v>2040</v>
      </c>
      <c r="AC40" s="50">
        <v>2041</v>
      </c>
      <c r="AD40" s="50">
        <v>2042</v>
      </c>
      <c r="AE40" s="50">
        <v>2043</v>
      </c>
      <c r="AF40" s="50">
        <v>2044</v>
      </c>
      <c r="AG40" s="50">
        <v>2045</v>
      </c>
      <c r="AH40" s="50">
        <v>2046</v>
      </c>
      <c r="AI40" s="50">
        <v>2047</v>
      </c>
      <c r="AJ40" s="50">
        <v>2048</v>
      </c>
      <c r="AK40" s="50">
        <v>2049</v>
      </c>
      <c r="AL40" s="50">
        <v>2050</v>
      </c>
      <c r="AM40" s="23"/>
    </row>
    <row r="41" spans="1:39" x14ac:dyDescent="0.25">
      <c r="A41" s="137" t="s">
        <v>30</v>
      </c>
      <c r="B41" s="27" t="s">
        <v>33</v>
      </c>
      <c r="C41" s="33">
        <f>C3/$C3</f>
        <v>1</v>
      </c>
      <c r="D41" s="33">
        <f t="shared" ref="D41:AL46" si="6">D3/$C3</f>
        <v>1.0185405506761016</v>
      </c>
      <c r="E41" s="33">
        <f t="shared" si="6"/>
        <v>1.0365523124959464</v>
      </c>
      <c r="F41" s="33">
        <f t="shared" si="6"/>
        <v>1.0540352802297541</v>
      </c>
      <c r="G41" s="33">
        <f t="shared" si="6"/>
        <v>1.070989453877272</v>
      </c>
      <c r="H41" s="33">
        <f t="shared" si="6"/>
        <v>1.0874148334383731</v>
      </c>
      <c r="I41" s="33">
        <f t="shared" si="6"/>
        <v>1.103311418913564</v>
      </c>
      <c r="J41" s="33">
        <f t="shared" si="6"/>
        <v>1.118679210302465</v>
      </c>
      <c r="K41" s="33">
        <f t="shared" si="6"/>
        <v>1.133518207604949</v>
      </c>
      <c r="L41" s="33">
        <f t="shared" si="6"/>
        <v>1.1478284108215231</v>
      </c>
      <c r="M41" s="33">
        <f t="shared" si="6"/>
        <v>1.1616098199518068</v>
      </c>
      <c r="N41" s="33">
        <f t="shared" si="6"/>
        <v>1.1748624349956744</v>
      </c>
      <c r="O41" s="33">
        <f t="shared" si="6"/>
        <v>1.1875862559536312</v>
      </c>
      <c r="P41" s="33">
        <f t="shared" si="6"/>
        <v>1.1997812828252983</v>
      </c>
      <c r="Q41" s="33">
        <f t="shared" si="6"/>
        <v>1.2114475156105486</v>
      </c>
      <c r="R41" s="33">
        <f t="shared" si="6"/>
        <v>1.2225849543097622</v>
      </c>
      <c r="S41" s="33">
        <f t="shared" si="6"/>
        <v>1.2331935989228122</v>
      </c>
      <c r="T41" s="33">
        <f t="shared" si="6"/>
        <v>1.2432734494494457</v>
      </c>
      <c r="U41" s="33">
        <f t="shared" si="6"/>
        <v>1.252824505890169</v>
      </c>
      <c r="V41" s="33">
        <f t="shared" si="6"/>
        <v>1.2618467682444754</v>
      </c>
      <c r="W41" s="33">
        <f t="shared" si="6"/>
        <v>1.2703402365124923</v>
      </c>
      <c r="X41" s="33">
        <f t="shared" si="6"/>
        <v>1.2783049106944717</v>
      </c>
      <c r="Y41" s="33">
        <f t="shared" si="6"/>
        <v>1.2857407907902878</v>
      </c>
      <c r="Z41" s="33">
        <f t="shared" si="6"/>
        <v>1.2926478767996876</v>
      </c>
      <c r="AA41" s="33">
        <f t="shared" si="6"/>
        <v>1.2990261687230502</v>
      </c>
      <c r="AB41" s="33">
        <f t="shared" si="6"/>
        <v>1.3048756665601231</v>
      </c>
      <c r="AC41" s="33">
        <f t="shared" si="6"/>
        <v>1.3101963703109059</v>
      </c>
      <c r="AD41" s="33">
        <f t="shared" si="6"/>
        <v>1.3149882799756516</v>
      </c>
      <c r="AE41" s="33">
        <f t="shared" si="6"/>
        <v>1.3192513955541074</v>
      </c>
      <c r="AF41" s="33">
        <f t="shared" si="6"/>
        <v>1.3229857170462731</v>
      </c>
      <c r="AG41" s="33">
        <f t="shared" si="6"/>
        <v>1.326191244452402</v>
      </c>
      <c r="AH41" s="33">
        <f t="shared" si="6"/>
        <v>1.328867977772241</v>
      </c>
      <c r="AI41" s="33">
        <f t="shared" si="6"/>
        <v>1.3310159170056635</v>
      </c>
      <c r="AJ41" s="33">
        <f t="shared" si="6"/>
        <v>1.3326350621531751</v>
      </c>
      <c r="AK41" s="33">
        <f t="shared" si="6"/>
        <v>1.3337254132143972</v>
      </c>
      <c r="AL41" s="33">
        <f t="shared" si="6"/>
        <v>1.3342869701892028</v>
      </c>
      <c r="AM41" s="23"/>
    </row>
    <row r="42" spans="1:39" x14ac:dyDescent="0.25">
      <c r="A42" s="138"/>
      <c r="B42" s="28" t="s">
        <v>34</v>
      </c>
      <c r="C42" s="33">
        <f t="shared" ref="C42:R46" si="7">C4/$C4</f>
        <v>1</v>
      </c>
      <c r="D42" s="33">
        <f t="shared" si="7"/>
        <v>1</v>
      </c>
      <c r="E42" s="33">
        <f t="shared" si="7"/>
        <v>1</v>
      </c>
      <c r="F42" s="33">
        <f t="shared" si="7"/>
        <v>1</v>
      </c>
      <c r="G42" s="33">
        <f t="shared" si="7"/>
        <v>1</v>
      </c>
      <c r="H42" s="33">
        <f t="shared" si="7"/>
        <v>1.0101825555292667</v>
      </c>
      <c r="I42" s="33">
        <f t="shared" si="7"/>
        <v>1.0181096690411258</v>
      </c>
      <c r="J42" s="33">
        <f t="shared" si="7"/>
        <v>1.0258883098470732</v>
      </c>
      <c r="K42" s="33">
        <f t="shared" si="7"/>
        <v>1.0335184764656213</v>
      </c>
      <c r="L42" s="33">
        <f t="shared" si="7"/>
        <v>1.0410001688969792</v>
      </c>
      <c r="M42" s="33">
        <f t="shared" si="7"/>
        <v>1.0483333871410423</v>
      </c>
      <c r="N42" s="33">
        <f t="shared" si="7"/>
        <v>1.0555181311978106</v>
      </c>
      <c r="O42" s="33">
        <f t="shared" si="7"/>
        <v>1.062554401067284</v>
      </c>
      <c r="P42" s="33">
        <f t="shared" si="7"/>
        <v>1.0694421967493577</v>
      </c>
      <c r="Q42" s="33">
        <f t="shared" si="7"/>
        <v>1.0761815182441892</v>
      </c>
      <c r="R42" s="33">
        <f t="shared" si="7"/>
        <v>1.0827723655517778</v>
      </c>
      <c r="S42" s="33">
        <f t="shared" si="6"/>
        <v>1.0892147386720195</v>
      </c>
      <c r="T42" s="33">
        <f t="shared" si="6"/>
        <v>1.0955086376050187</v>
      </c>
      <c r="U42" s="33">
        <f t="shared" si="6"/>
        <v>1.1016540623506708</v>
      </c>
      <c r="V42" s="33">
        <f t="shared" si="6"/>
        <v>1.1076510129089228</v>
      </c>
      <c r="W42" s="33">
        <f t="shared" si="6"/>
        <v>1.1134994892800376</v>
      </c>
      <c r="X42" s="33">
        <f t="shared" si="6"/>
        <v>1.1191994914638048</v>
      </c>
      <c r="Y42" s="33">
        <f t="shared" si="6"/>
        <v>1.1247510194602774</v>
      </c>
      <c r="Z42" s="33">
        <f t="shared" si="6"/>
        <v>1.1301540732694553</v>
      </c>
      <c r="AA42" s="33">
        <f t="shared" si="6"/>
        <v>1.1354086528913383</v>
      </c>
      <c r="AB42" s="33">
        <f t="shared" si="6"/>
        <v>1.1405147583257689</v>
      </c>
      <c r="AC42" s="33">
        <f t="shared" si="6"/>
        <v>1.1454723895730621</v>
      </c>
      <c r="AD42" s="33">
        <f t="shared" si="6"/>
        <v>1.1502815466330605</v>
      </c>
      <c r="AE42" s="33">
        <f t="shared" si="6"/>
        <v>1.1549422295057115</v>
      </c>
      <c r="AF42" s="33">
        <f t="shared" si="6"/>
        <v>1.1594544381911203</v>
      </c>
      <c r="AG42" s="33">
        <f t="shared" si="6"/>
        <v>1.1638181726890768</v>
      </c>
      <c r="AH42" s="33">
        <f t="shared" si="6"/>
        <v>1.1680334329998434</v>
      </c>
      <c r="AI42" s="33">
        <f t="shared" si="6"/>
        <v>1.172100219123315</v>
      </c>
      <c r="AJ42" s="33">
        <f t="shared" si="6"/>
        <v>1.1760185310595443</v>
      </c>
      <c r="AK42" s="33">
        <f t="shared" si="6"/>
        <v>1.1797883688084265</v>
      </c>
      <c r="AL42" s="33">
        <f t="shared" si="6"/>
        <v>1.1834097323700135</v>
      </c>
      <c r="AM42" s="23"/>
    </row>
    <row r="43" spans="1:39" x14ac:dyDescent="0.25">
      <c r="A43" s="139"/>
      <c r="B43" s="29" t="s">
        <v>35</v>
      </c>
      <c r="C43" s="33">
        <f t="shared" si="7"/>
        <v>1</v>
      </c>
      <c r="D43" s="33">
        <f t="shared" si="7"/>
        <v>1</v>
      </c>
      <c r="E43" s="33">
        <f t="shared" si="7"/>
        <v>1</v>
      </c>
      <c r="F43" s="33">
        <f t="shared" si="7"/>
        <v>1</v>
      </c>
      <c r="G43" s="33">
        <f t="shared" si="7"/>
        <v>1</v>
      </c>
      <c r="H43" s="33">
        <f t="shared" si="7"/>
        <v>1</v>
      </c>
      <c r="I43" s="33">
        <f t="shared" si="7"/>
        <v>1</v>
      </c>
      <c r="J43" s="33">
        <f t="shared" si="7"/>
        <v>1</v>
      </c>
      <c r="K43" s="33">
        <f t="shared" si="7"/>
        <v>1</v>
      </c>
      <c r="L43" s="33">
        <f t="shared" si="7"/>
        <v>1</v>
      </c>
      <c r="M43" s="33">
        <f t="shared" si="7"/>
        <v>1</v>
      </c>
      <c r="N43" s="33">
        <f t="shared" si="7"/>
        <v>1</v>
      </c>
      <c r="O43" s="33">
        <f t="shared" si="7"/>
        <v>1</v>
      </c>
      <c r="P43" s="33">
        <f t="shared" si="7"/>
        <v>1</v>
      </c>
      <c r="Q43" s="33">
        <f t="shared" si="7"/>
        <v>1</v>
      </c>
      <c r="R43" s="33">
        <f t="shared" si="7"/>
        <v>1</v>
      </c>
      <c r="S43" s="33">
        <f t="shared" si="6"/>
        <v>1</v>
      </c>
      <c r="T43" s="33">
        <f t="shared" si="6"/>
        <v>1</v>
      </c>
      <c r="U43" s="33">
        <f t="shared" si="6"/>
        <v>1</v>
      </c>
      <c r="V43" s="33">
        <f t="shared" si="6"/>
        <v>1</v>
      </c>
      <c r="W43" s="33">
        <f t="shared" si="6"/>
        <v>1</v>
      </c>
      <c r="X43" s="33">
        <f t="shared" si="6"/>
        <v>1</v>
      </c>
      <c r="Y43" s="33">
        <f t="shared" si="6"/>
        <v>1</v>
      </c>
      <c r="Z43" s="33">
        <f t="shared" si="6"/>
        <v>1</v>
      </c>
      <c r="AA43" s="33">
        <f t="shared" si="6"/>
        <v>1</v>
      </c>
      <c r="AB43" s="33">
        <f t="shared" si="6"/>
        <v>1</v>
      </c>
      <c r="AC43" s="33">
        <f t="shared" si="6"/>
        <v>1</v>
      </c>
      <c r="AD43" s="33">
        <f t="shared" si="6"/>
        <v>1</v>
      </c>
      <c r="AE43" s="33">
        <f t="shared" si="6"/>
        <v>1</v>
      </c>
      <c r="AF43" s="33">
        <f t="shared" si="6"/>
        <v>1</v>
      </c>
      <c r="AG43" s="33">
        <f t="shared" si="6"/>
        <v>1</v>
      </c>
      <c r="AH43" s="33">
        <f t="shared" si="6"/>
        <v>1</v>
      </c>
      <c r="AI43" s="33">
        <f t="shared" si="6"/>
        <v>1</v>
      </c>
      <c r="AJ43" s="33">
        <f t="shared" si="6"/>
        <v>1</v>
      </c>
      <c r="AK43" s="33">
        <f t="shared" si="6"/>
        <v>1</v>
      </c>
      <c r="AL43" s="33">
        <f t="shared" si="6"/>
        <v>1</v>
      </c>
      <c r="AM43" s="23"/>
    </row>
    <row r="44" spans="1:39" x14ac:dyDescent="0.25">
      <c r="A44" s="137" t="s">
        <v>31</v>
      </c>
      <c r="B44" s="27" t="s">
        <v>33</v>
      </c>
      <c r="C44" s="33">
        <f t="shared" si="7"/>
        <v>1</v>
      </c>
      <c r="D44" s="33">
        <f t="shared" si="7"/>
        <v>0.94860550745712369</v>
      </c>
      <c r="E44" s="33">
        <f t="shared" si="7"/>
        <v>0.9416785914215573</v>
      </c>
      <c r="F44" s="33">
        <f t="shared" si="7"/>
        <v>0.93114199808983955</v>
      </c>
      <c r="G44" s="33">
        <f t="shared" si="7"/>
        <v>0.91711077577650213</v>
      </c>
      <c r="H44" s="33">
        <f t="shared" si="7"/>
        <v>0.89969997279634961</v>
      </c>
      <c r="I44" s="33">
        <f t="shared" si="7"/>
        <v>0.89453128493973233</v>
      </c>
      <c r="J44" s="33">
        <f t="shared" si="7"/>
        <v>0.88694711758297962</v>
      </c>
      <c r="K44" s="33">
        <f t="shared" si="7"/>
        <v>0.87692050200045757</v>
      </c>
      <c r="L44" s="33">
        <f t="shared" si="7"/>
        <v>0.86453427306262998</v>
      </c>
      <c r="M44" s="33">
        <f t="shared" si="7"/>
        <v>0.84987126563854476</v>
      </c>
      <c r="N44" s="33">
        <f t="shared" si="7"/>
        <v>0.83301431459769071</v>
      </c>
      <c r="O44" s="33">
        <f t="shared" si="7"/>
        <v>0.81404625481045112</v>
      </c>
      <c r="P44" s="33">
        <f t="shared" si="7"/>
        <v>0.79304992114593409</v>
      </c>
      <c r="Q44" s="33">
        <f t="shared" si="7"/>
        <v>0.77010814847366094</v>
      </c>
      <c r="R44" s="33">
        <f t="shared" si="7"/>
        <v>0.7453037716637525</v>
      </c>
      <c r="S44" s="33">
        <f t="shared" si="6"/>
        <v>0.75263180179537958</v>
      </c>
      <c r="T44" s="33">
        <f t="shared" si="6"/>
        <v>0.75911818637017736</v>
      </c>
      <c r="U44" s="33">
        <f t="shared" si="6"/>
        <v>0.76477845692681801</v>
      </c>
      <c r="V44" s="33">
        <f t="shared" si="6"/>
        <v>0.76962814500274868</v>
      </c>
      <c r="W44" s="33">
        <f t="shared" si="6"/>
        <v>0.77368278213618791</v>
      </c>
      <c r="X44" s="33">
        <f t="shared" si="6"/>
        <v>0.77695789986549213</v>
      </c>
      <c r="Y44" s="33">
        <f t="shared" si="6"/>
        <v>0.77946902972857102</v>
      </c>
      <c r="Z44" s="33">
        <f t="shared" si="6"/>
        <v>0.78123170326319613</v>
      </c>
      <c r="AA44" s="33">
        <f t="shared" si="6"/>
        <v>0.7822614520078619</v>
      </c>
      <c r="AB44" s="33">
        <f t="shared" si="6"/>
        <v>0.78257380750034056</v>
      </c>
      <c r="AC44" s="33">
        <f t="shared" si="6"/>
        <v>0.78218430127869576</v>
      </c>
      <c r="AD44" s="33">
        <f t="shared" si="6"/>
        <v>0.78110846488126828</v>
      </c>
      <c r="AE44" s="33">
        <f t="shared" si="6"/>
        <v>0.77936182984584146</v>
      </c>
      <c r="AF44" s="33">
        <f t="shared" si="6"/>
        <v>0.77695992771047073</v>
      </c>
      <c r="AG44" s="33">
        <f t="shared" si="6"/>
        <v>0.77391829001349344</v>
      </c>
      <c r="AH44" s="33">
        <f t="shared" si="6"/>
        <v>0.77025244829269746</v>
      </c>
      <c r="AI44" s="33">
        <f t="shared" si="6"/>
        <v>0.76597793408601156</v>
      </c>
      <c r="AJ44" s="33">
        <f t="shared" si="6"/>
        <v>0.76111027893202998</v>
      </c>
      <c r="AK44" s="33">
        <f t="shared" si="6"/>
        <v>0.75566501436841294</v>
      </c>
      <c r="AL44" s="33">
        <f t="shared" si="6"/>
        <v>0.74965767193309385</v>
      </c>
      <c r="AM44" s="23"/>
    </row>
    <row r="45" spans="1:39" x14ac:dyDescent="0.25">
      <c r="A45" s="138"/>
      <c r="B45" s="28" t="s">
        <v>34</v>
      </c>
      <c r="C45" s="33">
        <f t="shared" si="7"/>
        <v>1</v>
      </c>
      <c r="D45" s="33">
        <f t="shared" si="7"/>
        <v>0.97436226517039115</v>
      </c>
      <c r="E45" s="33">
        <f t="shared" si="7"/>
        <v>0.97212506722420422</v>
      </c>
      <c r="F45" s="33">
        <f t="shared" si="7"/>
        <v>0.96883461190284448</v>
      </c>
      <c r="G45" s="33">
        <f t="shared" si="7"/>
        <v>0.96451065093057853</v>
      </c>
      <c r="H45" s="33">
        <f t="shared" si="7"/>
        <v>0.95917293603092624</v>
      </c>
      <c r="I45" s="33">
        <f t="shared" si="7"/>
        <v>0.95790863368493273</v>
      </c>
      <c r="J45" s="33">
        <f t="shared" si="7"/>
        <v>0.95578948239083994</v>
      </c>
      <c r="K45" s="33">
        <f t="shared" si="7"/>
        <v>0.9528314545870481</v>
      </c>
      <c r="L45" s="33">
        <f t="shared" si="7"/>
        <v>0.94905052271283996</v>
      </c>
      <c r="M45" s="33">
        <f t="shared" si="7"/>
        <v>0.94446265920712691</v>
      </c>
      <c r="N45" s="33">
        <f t="shared" si="7"/>
        <v>0.93908383650861316</v>
      </c>
      <c r="O45" s="33">
        <f t="shared" si="7"/>
        <v>0.93293002705644212</v>
      </c>
      <c r="P45" s="33">
        <f t="shared" si="7"/>
        <v>0.92601720328930837</v>
      </c>
      <c r="Q45" s="33">
        <f t="shared" si="7"/>
        <v>0.91836133764604466</v>
      </c>
      <c r="R45" s="33">
        <f t="shared" si="7"/>
        <v>0.90997840256610485</v>
      </c>
      <c r="S45" s="33">
        <f t="shared" si="6"/>
        <v>0.91461048720573257</v>
      </c>
      <c r="T45" s="33">
        <f t="shared" si="6"/>
        <v>0.9187780371923957</v>
      </c>
      <c r="U45" s="33">
        <f t="shared" si="6"/>
        <v>0.92248777436344054</v>
      </c>
      <c r="V45" s="33">
        <f t="shared" si="6"/>
        <v>0.92574642055626633</v>
      </c>
      <c r="W45" s="33">
        <f t="shared" si="6"/>
        <v>0.92856069760795945</v>
      </c>
      <c r="X45" s="33">
        <f t="shared" si="6"/>
        <v>0.93093732735652768</v>
      </c>
      <c r="Y45" s="33">
        <f t="shared" si="6"/>
        <v>0.93288303163905462</v>
      </c>
      <c r="Z45" s="33">
        <f t="shared" si="6"/>
        <v>0.93440453229284226</v>
      </c>
      <c r="AA45" s="33">
        <f t="shared" si="6"/>
        <v>0.93550855115547615</v>
      </c>
      <c r="AB45" s="33">
        <f t="shared" si="6"/>
        <v>0.93620181006396452</v>
      </c>
      <c r="AC45" s="33">
        <f t="shared" si="6"/>
        <v>0.93649103085619234</v>
      </c>
      <c r="AD45" s="33">
        <f t="shared" si="6"/>
        <v>0.93638293536935202</v>
      </c>
      <c r="AE45" s="33">
        <f t="shared" si="6"/>
        <v>0.93588424544093918</v>
      </c>
      <c r="AF45" s="33">
        <f t="shared" si="6"/>
        <v>0.93500168290815167</v>
      </c>
      <c r="AG45" s="33">
        <f t="shared" si="6"/>
        <v>0.93374196960848588</v>
      </c>
      <c r="AH45" s="33">
        <f t="shared" si="6"/>
        <v>0.93211182737905296</v>
      </c>
      <c r="AI45" s="33">
        <f t="shared" si="6"/>
        <v>0.93011797805780949</v>
      </c>
      <c r="AJ45" s="33">
        <f t="shared" si="6"/>
        <v>0.92776714348186473</v>
      </c>
      <c r="AK45" s="33">
        <f t="shared" si="6"/>
        <v>0.92506604548861582</v>
      </c>
      <c r="AL45" s="33">
        <f t="shared" si="6"/>
        <v>0.92202140591537174</v>
      </c>
      <c r="AM45" s="23"/>
    </row>
    <row r="46" spans="1:39" x14ac:dyDescent="0.25">
      <c r="A46" s="139"/>
      <c r="B46" s="29" t="s">
        <v>35</v>
      </c>
      <c r="C46" s="33">
        <f t="shared" si="7"/>
        <v>1</v>
      </c>
      <c r="D46" s="33">
        <f t="shared" si="7"/>
        <v>1</v>
      </c>
      <c r="E46" s="33">
        <f t="shared" si="7"/>
        <v>1</v>
      </c>
      <c r="F46" s="33">
        <f t="shared" si="7"/>
        <v>1</v>
      </c>
      <c r="G46" s="33">
        <f t="shared" si="7"/>
        <v>1</v>
      </c>
      <c r="H46" s="33">
        <f t="shared" si="7"/>
        <v>1</v>
      </c>
      <c r="I46" s="33">
        <f t="shared" si="7"/>
        <v>1</v>
      </c>
      <c r="J46" s="33">
        <f t="shared" si="7"/>
        <v>1</v>
      </c>
      <c r="K46" s="33">
        <f t="shared" si="7"/>
        <v>1</v>
      </c>
      <c r="L46" s="33">
        <f t="shared" si="7"/>
        <v>1</v>
      </c>
      <c r="M46" s="33">
        <f t="shared" si="7"/>
        <v>1</v>
      </c>
      <c r="N46" s="33">
        <f t="shared" si="7"/>
        <v>1</v>
      </c>
      <c r="O46" s="33">
        <f t="shared" si="7"/>
        <v>1</v>
      </c>
      <c r="P46" s="33">
        <f t="shared" si="7"/>
        <v>1</v>
      </c>
      <c r="Q46" s="33">
        <f t="shared" si="7"/>
        <v>1</v>
      </c>
      <c r="R46" s="33">
        <f t="shared" si="7"/>
        <v>1</v>
      </c>
      <c r="S46" s="33">
        <f t="shared" si="6"/>
        <v>1</v>
      </c>
      <c r="T46" s="33">
        <f t="shared" si="6"/>
        <v>1</v>
      </c>
      <c r="U46" s="33">
        <f t="shared" si="6"/>
        <v>1</v>
      </c>
      <c r="V46" s="33">
        <f t="shared" si="6"/>
        <v>1</v>
      </c>
      <c r="W46" s="33">
        <f t="shared" si="6"/>
        <v>1</v>
      </c>
      <c r="X46" s="33">
        <f t="shared" si="6"/>
        <v>1</v>
      </c>
      <c r="Y46" s="33">
        <f t="shared" si="6"/>
        <v>1</v>
      </c>
      <c r="Z46" s="33">
        <f t="shared" si="6"/>
        <v>1</v>
      </c>
      <c r="AA46" s="33">
        <f t="shared" si="6"/>
        <v>1</v>
      </c>
      <c r="AB46" s="33">
        <f t="shared" si="6"/>
        <v>1</v>
      </c>
      <c r="AC46" s="33">
        <f t="shared" si="6"/>
        <v>1</v>
      </c>
      <c r="AD46" s="33">
        <f t="shared" si="6"/>
        <v>1</v>
      </c>
      <c r="AE46" s="33">
        <f t="shared" si="6"/>
        <v>1</v>
      </c>
      <c r="AF46" s="33">
        <f t="shared" si="6"/>
        <v>1</v>
      </c>
      <c r="AG46" s="33">
        <f t="shared" si="6"/>
        <v>1</v>
      </c>
      <c r="AH46" s="33">
        <f t="shared" si="6"/>
        <v>1</v>
      </c>
      <c r="AI46" s="33">
        <f t="shared" si="6"/>
        <v>1</v>
      </c>
      <c r="AJ46" s="33">
        <f t="shared" si="6"/>
        <v>1</v>
      </c>
      <c r="AK46" s="33">
        <f t="shared" si="6"/>
        <v>1</v>
      </c>
      <c r="AL46" s="33">
        <f t="shared" si="6"/>
        <v>1</v>
      </c>
      <c r="AM46" s="23"/>
    </row>
    <row r="47" spans="1:39" x14ac:dyDescent="0.25">
      <c r="A47" s="137" t="s">
        <v>38</v>
      </c>
      <c r="B47" s="27" t="s">
        <v>33</v>
      </c>
      <c r="C47" s="33">
        <f>C12/$C12</f>
        <v>1</v>
      </c>
      <c r="D47" s="33">
        <f t="shared" ref="D47:AL49" si="8">D12/$C12</f>
        <v>0.98571428571428577</v>
      </c>
      <c r="E47" s="33">
        <f t="shared" si="8"/>
        <v>0.97142857142857142</v>
      </c>
      <c r="F47" s="33">
        <f t="shared" si="8"/>
        <v>0.9571428571428573</v>
      </c>
      <c r="G47" s="33">
        <f t="shared" si="8"/>
        <v>0.94285714285714306</v>
      </c>
      <c r="H47" s="33">
        <f t="shared" si="8"/>
        <v>0.92857142857142883</v>
      </c>
      <c r="I47" s="33">
        <f t="shared" si="8"/>
        <v>0.9142857142857147</v>
      </c>
      <c r="J47" s="33">
        <f t="shared" si="8"/>
        <v>0.90000000000000036</v>
      </c>
      <c r="K47" s="33">
        <f t="shared" si="8"/>
        <v>0.88571428571428612</v>
      </c>
      <c r="L47" s="33">
        <f t="shared" si="8"/>
        <v>0.87142857142857189</v>
      </c>
      <c r="M47" s="33">
        <f t="shared" si="8"/>
        <v>0.85714285714285754</v>
      </c>
      <c r="N47" s="33">
        <f t="shared" si="8"/>
        <v>0.84285714285714342</v>
      </c>
      <c r="O47" s="33">
        <f t="shared" si="8"/>
        <v>0.82857142857142918</v>
      </c>
      <c r="P47" s="33">
        <f t="shared" si="8"/>
        <v>0.81428571428571495</v>
      </c>
      <c r="Q47" s="33">
        <f t="shared" si="8"/>
        <v>0.80000000000000082</v>
      </c>
      <c r="R47" s="33">
        <f t="shared" si="8"/>
        <v>0.78571428571428648</v>
      </c>
      <c r="S47" s="33">
        <f t="shared" si="8"/>
        <v>0.77857142857142936</v>
      </c>
      <c r="T47" s="33">
        <f t="shared" si="8"/>
        <v>0.77142857142857224</v>
      </c>
      <c r="U47" s="33">
        <f t="shared" si="8"/>
        <v>0.76428571428571512</v>
      </c>
      <c r="V47" s="33">
        <f t="shared" si="8"/>
        <v>0.75714285714285801</v>
      </c>
      <c r="W47" s="33">
        <f t="shared" si="8"/>
        <v>0.75000000000000089</v>
      </c>
      <c r="X47" s="33">
        <f t="shared" si="8"/>
        <v>0.74285714285714366</v>
      </c>
      <c r="Y47" s="33">
        <f t="shared" si="8"/>
        <v>0.73571428571428665</v>
      </c>
      <c r="Z47" s="33">
        <f t="shared" si="8"/>
        <v>0.72857142857142954</v>
      </c>
      <c r="AA47" s="33">
        <f t="shared" si="8"/>
        <v>0.72142857142857242</v>
      </c>
      <c r="AB47" s="33">
        <f t="shared" si="8"/>
        <v>0.7142857142857153</v>
      </c>
      <c r="AC47" s="33">
        <f t="shared" si="8"/>
        <v>0.70714285714285818</v>
      </c>
      <c r="AD47" s="33">
        <f t="shared" si="8"/>
        <v>0.70000000000000107</v>
      </c>
      <c r="AE47" s="33">
        <f t="shared" si="8"/>
        <v>0.69285714285714395</v>
      </c>
      <c r="AF47" s="33">
        <f t="shared" si="8"/>
        <v>0.68571428571428694</v>
      </c>
      <c r="AG47" s="33">
        <f t="shared" si="8"/>
        <v>0.67857142857142971</v>
      </c>
      <c r="AH47" s="33">
        <f t="shared" si="8"/>
        <v>0.6714285714285726</v>
      </c>
      <c r="AI47" s="33">
        <f t="shared" si="8"/>
        <v>0.66428571428571548</v>
      </c>
      <c r="AJ47" s="33">
        <f t="shared" si="8"/>
        <v>0.65714285714285836</v>
      </c>
      <c r="AK47" s="33">
        <f t="shared" si="8"/>
        <v>0.65000000000000124</v>
      </c>
      <c r="AL47" s="33">
        <f t="shared" si="8"/>
        <v>0.64285714285714413</v>
      </c>
    </row>
    <row r="48" spans="1:39" x14ac:dyDescent="0.25">
      <c r="A48" s="138"/>
      <c r="B48" s="28" t="s">
        <v>34</v>
      </c>
      <c r="C48" s="33">
        <f t="shared" ref="C48:R49" si="9">C13/$C13</f>
        <v>1</v>
      </c>
      <c r="D48" s="33">
        <f t="shared" si="9"/>
        <v>1</v>
      </c>
      <c r="E48" s="33">
        <f t="shared" si="9"/>
        <v>1</v>
      </c>
      <c r="F48" s="33">
        <f t="shared" si="9"/>
        <v>1</v>
      </c>
      <c r="G48" s="33">
        <f t="shared" si="9"/>
        <v>1</v>
      </c>
      <c r="H48" s="33">
        <f t="shared" si="9"/>
        <v>1</v>
      </c>
      <c r="I48" s="33">
        <f t="shared" si="9"/>
        <v>1</v>
      </c>
      <c r="J48" s="33">
        <f t="shared" si="9"/>
        <v>1</v>
      </c>
      <c r="K48" s="33">
        <f t="shared" si="9"/>
        <v>1</v>
      </c>
      <c r="L48" s="33">
        <f t="shared" si="9"/>
        <v>1</v>
      </c>
      <c r="M48" s="33">
        <f t="shared" si="9"/>
        <v>1</v>
      </c>
      <c r="N48" s="33">
        <f t="shared" si="9"/>
        <v>1</v>
      </c>
      <c r="O48" s="33">
        <f t="shared" si="9"/>
        <v>1</v>
      </c>
      <c r="P48" s="33">
        <f t="shared" si="9"/>
        <v>1</v>
      </c>
      <c r="Q48" s="33">
        <f t="shared" si="9"/>
        <v>1</v>
      </c>
      <c r="R48" s="33">
        <f t="shared" si="9"/>
        <v>1</v>
      </c>
      <c r="S48" s="33">
        <f t="shared" si="8"/>
        <v>1</v>
      </c>
      <c r="T48" s="33">
        <f t="shared" si="8"/>
        <v>1</v>
      </c>
      <c r="U48" s="33">
        <f t="shared" si="8"/>
        <v>1</v>
      </c>
      <c r="V48" s="33">
        <f t="shared" si="8"/>
        <v>1</v>
      </c>
      <c r="W48" s="33">
        <f t="shared" si="8"/>
        <v>1</v>
      </c>
      <c r="X48" s="33">
        <f t="shared" si="8"/>
        <v>1</v>
      </c>
      <c r="Y48" s="33">
        <f t="shared" si="8"/>
        <v>1</v>
      </c>
      <c r="Z48" s="33">
        <f t="shared" si="8"/>
        <v>1</v>
      </c>
      <c r="AA48" s="33">
        <f t="shared" si="8"/>
        <v>1</v>
      </c>
      <c r="AB48" s="33">
        <f t="shared" si="8"/>
        <v>1</v>
      </c>
      <c r="AC48" s="33">
        <f t="shared" si="8"/>
        <v>1</v>
      </c>
      <c r="AD48" s="33">
        <f t="shared" si="8"/>
        <v>1</v>
      </c>
      <c r="AE48" s="33">
        <f t="shared" si="8"/>
        <v>1</v>
      </c>
      <c r="AF48" s="33">
        <f t="shared" si="8"/>
        <v>1</v>
      </c>
      <c r="AG48" s="33">
        <f t="shared" si="8"/>
        <v>1</v>
      </c>
      <c r="AH48" s="33">
        <f t="shared" si="8"/>
        <v>1</v>
      </c>
      <c r="AI48" s="33">
        <f t="shared" si="8"/>
        <v>1</v>
      </c>
      <c r="AJ48" s="33">
        <f t="shared" si="8"/>
        <v>1</v>
      </c>
      <c r="AK48" s="33">
        <f t="shared" si="8"/>
        <v>1</v>
      </c>
      <c r="AL48" s="33">
        <f t="shared" si="8"/>
        <v>1</v>
      </c>
    </row>
    <row r="49" spans="1:38" x14ac:dyDescent="0.25">
      <c r="A49" s="139"/>
      <c r="B49" s="29" t="s">
        <v>35</v>
      </c>
      <c r="C49" s="33">
        <f t="shared" si="9"/>
        <v>1</v>
      </c>
      <c r="D49" s="33">
        <f t="shared" si="8"/>
        <v>1</v>
      </c>
      <c r="E49" s="33">
        <f t="shared" si="8"/>
        <v>1</v>
      </c>
      <c r="F49" s="33">
        <f t="shared" si="8"/>
        <v>1</v>
      </c>
      <c r="G49" s="33">
        <f t="shared" si="8"/>
        <v>1</v>
      </c>
      <c r="H49" s="33">
        <f t="shared" si="8"/>
        <v>1</v>
      </c>
      <c r="I49" s="33">
        <f t="shared" si="8"/>
        <v>1</v>
      </c>
      <c r="J49" s="33">
        <f t="shared" si="8"/>
        <v>1</v>
      </c>
      <c r="K49" s="33">
        <f t="shared" si="8"/>
        <v>1</v>
      </c>
      <c r="L49" s="33">
        <f t="shared" si="8"/>
        <v>1</v>
      </c>
      <c r="M49" s="33">
        <f t="shared" si="8"/>
        <v>1</v>
      </c>
      <c r="N49" s="33">
        <f t="shared" si="8"/>
        <v>1</v>
      </c>
      <c r="O49" s="33">
        <f t="shared" si="8"/>
        <v>1</v>
      </c>
      <c r="P49" s="33">
        <f t="shared" si="8"/>
        <v>1</v>
      </c>
      <c r="Q49" s="33">
        <f t="shared" si="8"/>
        <v>1</v>
      </c>
      <c r="R49" s="33">
        <f t="shared" si="8"/>
        <v>1</v>
      </c>
      <c r="S49" s="33">
        <f t="shared" si="8"/>
        <v>1</v>
      </c>
      <c r="T49" s="33">
        <f t="shared" si="8"/>
        <v>1</v>
      </c>
      <c r="U49" s="33">
        <f t="shared" si="8"/>
        <v>1</v>
      </c>
      <c r="V49" s="33">
        <f t="shared" si="8"/>
        <v>1</v>
      </c>
      <c r="W49" s="33">
        <f t="shared" si="8"/>
        <v>1</v>
      </c>
      <c r="X49" s="33">
        <f t="shared" si="8"/>
        <v>1</v>
      </c>
      <c r="Y49" s="33">
        <f t="shared" si="8"/>
        <v>1</v>
      </c>
      <c r="Z49" s="33">
        <f t="shared" si="8"/>
        <v>1</v>
      </c>
      <c r="AA49" s="33">
        <f t="shared" si="8"/>
        <v>1</v>
      </c>
      <c r="AB49" s="33">
        <f t="shared" si="8"/>
        <v>1</v>
      </c>
      <c r="AC49" s="33">
        <f t="shared" si="8"/>
        <v>1</v>
      </c>
      <c r="AD49" s="33">
        <f t="shared" si="8"/>
        <v>1</v>
      </c>
      <c r="AE49" s="33">
        <f t="shared" si="8"/>
        <v>1</v>
      </c>
      <c r="AF49" s="33">
        <f t="shared" si="8"/>
        <v>1</v>
      </c>
      <c r="AG49" s="33">
        <f t="shared" si="8"/>
        <v>1</v>
      </c>
      <c r="AH49" s="33">
        <f t="shared" si="8"/>
        <v>1</v>
      </c>
      <c r="AI49" s="33">
        <f t="shared" si="8"/>
        <v>1</v>
      </c>
      <c r="AJ49" s="33">
        <f t="shared" si="8"/>
        <v>1</v>
      </c>
      <c r="AK49" s="33">
        <f t="shared" si="8"/>
        <v>1</v>
      </c>
      <c r="AL49" s="33">
        <f t="shared" si="8"/>
        <v>1</v>
      </c>
    </row>
    <row r="50" spans="1:38" x14ac:dyDescent="0.25">
      <c r="A50" s="137" t="s">
        <v>44</v>
      </c>
      <c r="B50" s="27" t="s">
        <v>33</v>
      </c>
      <c r="C50" s="33">
        <f>C22/$C22</f>
        <v>1</v>
      </c>
      <c r="D50" s="33">
        <f t="shared" ref="D50:AL52" si="10">D22/$C22</f>
        <v>0.97788388021790107</v>
      </c>
      <c r="E50" s="33">
        <f t="shared" si="10"/>
        <v>0.95704650865146501</v>
      </c>
      <c r="F50" s="33">
        <f t="shared" si="10"/>
        <v>0.93739097361893087</v>
      </c>
      <c r="G50" s="33">
        <f t="shared" si="10"/>
        <v>0.91883028339367945</v>
      </c>
      <c r="H50" s="33">
        <f t="shared" si="10"/>
        <v>0.9012861505421641</v>
      </c>
      <c r="I50" s="33">
        <f t="shared" si="10"/>
        <v>0.88454610201903994</v>
      </c>
      <c r="J50" s="33">
        <f t="shared" si="10"/>
        <v>0.86805886263496601</v>
      </c>
      <c r="K50" s="33">
        <f t="shared" si="10"/>
        <v>0.8527655530535112</v>
      </c>
      <c r="L50" s="33">
        <f t="shared" si="10"/>
        <v>0.83827776141094579</v>
      </c>
      <c r="M50" s="33">
        <f t="shared" si="10"/>
        <v>0.82454576800245916</v>
      </c>
      <c r="N50" s="33">
        <f t="shared" si="10"/>
        <v>0.81152429638660861</v>
      </c>
      <c r="O50" s="33">
        <f t="shared" si="10"/>
        <v>0.79917201997444531</v>
      </c>
      <c r="P50" s="33">
        <f t="shared" si="10"/>
        <v>0.78745117135448472</v>
      </c>
      <c r="Q50" s="33">
        <f t="shared" si="10"/>
        <v>0.77632719052801935</v>
      </c>
      <c r="R50" s="33">
        <f t="shared" si="10"/>
        <v>0.7657684201811924</v>
      </c>
      <c r="S50" s="33">
        <f t="shared" si="10"/>
        <v>0.75574582796197498</v>
      </c>
      <c r="T50" s="33">
        <f t="shared" si="10"/>
        <v>0.74623276542424455</v>
      </c>
      <c r="U50" s="33">
        <f t="shared" si="10"/>
        <v>0.73720475922115547</v>
      </c>
      <c r="V50" s="33">
        <f t="shared" si="10"/>
        <v>0.72863931252970016</v>
      </c>
      <c r="W50" s="33">
        <f t="shared" si="10"/>
        <v>0.72051574164212739</v>
      </c>
      <c r="X50" s="33">
        <f t="shared" si="10"/>
        <v>0.71281503093185394</v>
      </c>
      <c r="Y50" s="33">
        <f t="shared" si="10"/>
        <v>0.70551969506505696</v>
      </c>
      <c r="Z50" s="33">
        <f t="shared" si="10"/>
        <v>0.69861366478939824</v>
      </c>
      <c r="AA50" s="33">
        <f t="shared" si="10"/>
        <v>0.69208216767005948</v>
      </c>
      <c r="AB50" s="33">
        <f t="shared" si="10"/>
        <v>0.68592802028017796</v>
      </c>
      <c r="AC50" s="33">
        <f t="shared" si="10"/>
        <v>0.68010427239025539</v>
      </c>
      <c r="AD50" s="33">
        <f t="shared" si="10"/>
        <v>0.67461774912596673</v>
      </c>
      <c r="AE50" s="33">
        <f t="shared" si="10"/>
        <v>0.66945806026874999</v>
      </c>
      <c r="AF50" s="33">
        <f t="shared" si="10"/>
        <v>0.66461573291887022</v>
      </c>
      <c r="AG50" s="33">
        <f t="shared" si="10"/>
        <v>0.66008218942551555</v>
      </c>
      <c r="AH50" s="33">
        <f t="shared" si="10"/>
        <v>0.65584966161014202</v>
      </c>
      <c r="AI50" s="33">
        <f t="shared" si="10"/>
        <v>0.65191117615832217</v>
      </c>
      <c r="AJ50" s="33">
        <f t="shared" si="10"/>
        <v>0.64826051030970877</v>
      </c>
      <c r="AK50" s="33">
        <f t="shared" si="10"/>
        <v>0.6448921568183057</v>
      </c>
      <c r="AL50" s="33">
        <f t="shared" si="10"/>
        <v>0.64180131075352465</v>
      </c>
    </row>
    <row r="51" spans="1:38" x14ac:dyDescent="0.25">
      <c r="A51" s="138"/>
      <c r="B51" s="28" t="s">
        <v>34</v>
      </c>
      <c r="C51" s="33">
        <f t="shared" ref="C51:R52" si="11">C23/$C23</f>
        <v>1</v>
      </c>
      <c r="D51" s="33">
        <f t="shared" si="11"/>
        <v>1</v>
      </c>
      <c r="E51" s="33">
        <f t="shared" si="11"/>
        <v>1</v>
      </c>
      <c r="F51" s="33">
        <f t="shared" si="11"/>
        <v>1</v>
      </c>
      <c r="G51" s="33">
        <f t="shared" si="11"/>
        <v>1</v>
      </c>
      <c r="H51" s="33">
        <f t="shared" si="11"/>
        <v>0.98992008377740026</v>
      </c>
      <c r="I51" s="33">
        <f t="shared" si="11"/>
        <v>0.98127899050309852</v>
      </c>
      <c r="J51" s="33">
        <f t="shared" si="11"/>
        <v>0.97230282792023337</v>
      </c>
      <c r="K51" s="33">
        <f t="shared" si="11"/>
        <v>0.96390582209522591</v>
      </c>
      <c r="L51" s="33">
        <f t="shared" si="11"/>
        <v>0.955770313506764</v>
      </c>
      <c r="M51" s="33">
        <f t="shared" si="11"/>
        <v>0.94788724676771763</v>
      </c>
      <c r="N51" s="33">
        <f t="shared" si="11"/>
        <v>0.9402480173518265</v>
      </c>
      <c r="O51" s="33">
        <f t="shared" si="11"/>
        <v>0.93284448744017845</v>
      </c>
      <c r="P51" s="33">
        <f t="shared" si="11"/>
        <v>0.92566891040442845</v>
      </c>
      <c r="Q51" s="33">
        <f t="shared" si="11"/>
        <v>0.91871393412927016</v>
      </c>
      <c r="R51" s="33">
        <f t="shared" si="11"/>
        <v>0.91197257838327905</v>
      </c>
      <c r="S51" s="33">
        <f t="shared" si="10"/>
        <v>0.90543820320785084</v>
      </c>
      <c r="T51" s="33">
        <f t="shared" si="10"/>
        <v>0.89910450021236077</v>
      </c>
      <c r="U51" s="33">
        <f t="shared" si="10"/>
        <v>0.89296546390592091</v>
      </c>
      <c r="V51" s="33">
        <f t="shared" si="10"/>
        <v>0.88701538024892823</v>
      </c>
      <c r="W51" s="33">
        <f t="shared" si="10"/>
        <v>0.88124881099112506</v>
      </c>
      <c r="X51" s="33">
        <f t="shared" si="10"/>
        <v>0.87566058937650726</v>
      </c>
      <c r="Y51" s="33">
        <f t="shared" si="10"/>
        <v>0.8702457754939541</v>
      </c>
      <c r="Z51" s="33">
        <f t="shared" si="10"/>
        <v>0.86499968489735402</v>
      </c>
      <c r="AA51" s="33">
        <f t="shared" si="10"/>
        <v>0.85991784575347319</v>
      </c>
      <c r="AB51" s="33">
        <f t="shared" si="10"/>
        <v>0.85499961415074488</v>
      </c>
      <c r="AC51" s="33">
        <f t="shared" si="10"/>
        <v>0.85023332130337992</v>
      </c>
      <c r="AD51" s="33">
        <f t="shared" si="10"/>
        <v>0.84561910843331733</v>
      </c>
      <c r="AE51" s="33">
        <f t="shared" si="10"/>
        <v>0.84115328623042018</v>
      </c>
      <c r="AF51" s="33">
        <f t="shared" si="10"/>
        <v>0.83683234961208752</v>
      </c>
      <c r="AG51" s="33">
        <f t="shared" si="10"/>
        <v>0.83265295469470435</v>
      </c>
      <c r="AH51" s="33">
        <f t="shared" si="10"/>
        <v>0.82861192130541328</v>
      </c>
      <c r="AI51" s="33">
        <f t="shared" si="10"/>
        <v>0.82470621606453476</v>
      </c>
      <c r="AJ51" s="33">
        <f t="shared" si="10"/>
        <v>0.82093295082944862</v>
      </c>
      <c r="AK51" s="33">
        <f t="shared" si="10"/>
        <v>0.81728938144600505</v>
      </c>
      <c r="AL51" s="33">
        <f t="shared" si="10"/>
        <v>0.81377289217345461</v>
      </c>
    </row>
    <row r="52" spans="1:38" x14ac:dyDescent="0.25">
      <c r="A52" s="139"/>
      <c r="B52" s="29" t="s">
        <v>35</v>
      </c>
      <c r="C52" s="33">
        <f t="shared" si="11"/>
        <v>1</v>
      </c>
      <c r="D52" s="33">
        <f t="shared" si="10"/>
        <v>1</v>
      </c>
      <c r="E52" s="33">
        <f t="shared" si="10"/>
        <v>1</v>
      </c>
      <c r="F52" s="33">
        <f t="shared" si="10"/>
        <v>1</v>
      </c>
      <c r="G52" s="33">
        <f t="shared" si="10"/>
        <v>1</v>
      </c>
      <c r="H52" s="33">
        <f t="shared" si="10"/>
        <v>1</v>
      </c>
      <c r="I52" s="33">
        <f t="shared" si="10"/>
        <v>1</v>
      </c>
      <c r="J52" s="33">
        <f t="shared" si="10"/>
        <v>1</v>
      </c>
      <c r="K52" s="33">
        <f t="shared" si="10"/>
        <v>1</v>
      </c>
      <c r="L52" s="33">
        <f t="shared" si="10"/>
        <v>1</v>
      </c>
      <c r="M52" s="33">
        <f t="shared" si="10"/>
        <v>1</v>
      </c>
      <c r="N52" s="33">
        <f t="shared" si="10"/>
        <v>1</v>
      </c>
      <c r="O52" s="33">
        <f t="shared" si="10"/>
        <v>1</v>
      </c>
      <c r="P52" s="33">
        <f t="shared" si="10"/>
        <v>1</v>
      </c>
      <c r="Q52" s="33">
        <f t="shared" si="10"/>
        <v>1</v>
      </c>
      <c r="R52" s="33">
        <f t="shared" si="10"/>
        <v>1</v>
      </c>
      <c r="S52" s="33">
        <f t="shared" si="10"/>
        <v>1</v>
      </c>
      <c r="T52" s="33">
        <f t="shared" si="10"/>
        <v>1</v>
      </c>
      <c r="U52" s="33">
        <f t="shared" si="10"/>
        <v>1</v>
      </c>
      <c r="V52" s="33">
        <f t="shared" si="10"/>
        <v>1</v>
      </c>
      <c r="W52" s="33">
        <f t="shared" si="10"/>
        <v>1</v>
      </c>
      <c r="X52" s="33">
        <f t="shared" si="10"/>
        <v>1</v>
      </c>
      <c r="Y52" s="33">
        <f t="shared" si="10"/>
        <v>1</v>
      </c>
      <c r="Z52" s="33">
        <f t="shared" si="10"/>
        <v>1</v>
      </c>
      <c r="AA52" s="33">
        <f t="shared" si="10"/>
        <v>1</v>
      </c>
      <c r="AB52" s="33">
        <f t="shared" si="10"/>
        <v>1</v>
      </c>
      <c r="AC52" s="33">
        <f t="shared" si="10"/>
        <v>1</v>
      </c>
      <c r="AD52" s="33">
        <f t="shared" si="10"/>
        <v>1</v>
      </c>
      <c r="AE52" s="33">
        <f t="shared" si="10"/>
        <v>1</v>
      </c>
      <c r="AF52" s="33">
        <f t="shared" si="10"/>
        <v>1</v>
      </c>
      <c r="AG52" s="33">
        <f t="shared" si="10"/>
        <v>1</v>
      </c>
      <c r="AH52" s="33">
        <f t="shared" si="10"/>
        <v>1</v>
      </c>
      <c r="AI52" s="33">
        <f t="shared" si="10"/>
        <v>1</v>
      </c>
      <c r="AJ52" s="33">
        <f t="shared" si="10"/>
        <v>1</v>
      </c>
      <c r="AK52" s="33">
        <f t="shared" si="10"/>
        <v>1</v>
      </c>
      <c r="AL52" s="33">
        <f t="shared" si="10"/>
        <v>1</v>
      </c>
    </row>
    <row r="53" spans="1:38" ht="15.75" thickBot="1" x14ac:dyDescent="0.3"/>
    <row r="54" spans="1:38" x14ac:dyDescent="0.25">
      <c r="A54" t="s">
        <v>58</v>
      </c>
      <c r="B54" s="58" t="s">
        <v>64</v>
      </c>
      <c r="N54" s="140" t="s">
        <v>95</v>
      </c>
      <c r="O54" s="141"/>
      <c r="P54" s="72">
        <v>3</v>
      </c>
    </row>
    <row r="55" spans="1:38" x14ac:dyDescent="0.25">
      <c r="B55" s="57" t="s">
        <v>59</v>
      </c>
      <c r="N55" s="73" t="s">
        <v>96</v>
      </c>
      <c r="O55" s="74" t="s">
        <v>97</v>
      </c>
      <c r="P55" s="75" t="s">
        <v>98</v>
      </c>
    </row>
    <row r="56" spans="1:38" x14ac:dyDescent="0.25">
      <c r="N56" s="76" t="s">
        <v>99</v>
      </c>
      <c r="O56" s="77" t="s">
        <v>100</v>
      </c>
      <c r="P56" s="78" t="s">
        <v>101</v>
      </c>
    </row>
    <row r="57" spans="1:38" x14ac:dyDescent="0.25">
      <c r="B57" t="s">
        <v>61</v>
      </c>
      <c r="N57" s="79">
        <v>0</v>
      </c>
      <c r="O57" s="80">
        <v>0.8</v>
      </c>
      <c r="P57" s="81">
        <f>1+1*$B$26^(N57+1)</f>
        <v>1.0820000000000001</v>
      </c>
    </row>
    <row r="58" spans="1:38" x14ac:dyDescent="0.25">
      <c r="B58" s="57" t="s">
        <v>60</v>
      </c>
      <c r="N58" s="82">
        <v>1</v>
      </c>
      <c r="O58" s="83">
        <v>0.1</v>
      </c>
      <c r="P58" s="81">
        <f>(1+1*$B$26)^(N58+1)</f>
        <v>1.1707240000000001</v>
      </c>
    </row>
    <row r="59" spans="1:38" ht="15.75" thickBot="1" x14ac:dyDescent="0.3">
      <c r="N59" s="84">
        <v>2</v>
      </c>
      <c r="O59" s="85">
        <v>0.1</v>
      </c>
      <c r="P59" s="81">
        <f>(1+1*$B$26)^(N59+1)</f>
        <v>1.2667233680000003</v>
      </c>
    </row>
    <row r="60" spans="1:38" x14ac:dyDescent="0.25">
      <c r="B60" t="s">
        <v>62</v>
      </c>
      <c r="N60" s="30" t="s">
        <v>102</v>
      </c>
      <c r="P60" s="70">
        <f>SUMPRODUCT(O57:O59,P57:P59)</f>
        <v>1.1093447368000002</v>
      </c>
    </row>
    <row r="61" spans="1:38" x14ac:dyDescent="0.25">
      <c r="B61" s="57" t="s">
        <v>63</v>
      </c>
    </row>
    <row r="96" spans="10:10" x14ac:dyDescent="0.25">
      <c r="J96" s="68" t="s">
        <v>86</v>
      </c>
    </row>
    <row r="97" spans="4:10" customFormat="1" ht="45" x14ac:dyDescent="0.25">
      <c r="D97" s="30"/>
      <c r="E97" s="67" t="s">
        <v>87</v>
      </c>
      <c r="F97" s="67" t="s">
        <v>88</v>
      </c>
      <c r="G97" s="67" t="s">
        <v>89</v>
      </c>
      <c r="H97" s="67" t="s">
        <v>90</v>
      </c>
      <c r="I97" s="67" t="s">
        <v>92</v>
      </c>
      <c r="J97" s="65"/>
    </row>
    <row r="98" spans="4:10" customFormat="1" ht="30" x14ac:dyDescent="0.25">
      <c r="D98" s="65" t="s">
        <v>85</v>
      </c>
      <c r="E98" s="65">
        <v>649</v>
      </c>
      <c r="F98" s="65">
        <v>559</v>
      </c>
      <c r="G98" s="65">
        <v>787</v>
      </c>
      <c r="H98" s="65">
        <v>1363</v>
      </c>
      <c r="I98" s="65">
        <v>681</v>
      </c>
      <c r="J98" s="65"/>
    </row>
    <row r="99" spans="4:10" customFormat="1" x14ac:dyDescent="0.25">
      <c r="D99" t="s">
        <v>17</v>
      </c>
      <c r="E99" s="30">
        <v>1.51</v>
      </c>
      <c r="F99" s="30">
        <v>1.19</v>
      </c>
      <c r="G99" s="30">
        <v>0.87</v>
      </c>
      <c r="H99" s="30">
        <v>0.75</v>
      </c>
      <c r="I99" s="30">
        <v>0.62</v>
      </c>
      <c r="J99" s="30"/>
    </row>
    <row r="100" spans="4:10" customFormat="1" x14ac:dyDescent="0.25">
      <c r="D100" t="s">
        <v>83</v>
      </c>
      <c r="E100" s="30">
        <v>1.47</v>
      </c>
      <c r="F100" s="30">
        <v>1.06</v>
      </c>
      <c r="G100" s="30">
        <v>0.78</v>
      </c>
      <c r="H100" s="30">
        <v>0.62</v>
      </c>
      <c r="I100" s="30">
        <v>0.57999999999999996</v>
      </c>
      <c r="J100" s="30"/>
    </row>
    <row r="101" spans="4:10" customFormat="1" x14ac:dyDescent="0.25">
      <c r="D101" t="s">
        <v>84</v>
      </c>
      <c r="E101" s="30">
        <v>1.52</v>
      </c>
      <c r="F101" s="30">
        <v>1.29</v>
      </c>
      <c r="G101" s="30">
        <v>0.94</v>
      </c>
      <c r="H101" s="30">
        <v>0.84</v>
      </c>
      <c r="I101" s="30">
        <v>0.64</v>
      </c>
      <c r="J101" s="30"/>
    </row>
  </sheetData>
  <mergeCells count="5">
    <mergeCell ref="A41:A43"/>
    <mergeCell ref="A44:A46"/>
    <mergeCell ref="A47:A49"/>
    <mergeCell ref="A50:A52"/>
    <mergeCell ref="N54:O54"/>
  </mergeCells>
  <hyperlinks>
    <hyperlink ref="B58" r:id="rId1" xr:uid="{00000000-0004-0000-0300-000000000000}"/>
    <hyperlink ref="B55" r:id="rId2" xr:uid="{00000000-0004-0000-0300-000001000000}"/>
    <hyperlink ref="B61" r:id="rId3" xr:uid="{00000000-0004-0000-0300-000002000000}"/>
    <hyperlink ref="J96" r:id="rId4" xr:uid="{00000000-0004-0000-0300-000003000000}"/>
    <hyperlink ref="I34" r:id="rId5" xr:uid="{00000000-0004-0000-0300-000004000000}"/>
    <hyperlink ref="I31" r:id="rId6" xr:uid="{00000000-0004-0000-0300-000005000000}"/>
    <hyperlink ref="I37" r:id="rId7" xr:uid="{00000000-0004-0000-0300-000006000000}"/>
  </hyperlinks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M29"/>
  <sheetViews>
    <sheetView zoomScaleNormal="100" workbookViewId="0">
      <selection activeCell="B1" sqref="B1"/>
    </sheetView>
  </sheetViews>
  <sheetFormatPr defaultRowHeight="15" x14ac:dyDescent="0.25"/>
  <cols>
    <col min="1" max="1" width="20" customWidth="1"/>
    <col min="2" max="2" width="17" customWidth="1"/>
    <col min="3" max="3" width="10.42578125" style="30" customWidth="1"/>
    <col min="4" max="38" width="9.140625" style="30"/>
    <col min="39" max="39" width="12" customWidth="1"/>
  </cols>
  <sheetData>
    <row r="1" spans="2:39" ht="18.75" x14ac:dyDescent="0.3">
      <c r="B1" s="135" t="s">
        <v>201</v>
      </c>
    </row>
    <row r="2" spans="2:39" x14ac:dyDescent="0.25">
      <c r="J2" s="68" t="s">
        <v>86</v>
      </c>
    </row>
    <row r="3" spans="2:39" ht="45" x14ac:dyDescent="0.25">
      <c r="C3"/>
      <c r="E3" s="67" t="s">
        <v>87</v>
      </c>
      <c r="F3" s="67" t="s">
        <v>88</v>
      </c>
      <c r="G3" s="67" t="s">
        <v>89</v>
      </c>
      <c r="H3" s="67" t="s">
        <v>90</v>
      </c>
      <c r="I3" s="67" t="s">
        <v>92</v>
      </c>
      <c r="J3" s="65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2:39" ht="30" x14ac:dyDescent="0.25">
      <c r="C4"/>
      <c r="D4" s="65" t="s">
        <v>85</v>
      </c>
      <c r="E4" s="65">
        <v>649</v>
      </c>
      <c r="F4" s="65">
        <v>559</v>
      </c>
      <c r="G4" s="65">
        <v>787</v>
      </c>
      <c r="H4" s="65">
        <v>1363</v>
      </c>
      <c r="I4" s="65">
        <v>681</v>
      </c>
      <c r="J4" s="65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2:39" x14ac:dyDescent="0.25">
      <c r="C5"/>
      <c r="D5" t="s">
        <v>17</v>
      </c>
      <c r="E5" s="30">
        <v>1.51</v>
      </c>
      <c r="F5" s="30">
        <v>1.19</v>
      </c>
      <c r="G5" s="30">
        <v>0.87</v>
      </c>
      <c r="H5" s="30">
        <v>0.75</v>
      </c>
      <c r="I5" s="30">
        <v>0.62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2:39" x14ac:dyDescent="0.25">
      <c r="C6"/>
      <c r="D6" t="s">
        <v>83</v>
      </c>
      <c r="E6" s="30">
        <v>1.47</v>
      </c>
      <c r="F6" s="30">
        <v>1.06</v>
      </c>
      <c r="G6" s="30">
        <v>0.78</v>
      </c>
      <c r="H6" s="30">
        <v>0.62</v>
      </c>
      <c r="I6" s="30">
        <v>0.57999999999999996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2:39" x14ac:dyDescent="0.25">
      <c r="C7"/>
      <c r="D7" t="s">
        <v>84</v>
      </c>
      <c r="E7" s="30">
        <v>1.52</v>
      </c>
      <c r="F7" s="30">
        <v>1.29</v>
      </c>
      <c r="G7" s="30">
        <v>0.94</v>
      </c>
      <c r="H7" s="30">
        <v>0.84</v>
      </c>
      <c r="I7" s="30">
        <v>0.64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11" spans="2:39" x14ac:dyDescent="0.25">
      <c r="C11" s="50">
        <v>2015</v>
      </c>
      <c r="D11" s="50">
        <v>2016</v>
      </c>
      <c r="E11" s="50">
        <v>2017</v>
      </c>
      <c r="F11" s="50">
        <v>2018</v>
      </c>
      <c r="G11" s="50">
        <v>2019</v>
      </c>
      <c r="H11" s="50">
        <v>2020</v>
      </c>
      <c r="I11" s="50">
        <v>2021</v>
      </c>
      <c r="J11" s="50">
        <v>2022</v>
      </c>
      <c r="K11" s="50">
        <v>2023</v>
      </c>
      <c r="L11" s="50">
        <v>2024</v>
      </c>
      <c r="M11" s="50">
        <v>2025</v>
      </c>
      <c r="N11" s="50">
        <v>2026</v>
      </c>
      <c r="O11" s="50">
        <v>2027</v>
      </c>
      <c r="P11" s="50">
        <v>2028</v>
      </c>
      <c r="Q11" s="50">
        <v>2029</v>
      </c>
      <c r="R11" s="50">
        <v>2030</v>
      </c>
      <c r="S11" s="50">
        <v>2031</v>
      </c>
      <c r="T11" s="50">
        <v>2032</v>
      </c>
      <c r="U11" s="50">
        <v>2033</v>
      </c>
      <c r="V11" s="50">
        <v>2034</v>
      </c>
      <c r="W11" s="50">
        <v>2035</v>
      </c>
      <c r="X11" s="50">
        <v>2036</v>
      </c>
      <c r="Y11" s="50">
        <v>2037</v>
      </c>
      <c r="Z11" s="50">
        <v>2038</v>
      </c>
      <c r="AA11" s="50">
        <v>2039</v>
      </c>
      <c r="AB11" s="50">
        <v>2040</v>
      </c>
      <c r="AC11" s="50">
        <v>2041</v>
      </c>
      <c r="AD11" s="50">
        <v>2042</v>
      </c>
      <c r="AE11" s="50">
        <v>2043</v>
      </c>
      <c r="AF11" s="50">
        <v>2044</v>
      </c>
      <c r="AG11" s="50">
        <v>2045</v>
      </c>
      <c r="AH11" s="50">
        <v>2046</v>
      </c>
      <c r="AI11" s="50">
        <v>2047</v>
      </c>
      <c r="AJ11" s="50">
        <v>2048</v>
      </c>
      <c r="AK11" s="50">
        <v>2049</v>
      </c>
      <c r="AL11" s="50">
        <v>2050</v>
      </c>
      <c r="AM11" s="23"/>
    </row>
    <row r="12" spans="2:39" x14ac:dyDescent="0.25">
      <c r="C12" s="60">
        <v>0.36366571999053598</v>
      </c>
      <c r="D12" s="60">
        <v>0.37379196983901258</v>
      </c>
      <c r="E12" s="60">
        <v>0.38362941229610725</v>
      </c>
      <c r="F12" s="60">
        <v>0.39317804450548322</v>
      </c>
      <c r="G12" s="60">
        <v>0.40243786646700219</v>
      </c>
      <c r="H12" s="60">
        <v>0.41140887818059513</v>
      </c>
      <c r="I12" s="60">
        <v>0.42009107964653847</v>
      </c>
      <c r="J12" s="60">
        <v>0.42848447086462482</v>
      </c>
      <c r="K12" s="60">
        <v>0.43658905183478508</v>
      </c>
      <c r="L12" s="60">
        <v>0.44440482255729574</v>
      </c>
      <c r="M12" s="60">
        <v>0.45193178303194936</v>
      </c>
      <c r="N12" s="60">
        <v>0.45916993325867705</v>
      </c>
      <c r="O12" s="60">
        <v>0.46611927323775504</v>
      </c>
      <c r="P12" s="60">
        <v>0.47277980296897604</v>
      </c>
      <c r="Q12" s="60">
        <v>0.47915152245227099</v>
      </c>
      <c r="R12" s="60">
        <v>0.48523443168784725</v>
      </c>
      <c r="S12" s="60">
        <v>0.49102853067563557</v>
      </c>
      <c r="T12" s="60">
        <v>0.4965338194154979</v>
      </c>
      <c r="U12" s="60">
        <v>0.50175029790771064</v>
      </c>
      <c r="V12" s="60">
        <v>0.50667796615199723</v>
      </c>
      <c r="W12" s="60">
        <v>0.51131682414842694</v>
      </c>
      <c r="X12" s="60">
        <v>0.51566687189713778</v>
      </c>
      <c r="Y12" s="60">
        <v>0.5197281093980608</v>
      </c>
      <c r="Z12" s="60">
        <v>0.52350053665105789</v>
      </c>
      <c r="AA12" s="60">
        <v>0.52698415365633611</v>
      </c>
      <c r="AB12" s="60">
        <v>0.53017896041375745</v>
      </c>
      <c r="AC12" s="60">
        <v>0.53308495692332181</v>
      </c>
      <c r="AD12" s="60">
        <v>0.5357021431851674</v>
      </c>
      <c r="AE12" s="60">
        <v>0.53803051919915601</v>
      </c>
      <c r="AF12" s="60">
        <v>0.54007008496528774</v>
      </c>
      <c r="AG12" s="60">
        <v>0.54182084048370061</v>
      </c>
      <c r="AH12" s="60">
        <v>0.5432827857542567</v>
      </c>
      <c r="AI12" s="60">
        <v>0.54445592077688665</v>
      </c>
      <c r="AJ12" s="60">
        <v>0.54534024555186689</v>
      </c>
      <c r="AK12" s="60">
        <v>0.54593576007899025</v>
      </c>
      <c r="AL12" s="61">
        <v>0.54624246435818757</v>
      </c>
      <c r="AM12" s="23"/>
    </row>
    <row r="13" spans="2:39" x14ac:dyDescent="0.25">
      <c r="C13" s="70">
        <f t="shared" ref="C13:AL13" si="0">C12-$C$12</f>
        <v>0</v>
      </c>
      <c r="D13" s="70">
        <f t="shared" si="0"/>
        <v>1.0126249848476598E-2</v>
      </c>
      <c r="E13" s="70">
        <f t="shared" si="0"/>
        <v>1.9963692305571268E-2</v>
      </c>
      <c r="F13" s="70">
        <f t="shared" si="0"/>
        <v>2.951232451494723E-2</v>
      </c>
      <c r="G13" s="70">
        <f t="shared" si="0"/>
        <v>3.8772146476466207E-2</v>
      </c>
      <c r="H13" s="70">
        <f t="shared" si="0"/>
        <v>4.7743158190059143E-2</v>
      </c>
      <c r="I13" s="70">
        <f t="shared" si="0"/>
        <v>5.6425359656002483E-2</v>
      </c>
      <c r="J13" s="70">
        <f t="shared" si="0"/>
        <v>6.4818750874088837E-2</v>
      </c>
      <c r="K13" s="70">
        <f t="shared" si="0"/>
        <v>7.2923331844249095E-2</v>
      </c>
      <c r="L13" s="70">
        <f t="shared" si="0"/>
        <v>8.0739102566759757E-2</v>
      </c>
      <c r="M13" s="70">
        <f t="shared" si="0"/>
        <v>8.8266063041413378E-2</v>
      </c>
      <c r="N13" s="70">
        <f t="shared" si="0"/>
        <v>9.5504213268141069E-2</v>
      </c>
      <c r="O13" s="70">
        <f t="shared" si="0"/>
        <v>0.10245355324721905</v>
      </c>
      <c r="P13" s="70">
        <f t="shared" si="0"/>
        <v>0.10911408297844005</v>
      </c>
      <c r="Q13" s="70">
        <f t="shared" si="0"/>
        <v>0.11548580246173501</v>
      </c>
      <c r="R13" s="70">
        <f t="shared" si="0"/>
        <v>0.12156871169731126</v>
      </c>
      <c r="S13" s="70">
        <f t="shared" si="0"/>
        <v>0.12736281068509958</v>
      </c>
      <c r="T13" s="70">
        <f t="shared" si="0"/>
        <v>0.13286809942496192</v>
      </c>
      <c r="U13" s="70">
        <f t="shared" si="0"/>
        <v>0.13808457791717466</v>
      </c>
      <c r="V13" s="70">
        <f t="shared" si="0"/>
        <v>0.14301224616146124</v>
      </c>
      <c r="W13" s="70">
        <f t="shared" si="0"/>
        <v>0.14765110415789096</v>
      </c>
      <c r="X13" s="70">
        <f t="shared" si="0"/>
        <v>0.15200115190660179</v>
      </c>
      <c r="Y13" s="70">
        <f t="shared" si="0"/>
        <v>0.15606238940752482</v>
      </c>
      <c r="Z13" s="70">
        <f t="shared" si="0"/>
        <v>0.15983481666052191</v>
      </c>
      <c r="AA13" s="70">
        <f t="shared" si="0"/>
        <v>0.16331843366580012</v>
      </c>
      <c r="AB13" s="70">
        <f t="shared" si="0"/>
        <v>0.16651324042322146</v>
      </c>
      <c r="AC13" s="70">
        <f t="shared" si="0"/>
        <v>0.16941923693278582</v>
      </c>
      <c r="AD13" s="70">
        <f t="shared" si="0"/>
        <v>0.17203642319463142</v>
      </c>
      <c r="AE13" s="70">
        <f t="shared" si="0"/>
        <v>0.17436479920862002</v>
      </c>
      <c r="AF13" s="70">
        <f t="shared" si="0"/>
        <v>0.17640436497475176</v>
      </c>
      <c r="AG13" s="70">
        <f t="shared" si="0"/>
        <v>0.17815512049316462</v>
      </c>
      <c r="AH13" s="70">
        <f t="shared" si="0"/>
        <v>0.17961706576372072</v>
      </c>
      <c r="AI13" s="70">
        <f t="shared" si="0"/>
        <v>0.18079020078635066</v>
      </c>
      <c r="AJ13" s="70">
        <f t="shared" si="0"/>
        <v>0.1816745255613309</v>
      </c>
      <c r="AK13" s="70">
        <f t="shared" si="0"/>
        <v>0.18227004008845427</v>
      </c>
      <c r="AL13" s="70">
        <f t="shared" si="0"/>
        <v>0.18257674436765159</v>
      </c>
      <c r="AM13" s="23">
        <f>R12-C12</f>
        <v>0.12156871169731126</v>
      </c>
    </row>
    <row r="14" spans="2:39" x14ac:dyDescent="0.25">
      <c r="C14" s="30">
        <f t="shared" ref="C14:AL14" si="1">C13*$AM$15</f>
        <v>0</v>
      </c>
      <c r="D14" s="30">
        <f t="shared" si="1"/>
        <v>6.7425627106455542E-3</v>
      </c>
      <c r="E14" s="30">
        <f t="shared" si="1"/>
        <v>1.3292823041157404E-2</v>
      </c>
      <c r="F14" s="30">
        <f t="shared" si="1"/>
        <v>1.9650779089643921E-2</v>
      </c>
      <c r="G14" s="30">
        <f t="shared" si="1"/>
        <v>2.5816430856013026E-2</v>
      </c>
      <c r="H14" s="30">
        <f t="shared" si="1"/>
        <v>3.178977834021874E-2</v>
      </c>
      <c r="I14" s="30">
        <f t="shared" si="1"/>
        <v>3.7570821542445142E-2</v>
      </c>
      <c r="J14" s="30">
        <f t="shared" si="1"/>
        <v>4.3159560462554127E-2</v>
      </c>
      <c r="K14" s="30">
        <f t="shared" si="1"/>
        <v>4.855599510049969E-2</v>
      </c>
      <c r="L14" s="30">
        <f t="shared" si="1"/>
        <v>5.376012545646594E-2</v>
      </c>
      <c r="M14" s="30">
        <f t="shared" si="1"/>
        <v>5.8771951530314739E-2</v>
      </c>
      <c r="N14" s="30">
        <f t="shared" si="1"/>
        <v>6.3591473322000228E-2</v>
      </c>
      <c r="O14" s="30">
        <f t="shared" si="1"/>
        <v>6.8218690831706313E-2</v>
      </c>
      <c r="P14" s="30">
        <f t="shared" si="1"/>
        <v>7.2653604059294996E-2</v>
      </c>
      <c r="Q14" s="30">
        <f t="shared" si="1"/>
        <v>7.6896213004720285E-2</v>
      </c>
      <c r="R14" s="30">
        <f t="shared" si="1"/>
        <v>8.0946517668120249E-2</v>
      </c>
      <c r="S14" s="30">
        <f t="shared" si="1"/>
        <v>8.4804518049448774E-2</v>
      </c>
      <c r="T14" s="30">
        <f t="shared" si="1"/>
        <v>8.847021414861396E-2</v>
      </c>
      <c r="U14" s="30">
        <f t="shared" si="1"/>
        <v>9.1943605965799813E-2</v>
      </c>
      <c r="V14" s="30">
        <f t="shared" si="1"/>
        <v>9.5224693500822216E-2</v>
      </c>
      <c r="W14" s="30">
        <f t="shared" si="1"/>
        <v>9.8313476753727272E-2</v>
      </c>
      <c r="X14" s="30">
        <f t="shared" si="1"/>
        <v>0.10120995572460688</v>
      </c>
      <c r="Y14" s="30">
        <f t="shared" si="1"/>
        <v>0.10391413041341514</v>
      </c>
      <c r="Z14" s="30">
        <f t="shared" si="1"/>
        <v>0.1064260008200601</v>
      </c>
      <c r="AA14" s="30">
        <f t="shared" si="1"/>
        <v>0.10874556694467959</v>
      </c>
      <c r="AB14" s="30">
        <f t="shared" si="1"/>
        <v>0.11087282878718176</v>
      </c>
      <c r="AC14" s="30">
        <f t="shared" si="1"/>
        <v>0.11280778634756651</v>
      </c>
      <c r="AD14" s="30">
        <f t="shared" si="1"/>
        <v>0.11455043962592588</v>
      </c>
      <c r="AE14" s="30">
        <f t="shared" si="1"/>
        <v>0.11610078862216786</v>
      </c>
      <c r="AF14" s="30">
        <f t="shared" si="1"/>
        <v>0.11745883333629251</v>
      </c>
      <c r="AG14" s="30">
        <f t="shared" si="1"/>
        <v>0.11862457376839169</v>
      </c>
      <c r="AH14" s="30">
        <f t="shared" si="1"/>
        <v>0.11959800991837362</v>
      </c>
      <c r="AI14" s="30">
        <f t="shared" si="1"/>
        <v>0.12037914178619209</v>
      </c>
      <c r="AJ14" s="30">
        <f t="shared" si="1"/>
        <v>0.12096796937203116</v>
      </c>
      <c r="AK14" s="30">
        <f t="shared" si="1"/>
        <v>0.1213644926757529</v>
      </c>
      <c r="AL14" s="30">
        <f t="shared" si="1"/>
        <v>0.12156871169731126</v>
      </c>
      <c r="AM14" s="23">
        <f>AL12-C12</f>
        <v>0.18257674436765159</v>
      </c>
    </row>
    <row r="15" spans="2:39" x14ac:dyDescent="0.25">
      <c r="C15" s="60">
        <v>0.36366571999053598</v>
      </c>
      <c r="D15" s="131">
        <f t="shared" ref="D15:AL15" si="2">$C$12+D14</f>
        <v>0.37040828270118153</v>
      </c>
      <c r="E15" s="131">
        <f t="shared" si="2"/>
        <v>0.3769585430316934</v>
      </c>
      <c r="F15" s="131">
        <f t="shared" si="2"/>
        <v>0.3833164990801799</v>
      </c>
      <c r="G15" s="131">
        <f t="shared" si="2"/>
        <v>0.38948215084654902</v>
      </c>
      <c r="H15" s="131">
        <f t="shared" si="2"/>
        <v>0.39545549833075472</v>
      </c>
      <c r="I15" s="131">
        <f t="shared" si="2"/>
        <v>0.40123654153298111</v>
      </c>
      <c r="J15" s="131">
        <f t="shared" si="2"/>
        <v>0.40682528045309013</v>
      </c>
      <c r="K15" s="131">
        <f t="shared" si="2"/>
        <v>0.41222171509103567</v>
      </c>
      <c r="L15" s="131">
        <f t="shared" si="2"/>
        <v>0.4174258454470019</v>
      </c>
      <c r="M15" s="131">
        <f t="shared" si="2"/>
        <v>0.42243767152085071</v>
      </c>
      <c r="N15" s="131">
        <f t="shared" si="2"/>
        <v>0.4272571933125362</v>
      </c>
      <c r="O15" s="131">
        <f t="shared" si="2"/>
        <v>0.43188441082224227</v>
      </c>
      <c r="P15" s="131">
        <f t="shared" si="2"/>
        <v>0.43631932404983098</v>
      </c>
      <c r="Q15" s="131">
        <f t="shared" si="2"/>
        <v>0.44056193299525626</v>
      </c>
      <c r="R15" s="131">
        <f t="shared" si="2"/>
        <v>0.44461223765865621</v>
      </c>
      <c r="S15" s="131">
        <f t="shared" si="2"/>
        <v>0.44847023803998476</v>
      </c>
      <c r="T15" s="131">
        <f t="shared" si="2"/>
        <v>0.45213593413914993</v>
      </c>
      <c r="U15" s="131">
        <f t="shared" si="2"/>
        <v>0.4556093259563358</v>
      </c>
      <c r="V15" s="131">
        <f t="shared" si="2"/>
        <v>0.45889041349135817</v>
      </c>
      <c r="W15" s="131">
        <f t="shared" si="2"/>
        <v>0.46197919674426324</v>
      </c>
      <c r="X15" s="131">
        <f t="shared" si="2"/>
        <v>0.46487567571514288</v>
      </c>
      <c r="Y15" s="131">
        <f t="shared" si="2"/>
        <v>0.46757985040395111</v>
      </c>
      <c r="Z15" s="131">
        <f t="shared" si="2"/>
        <v>0.47009172081059608</v>
      </c>
      <c r="AA15" s="131">
        <f t="shared" si="2"/>
        <v>0.47241128693521556</v>
      </c>
      <c r="AB15" s="131">
        <f t="shared" si="2"/>
        <v>0.47453854877771773</v>
      </c>
      <c r="AC15" s="131">
        <f t="shared" si="2"/>
        <v>0.47647350633810248</v>
      </c>
      <c r="AD15" s="131">
        <f t="shared" si="2"/>
        <v>0.47821615961646186</v>
      </c>
      <c r="AE15" s="131">
        <f t="shared" si="2"/>
        <v>0.47976650861270387</v>
      </c>
      <c r="AF15" s="131">
        <f t="shared" si="2"/>
        <v>0.48112455332682846</v>
      </c>
      <c r="AG15" s="131">
        <f t="shared" si="2"/>
        <v>0.48229029375892768</v>
      </c>
      <c r="AH15" s="131">
        <f t="shared" si="2"/>
        <v>0.48326372990890959</v>
      </c>
      <c r="AI15" s="131">
        <f t="shared" si="2"/>
        <v>0.48404486177672806</v>
      </c>
      <c r="AJ15" s="131">
        <f t="shared" si="2"/>
        <v>0.48463368936256712</v>
      </c>
      <c r="AK15" s="131">
        <f t="shared" si="2"/>
        <v>0.48503021266628887</v>
      </c>
      <c r="AL15" s="131">
        <f t="shared" si="2"/>
        <v>0.48523443168784725</v>
      </c>
      <c r="AM15" s="132">
        <f>AM13/AM14</f>
        <v>0.6658499258400099</v>
      </c>
    </row>
    <row r="16" spans="2:39" x14ac:dyDescent="0.25">
      <c r="C16" s="50">
        <v>2015</v>
      </c>
      <c r="D16" s="50">
        <v>2016</v>
      </c>
      <c r="E16" s="50">
        <v>2017</v>
      </c>
      <c r="F16" s="50">
        <v>2018</v>
      </c>
      <c r="G16" s="50">
        <v>2019</v>
      </c>
      <c r="H16" s="50">
        <v>2020</v>
      </c>
      <c r="I16" s="50">
        <v>2021</v>
      </c>
      <c r="J16" s="50">
        <v>2022</v>
      </c>
      <c r="K16" s="50">
        <v>2023</v>
      </c>
      <c r="L16" s="50">
        <v>2024</v>
      </c>
      <c r="M16" s="50">
        <v>2025</v>
      </c>
      <c r="N16" s="50">
        <v>2026</v>
      </c>
      <c r="O16" s="50">
        <v>2027</v>
      </c>
      <c r="P16" s="50">
        <v>2028</v>
      </c>
      <c r="Q16" s="50">
        <v>2029</v>
      </c>
      <c r="R16" s="50">
        <v>2030</v>
      </c>
      <c r="S16" s="50">
        <v>2031</v>
      </c>
      <c r="T16" s="50">
        <v>2032</v>
      </c>
      <c r="U16" s="50">
        <v>2033</v>
      </c>
      <c r="V16" s="50">
        <v>2034</v>
      </c>
      <c r="W16" s="50">
        <v>2035</v>
      </c>
      <c r="X16" s="50">
        <v>2036</v>
      </c>
      <c r="Y16" s="50">
        <v>2037</v>
      </c>
      <c r="Z16" s="50">
        <v>2038</v>
      </c>
      <c r="AA16" s="50">
        <v>2039</v>
      </c>
      <c r="AB16" s="50">
        <v>2040</v>
      </c>
      <c r="AC16" s="50">
        <v>2041</v>
      </c>
      <c r="AD16" s="50">
        <v>2042</v>
      </c>
      <c r="AE16" s="50">
        <v>2043</v>
      </c>
      <c r="AF16" s="50">
        <v>2044</v>
      </c>
      <c r="AG16" s="50">
        <v>2045</v>
      </c>
      <c r="AH16" s="50">
        <v>2046</v>
      </c>
      <c r="AI16" s="50">
        <v>2047</v>
      </c>
      <c r="AJ16" s="50">
        <v>2048</v>
      </c>
      <c r="AK16" s="50">
        <v>2049</v>
      </c>
      <c r="AL16" s="50">
        <v>2050</v>
      </c>
      <c r="AM16" s="23"/>
    </row>
    <row r="17" spans="1:39" x14ac:dyDescent="0.25">
      <c r="C17" s="62">
        <v>0.36366571999053598</v>
      </c>
      <c r="D17" s="62">
        <v>0.36888912141143076</v>
      </c>
      <c r="E17" s="62">
        <v>0.37401468992733927</v>
      </c>
      <c r="F17" s="62">
        <v>0.37904242456206644</v>
      </c>
      <c r="G17" s="62">
        <v>0.38397232531575048</v>
      </c>
      <c r="H17" s="62">
        <v>0.38880439218832236</v>
      </c>
      <c r="I17" s="62">
        <v>0.39353862517978205</v>
      </c>
      <c r="J17" s="62">
        <v>0.39817502429012958</v>
      </c>
      <c r="K17" s="62">
        <v>0.40271358951929576</v>
      </c>
      <c r="L17" s="62">
        <v>0.40715432086738435</v>
      </c>
      <c r="M17" s="62">
        <v>0.41149721833439523</v>
      </c>
      <c r="N17" s="62">
        <v>0.41574228192025942</v>
      </c>
      <c r="O17" s="62">
        <v>0.41988951162504595</v>
      </c>
      <c r="P17" s="62">
        <v>0.42393890744868573</v>
      </c>
      <c r="Q17" s="62">
        <v>0.42789046939114417</v>
      </c>
      <c r="R17" s="62">
        <v>0.43174419745259418</v>
      </c>
      <c r="S17" s="62">
        <v>0.43550009163289738</v>
      </c>
      <c r="T17" s="62">
        <v>0.43915815193208835</v>
      </c>
      <c r="U17" s="62">
        <v>0.4427183783501672</v>
      </c>
      <c r="V17" s="62">
        <v>0.44618077088713382</v>
      </c>
      <c r="W17" s="62">
        <v>0.44954532954288456</v>
      </c>
      <c r="X17" s="62">
        <v>0.45281205431762683</v>
      </c>
      <c r="Y17" s="62">
        <v>0.45598094521125687</v>
      </c>
      <c r="Z17" s="62">
        <v>0.45905200222374015</v>
      </c>
      <c r="AA17" s="62">
        <v>0.46202522535514584</v>
      </c>
      <c r="AB17" s="62">
        <v>0.4649006146053356</v>
      </c>
      <c r="AC17" s="62">
        <v>0.46767816997448236</v>
      </c>
      <c r="AD17" s="62">
        <v>0.47035789146251689</v>
      </c>
      <c r="AE17" s="62">
        <v>0.47293977906947376</v>
      </c>
      <c r="AF17" s="62">
        <v>0.47542383279528388</v>
      </c>
      <c r="AG17" s="62">
        <v>0.47781005263998183</v>
      </c>
      <c r="AH17" s="62">
        <v>0.48009843860346391</v>
      </c>
      <c r="AI17" s="62">
        <v>0.4822889906859375</v>
      </c>
      <c r="AJ17" s="62">
        <v>0.48438170888729887</v>
      </c>
      <c r="AK17" s="62">
        <v>0.48637659320754806</v>
      </c>
      <c r="AL17" s="63">
        <v>0.48827364364665049</v>
      </c>
      <c r="AM17" s="23"/>
    </row>
    <row r="18" spans="1:39" x14ac:dyDescent="0.25">
      <c r="C18" s="70">
        <f t="shared" ref="C18:AL18" si="3">C17-$C$12</f>
        <v>0</v>
      </c>
      <c r="D18" s="70">
        <f t="shared" si="3"/>
        <v>5.2234014208947799E-3</v>
      </c>
      <c r="E18" s="70">
        <f t="shared" si="3"/>
        <v>1.0348969936803287E-2</v>
      </c>
      <c r="F18" s="70">
        <f t="shared" si="3"/>
        <v>1.5376704571530453E-2</v>
      </c>
      <c r="G18" s="70">
        <f t="shared" si="3"/>
        <v>2.03066053252145E-2</v>
      </c>
      <c r="H18" s="70">
        <f t="shared" si="3"/>
        <v>2.5138672197786371E-2</v>
      </c>
      <c r="I18" s="70">
        <f t="shared" si="3"/>
        <v>2.9872905189246068E-2</v>
      </c>
      <c r="J18" s="70">
        <f t="shared" si="3"/>
        <v>3.4509304299593591E-2</v>
      </c>
      <c r="K18" s="70">
        <f t="shared" si="3"/>
        <v>3.9047869528759771E-2</v>
      </c>
      <c r="L18" s="70">
        <f t="shared" si="3"/>
        <v>4.348860087684836E-2</v>
      </c>
      <c r="M18" s="70">
        <f t="shared" si="3"/>
        <v>4.7831498343859247E-2</v>
      </c>
      <c r="N18" s="70">
        <f t="shared" si="3"/>
        <v>5.2076561929723431E-2</v>
      </c>
      <c r="O18" s="70">
        <f t="shared" si="3"/>
        <v>5.6223791634509968E-2</v>
      </c>
      <c r="P18" s="70">
        <f t="shared" si="3"/>
        <v>6.0273187458149746E-2</v>
      </c>
      <c r="Q18" s="70">
        <f t="shared" si="3"/>
        <v>6.4224749400608183E-2</v>
      </c>
      <c r="R18" s="70">
        <f t="shared" si="3"/>
        <v>6.8078477462058196E-2</v>
      </c>
      <c r="S18" s="70">
        <f t="shared" si="3"/>
        <v>7.1834371642361394E-2</v>
      </c>
      <c r="T18" s="70">
        <f t="shared" si="3"/>
        <v>7.5492431941552363E-2</v>
      </c>
      <c r="U18" s="70">
        <f t="shared" si="3"/>
        <v>7.9052658359631212E-2</v>
      </c>
      <c r="V18" s="70">
        <f t="shared" si="3"/>
        <v>8.251505089659783E-2</v>
      </c>
      <c r="W18" s="70">
        <f t="shared" si="3"/>
        <v>8.5879609552348579E-2</v>
      </c>
      <c r="X18" s="70">
        <f t="shared" si="3"/>
        <v>8.9146334327090848E-2</v>
      </c>
      <c r="Y18" s="70">
        <f t="shared" si="3"/>
        <v>9.2315225220720887E-2</v>
      </c>
      <c r="Z18" s="70">
        <f t="shared" si="3"/>
        <v>9.5386282233204167E-2</v>
      </c>
      <c r="AA18" s="70">
        <f t="shared" si="3"/>
        <v>9.8359505364609856E-2</v>
      </c>
      <c r="AB18" s="70">
        <f t="shared" si="3"/>
        <v>0.10123489461479962</v>
      </c>
      <c r="AC18" s="70">
        <f t="shared" si="3"/>
        <v>0.10401244998394638</v>
      </c>
      <c r="AD18" s="70">
        <f t="shared" si="3"/>
        <v>0.1066921714719809</v>
      </c>
      <c r="AE18" s="70">
        <f t="shared" si="3"/>
        <v>0.10927405907893778</v>
      </c>
      <c r="AF18" s="70">
        <f t="shared" si="3"/>
        <v>0.1117581128047479</v>
      </c>
      <c r="AG18" s="70">
        <f t="shared" si="3"/>
        <v>0.11414433264944585</v>
      </c>
      <c r="AH18" s="70">
        <f t="shared" si="3"/>
        <v>0.11643271861292792</v>
      </c>
      <c r="AI18" s="70">
        <f t="shared" si="3"/>
        <v>0.11862327069540152</v>
      </c>
      <c r="AJ18" s="70">
        <f t="shared" si="3"/>
        <v>0.12071598889676288</v>
      </c>
      <c r="AK18" s="70">
        <f t="shared" si="3"/>
        <v>0.12271087321701207</v>
      </c>
      <c r="AL18" s="70">
        <f t="shared" si="3"/>
        <v>0.12460792365611451</v>
      </c>
      <c r="AM18" s="23">
        <f>R17-C17</f>
        <v>6.8078477462058196E-2</v>
      </c>
    </row>
    <row r="19" spans="1:39" x14ac:dyDescent="0.25">
      <c r="C19" s="30">
        <f>C18*$AM$15</f>
        <v>0</v>
      </c>
      <c r="D19" s="30">
        <f t="shared" ref="D19:AL19" si="4">D18*$AM$20</f>
        <v>2.8537608642692338E-3</v>
      </c>
      <c r="E19" s="30">
        <f t="shared" si="4"/>
        <v>5.6540715544104048E-3</v>
      </c>
      <c r="F19" s="30">
        <f t="shared" si="4"/>
        <v>8.4009315370876542E-3</v>
      </c>
      <c r="G19" s="30">
        <f t="shared" si="4"/>
        <v>1.1094340812376499E-2</v>
      </c>
      <c r="H19" s="30">
        <f t="shared" si="4"/>
        <v>1.3734299380239212E-2</v>
      </c>
      <c r="I19" s="30">
        <f t="shared" si="4"/>
        <v>1.6320807240675791E-2</v>
      </c>
      <c r="J19" s="30">
        <f t="shared" si="4"/>
        <v>1.8853864393686238E-2</v>
      </c>
      <c r="K19" s="30">
        <f t="shared" si="4"/>
        <v>2.133347083923276E-2</v>
      </c>
      <c r="L19" s="30">
        <f t="shared" si="4"/>
        <v>2.3759626577372048E-2</v>
      </c>
      <c r="M19" s="30">
        <f t="shared" si="4"/>
        <v>2.6132331608104034E-2</v>
      </c>
      <c r="N19" s="30">
        <f t="shared" si="4"/>
        <v>2.8451585931391025E-2</v>
      </c>
      <c r="O19" s="30">
        <f t="shared" si="4"/>
        <v>3.0717389547270747E-2</v>
      </c>
      <c r="P19" s="30">
        <f t="shared" si="4"/>
        <v>3.2929742455705444E-2</v>
      </c>
      <c r="Q19" s="30">
        <f t="shared" si="4"/>
        <v>3.5088644656676216E-2</v>
      </c>
      <c r="R19" s="30">
        <f t="shared" si="4"/>
        <v>3.7194096150277536E-2</v>
      </c>
      <c r="S19" s="30">
        <f t="shared" si="4"/>
        <v>3.92460969364338E-2</v>
      </c>
      <c r="T19" s="30">
        <f t="shared" si="4"/>
        <v>4.12446470151639E-2</v>
      </c>
      <c r="U19" s="30">
        <f t="shared" si="4"/>
        <v>4.31897463864679E-2</v>
      </c>
      <c r="V19" s="30">
        <f t="shared" si="4"/>
        <v>4.5081395050345738E-2</v>
      </c>
      <c r="W19" s="30">
        <f t="shared" si="4"/>
        <v>4.6919593006740791E-2</v>
      </c>
      <c r="X19" s="30">
        <f t="shared" si="4"/>
        <v>4.8704340255766358E-2</v>
      </c>
      <c r="Y19" s="30">
        <f t="shared" si="4"/>
        <v>5.043563679736577E-2</v>
      </c>
      <c r="Z19" s="30">
        <f t="shared" si="4"/>
        <v>5.2113482631520144E-2</v>
      </c>
      <c r="AA19" s="30">
        <f t="shared" si="4"/>
        <v>5.3737877758267293E-2</v>
      </c>
      <c r="AB19" s="30">
        <f t="shared" si="4"/>
        <v>5.5308822177531615E-2</v>
      </c>
      <c r="AC19" s="30">
        <f t="shared" si="4"/>
        <v>5.6826315889407598E-2</v>
      </c>
      <c r="AD19" s="30">
        <f t="shared" si="4"/>
        <v>5.8290358893857412E-2</v>
      </c>
      <c r="AE19" s="30">
        <f t="shared" si="4"/>
        <v>5.9700951190899965E-2</v>
      </c>
      <c r="AF19" s="30">
        <f t="shared" si="4"/>
        <v>6.1058092780497487E-2</v>
      </c>
      <c r="AG19" s="30">
        <f t="shared" si="4"/>
        <v>6.2361783662668875E-2</v>
      </c>
      <c r="AH19" s="30">
        <f t="shared" si="4"/>
        <v>6.3612023837357479E-2</v>
      </c>
      <c r="AI19" s="30">
        <f t="shared" si="4"/>
        <v>6.480881330467661E-2</v>
      </c>
      <c r="AJ19" s="30">
        <f t="shared" si="4"/>
        <v>6.5952152064569572E-2</v>
      </c>
      <c r="AK19" s="30">
        <f t="shared" si="4"/>
        <v>6.7042040117036392E-2</v>
      </c>
      <c r="AL19" s="30">
        <f t="shared" si="4"/>
        <v>6.8078477462058196E-2</v>
      </c>
      <c r="AM19" s="23">
        <f>AL17-C17</f>
        <v>0.12460792365611451</v>
      </c>
    </row>
    <row r="20" spans="1:39" x14ac:dyDescent="0.25">
      <c r="C20" s="60">
        <v>0.36366571999053598</v>
      </c>
      <c r="D20" s="131">
        <f t="shared" ref="D20:AL20" si="5">$C$17+D19</f>
        <v>0.36651948085480524</v>
      </c>
      <c r="E20" s="131">
        <f t="shared" si="5"/>
        <v>0.36931979154494637</v>
      </c>
      <c r="F20" s="131">
        <f t="shared" si="5"/>
        <v>0.37206665152762364</v>
      </c>
      <c r="G20" s="131">
        <f t="shared" si="5"/>
        <v>0.37476006080291246</v>
      </c>
      <c r="H20" s="131">
        <f t="shared" si="5"/>
        <v>0.37740001937077522</v>
      </c>
      <c r="I20" s="131">
        <f t="shared" si="5"/>
        <v>0.37998652723121179</v>
      </c>
      <c r="J20" s="131">
        <f t="shared" si="5"/>
        <v>0.38251958438422223</v>
      </c>
      <c r="K20" s="131">
        <f t="shared" si="5"/>
        <v>0.38499919082976874</v>
      </c>
      <c r="L20" s="131">
        <f t="shared" si="5"/>
        <v>0.38742534656790806</v>
      </c>
      <c r="M20" s="131">
        <f t="shared" si="5"/>
        <v>0.38979805159864001</v>
      </c>
      <c r="N20" s="131">
        <f t="shared" si="5"/>
        <v>0.39211730592192701</v>
      </c>
      <c r="O20" s="131">
        <f t="shared" si="5"/>
        <v>0.39438310953780675</v>
      </c>
      <c r="P20" s="131">
        <f t="shared" si="5"/>
        <v>0.39659546244624144</v>
      </c>
      <c r="Q20" s="131">
        <f t="shared" si="5"/>
        <v>0.3987543646472122</v>
      </c>
      <c r="R20" s="131">
        <f t="shared" si="5"/>
        <v>0.40085981614081351</v>
      </c>
      <c r="S20" s="131">
        <f t="shared" si="5"/>
        <v>0.40291181692696976</v>
      </c>
      <c r="T20" s="131">
        <f t="shared" si="5"/>
        <v>0.40491036700569988</v>
      </c>
      <c r="U20" s="131">
        <f t="shared" si="5"/>
        <v>0.40685546637700387</v>
      </c>
      <c r="V20" s="131">
        <f t="shared" si="5"/>
        <v>0.40874711504088174</v>
      </c>
      <c r="W20" s="131">
        <f t="shared" si="5"/>
        <v>0.4105853129972768</v>
      </c>
      <c r="X20" s="131">
        <f t="shared" si="5"/>
        <v>0.41237006024630235</v>
      </c>
      <c r="Y20" s="131">
        <f t="shared" si="5"/>
        <v>0.41410135678790178</v>
      </c>
      <c r="Z20" s="131">
        <f t="shared" si="5"/>
        <v>0.41577920262205614</v>
      </c>
      <c r="AA20" s="131">
        <f t="shared" si="5"/>
        <v>0.41740359774880326</v>
      </c>
      <c r="AB20" s="131">
        <f t="shared" si="5"/>
        <v>0.41897454216806762</v>
      </c>
      <c r="AC20" s="131">
        <f t="shared" si="5"/>
        <v>0.4204920358799436</v>
      </c>
      <c r="AD20" s="131">
        <f t="shared" si="5"/>
        <v>0.4219560788843934</v>
      </c>
      <c r="AE20" s="131">
        <f t="shared" si="5"/>
        <v>0.42336667118143595</v>
      </c>
      <c r="AF20" s="131">
        <f t="shared" si="5"/>
        <v>0.42472381277103349</v>
      </c>
      <c r="AG20" s="131">
        <f t="shared" si="5"/>
        <v>0.42602750365320485</v>
      </c>
      <c r="AH20" s="131">
        <f t="shared" si="5"/>
        <v>0.42727774382789346</v>
      </c>
      <c r="AI20" s="131">
        <f t="shared" si="5"/>
        <v>0.42847453329521257</v>
      </c>
      <c r="AJ20" s="131">
        <f t="shared" si="5"/>
        <v>0.42961787205510554</v>
      </c>
      <c r="AK20" s="131">
        <f t="shared" si="5"/>
        <v>0.43070776010757239</v>
      </c>
      <c r="AL20" s="131">
        <f t="shared" si="5"/>
        <v>0.43174419745259418</v>
      </c>
      <c r="AM20" s="132">
        <f>AM18/AM19</f>
        <v>0.54634148025720342</v>
      </c>
    </row>
    <row r="21" spans="1:39" ht="15.75" thickBot="1" x14ac:dyDescent="0.3"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23"/>
    </row>
    <row r="22" spans="1:39" x14ac:dyDescent="0.25">
      <c r="A22" t="s">
        <v>58</v>
      </c>
      <c r="B22" s="58" t="s">
        <v>64</v>
      </c>
      <c r="N22" s="140" t="s">
        <v>95</v>
      </c>
      <c r="O22" s="141"/>
      <c r="P22" s="72">
        <v>3</v>
      </c>
    </row>
    <row r="23" spans="1:39" x14ac:dyDescent="0.25">
      <c r="B23" s="57" t="s">
        <v>59</v>
      </c>
      <c r="N23" s="73" t="s">
        <v>96</v>
      </c>
      <c r="O23" s="74" t="s">
        <v>97</v>
      </c>
      <c r="P23" s="75" t="s">
        <v>98</v>
      </c>
    </row>
    <row r="24" spans="1:39" x14ac:dyDescent="0.25">
      <c r="L24" s="30" t="s">
        <v>185</v>
      </c>
      <c r="N24" s="76" t="s">
        <v>99</v>
      </c>
      <c r="O24" s="77" t="s">
        <v>100</v>
      </c>
      <c r="P24" s="78" t="s">
        <v>101</v>
      </c>
    </row>
    <row r="25" spans="1:39" x14ac:dyDescent="0.25">
      <c r="B25" t="s">
        <v>61</v>
      </c>
      <c r="L25" s="30">
        <v>8.2000000000000003E-2</v>
      </c>
      <c r="N25" s="79">
        <v>0</v>
      </c>
      <c r="O25" s="80">
        <v>0.8</v>
      </c>
      <c r="P25" s="81">
        <f>1+1*$L$25^(N25+1)</f>
        <v>1.0820000000000001</v>
      </c>
    </row>
    <row r="26" spans="1:39" x14ac:dyDescent="0.25">
      <c r="B26" s="57" t="s">
        <v>60</v>
      </c>
      <c r="N26" s="82">
        <v>1</v>
      </c>
      <c r="O26" s="83">
        <v>0.1</v>
      </c>
      <c r="P26" s="81">
        <f>1*(1+$L$25)^(N26+1)</f>
        <v>1.1707240000000001</v>
      </c>
    </row>
    <row r="27" spans="1:39" ht="15.75" thickBot="1" x14ac:dyDescent="0.3">
      <c r="N27" s="84">
        <v>2</v>
      </c>
      <c r="O27" s="85">
        <v>0.1</v>
      </c>
      <c r="P27" s="81">
        <f>1*(1+$L$25)^(N27+1)</f>
        <v>1.2667233680000003</v>
      </c>
    </row>
    <row r="28" spans="1:39" x14ac:dyDescent="0.25">
      <c r="B28" t="s">
        <v>62</v>
      </c>
      <c r="N28" s="30" t="s">
        <v>102</v>
      </c>
      <c r="P28" s="70">
        <f>SUMPRODUCT(O25:O27,P25:P27)</f>
        <v>1.1093447368000002</v>
      </c>
    </row>
    <row r="29" spans="1:39" x14ac:dyDescent="0.25">
      <c r="B29" s="57" t="s">
        <v>63</v>
      </c>
    </row>
  </sheetData>
  <mergeCells count="1">
    <mergeCell ref="N22:O22"/>
  </mergeCells>
  <hyperlinks>
    <hyperlink ref="B26" r:id="rId1" xr:uid="{00000000-0004-0000-0400-000000000000}"/>
    <hyperlink ref="B23" r:id="rId2" xr:uid="{00000000-0004-0000-0400-000001000000}"/>
    <hyperlink ref="B29" r:id="rId3" xr:uid="{00000000-0004-0000-0400-000002000000}"/>
    <hyperlink ref="J2" r:id="rId4" xr:uid="{00000000-0004-0000-0400-000003000000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P102"/>
  <sheetViews>
    <sheetView showRuler="0" showWhiteSpace="0" zoomScaleNormal="100" zoomScaleSheetLayoutView="100" workbookViewId="0">
      <selection activeCell="B1" sqref="B1"/>
    </sheetView>
  </sheetViews>
  <sheetFormatPr defaultRowHeight="15" x14ac:dyDescent="0.25"/>
  <cols>
    <col min="1" max="1" width="6.28515625" customWidth="1"/>
    <col min="2" max="3" width="6.7109375" customWidth="1"/>
    <col min="4" max="4" width="8.7109375" customWidth="1"/>
    <col min="5" max="5" width="8.5703125" customWidth="1"/>
    <col min="6" max="6" width="14.5703125" customWidth="1"/>
    <col min="7" max="7" width="14.140625" customWidth="1"/>
    <col min="8" max="8" width="13" customWidth="1"/>
    <col min="9" max="9" width="8.140625" customWidth="1"/>
  </cols>
  <sheetData>
    <row r="1" spans="1:9" ht="18.75" x14ac:dyDescent="0.3">
      <c r="B1" s="135" t="s">
        <v>201</v>
      </c>
    </row>
    <row r="2" spans="1:9" s="2" customFormat="1" x14ac:dyDescent="0.25">
      <c r="A2" s="3" t="s">
        <v>8</v>
      </c>
      <c r="B2" s="3" t="s">
        <v>15</v>
      </c>
      <c r="C2" s="3" t="s">
        <v>16</v>
      </c>
      <c r="D2" s="3" t="s">
        <v>21</v>
      </c>
      <c r="E2" s="3" t="s">
        <v>20</v>
      </c>
      <c r="F2" s="3" t="s">
        <v>19</v>
      </c>
      <c r="G2" s="3" t="s">
        <v>18</v>
      </c>
      <c r="H2" s="3" t="s">
        <v>183</v>
      </c>
      <c r="I2" s="3" t="s">
        <v>17</v>
      </c>
    </row>
    <row r="3" spans="1:9" x14ac:dyDescent="0.25">
      <c r="A3" s="4">
        <v>2015</v>
      </c>
      <c r="B3" s="1">
        <v>1851</v>
      </c>
      <c r="C3" s="1">
        <v>1942.4171494312561</v>
      </c>
      <c r="D3" s="20">
        <v>1480</v>
      </c>
      <c r="E3" s="20">
        <v>1480</v>
      </c>
      <c r="F3" s="7">
        <v>1318.75</v>
      </c>
      <c r="G3" s="1">
        <v>1318.75</v>
      </c>
      <c r="H3" s="1">
        <v>1318.75</v>
      </c>
      <c r="I3" s="6">
        <f>AVERAGE(B3,C3,F3,G3,H3)</f>
        <v>1549.9334298862511</v>
      </c>
    </row>
    <row r="4" spans="1:9" x14ac:dyDescent="0.25">
      <c r="A4" s="5">
        <v>2016</v>
      </c>
      <c r="B4" s="1">
        <v>1634</v>
      </c>
      <c r="C4" s="1">
        <v>1843.7059197502595</v>
      </c>
      <c r="D4" s="1">
        <f>D3-($D$3-$D$18)/15</f>
        <v>1436.3333333333333</v>
      </c>
      <c r="E4" s="1">
        <f>E3-($E$3-$E$18)/15</f>
        <v>1426.7333333333333</v>
      </c>
      <c r="F4" s="7">
        <v>1278</v>
      </c>
      <c r="G4" s="1">
        <v>1244.7500000000002</v>
      </c>
      <c r="H4" s="1">
        <v>1244.7500000000002</v>
      </c>
      <c r="I4" s="6">
        <f t="shared" ref="I4:I38" si="0">AVERAGE(B4:G4)</f>
        <v>1477.2537644028209</v>
      </c>
    </row>
    <row r="5" spans="1:9" x14ac:dyDescent="0.25">
      <c r="A5" s="5">
        <v>2017</v>
      </c>
      <c r="B5" s="1">
        <v>1504</v>
      </c>
      <c r="C5" s="1">
        <v>1744.9946900692628</v>
      </c>
      <c r="D5" s="1">
        <f>D4-($D$3-$D$18)/15</f>
        <v>1392.6666666666665</v>
      </c>
      <c r="E5" s="1">
        <f t="shared" ref="E5:E17" si="1">E4-($E$3-$E$18)/15</f>
        <v>1373.4666666666667</v>
      </c>
      <c r="F5" s="7">
        <v>1237.25</v>
      </c>
      <c r="G5" s="1">
        <v>1170.75</v>
      </c>
      <c r="H5" s="1">
        <v>1170.75</v>
      </c>
      <c r="I5" s="6">
        <f t="shared" si="0"/>
        <v>1403.8546705670994</v>
      </c>
    </row>
    <row r="6" spans="1:9" x14ac:dyDescent="0.25">
      <c r="A6" s="5">
        <v>2018</v>
      </c>
      <c r="B6" s="1">
        <v>1391</v>
      </c>
      <c r="C6" s="1">
        <v>1646.2834603882663</v>
      </c>
      <c r="D6" s="1">
        <f t="shared" ref="D6:D17" si="2">D5-($D$3-$D$18)/15</f>
        <v>1348.9999999999998</v>
      </c>
      <c r="E6" s="1">
        <f t="shared" si="1"/>
        <v>1320.2</v>
      </c>
      <c r="F6" s="7">
        <v>1196.5</v>
      </c>
      <c r="G6" s="1">
        <v>1096.75</v>
      </c>
      <c r="H6" s="1">
        <v>1096.75</v>
      </c>
      <c r="I6" s="6">
        <f t="shared" si="0"/>
        <v>1333.288910064711</v>
      </c>
    </row>
    <row r="7" spans="1:9" x14ac:dyDescent="0.25">
      <c r="A7" s="5">
        <v>2019</v>
      </c>
      <c r="B7" s="1">
        <v>1278</v>
      </c>
      <c r="C7" s="1">
        <v>1547.5722307072697</v>
      </c>
      <c r="D7" s="1">
        <f t="shared" si="2"/>
        <v>1305.333333333333</v>
      </c>
      <c r="E7" s="1">
        <f t="shared" si="1"/>
        <v>1266.9333333333334</v>
      </c>
      <c r="F7" s="7">
        <v>1155.75</v>
      </c>
      <c r="G7" s="1">
        <v>1022.75</v>
      </c>
      <c r="H7" s="1">
        <v>1050</v>
      </c>
      <c r="I7" s="6">
        <f t="shared" si="0"/>
        <v>1262.7231495623225</v>
      </c>
    </row>
    <row r="8" spans="1:9" x14ac:dyDescent="0.25">
      <c r="A8" s="5">
        <v>2020</v>
      </c>
      <c r="B8" s="1">
        <v>1183</v>
      </c>
      <c r="C8" s="1">
        <v>1448.8610010262726</v>
      </c>
      <c r="D8" s="1">
        <f t="shared" si="2"/>
        <v>1261.6666666666663</v>
      </c>
      <c r="E8" s="1">
        <f t="shared" si="1"/>
        <v>1213.6666666666667</v>
      </c>
      <c r="F8" s="7">
        <v>1115</v>
      </c>
      <c r="G8" s="1">
        <v>948.75</v>
      </c>
      <c r="H8" s="1">
        <v>1015</v>
      </c>
      <c r="I8" s="6">
        <f t="shared" si="0"/>
        <v>1195.1573890599343</v>
      </c>
    </row>
    <row r="9" spans="1:9" x14ac:dyDescent="0.25">
      <c r="A9" s="5">
        <v>2021</v>
      </c>
      <c r="B9" s="1">
        <v>1096</v>
      </c>
      <c r="C9" s="1">
        <v>1379.918497400155</v>
      </c>
      <c r="D9" s="1">
        <f t="shared" si="2"/>
        <v>1217.9999999999995</v>
      </c>
      <c r="E9" s="1">
        <f t="shared" si="1"/>
        <v>1160.4000000000001</v>
      </c>
      <c r="F9" s="7">
        <v>1094.4999999999998</v>
      </c>
      <c r="G9" s="1">
        <v>922.25000000000023</v>
      </c>
      <c r="H9" s="1">
        <v>971.00946849141542</v>
      </c>
      <c r="I9" s="6">
        <f t="shared" si="0"/>
        <v>1145.1780829000256</v>
      </c>
    </row>
    <row r="10" spans="1:9" x14ac:dyDescent="0.25">
      <c r="A10" s="5">
        <v>2022</v>
      </c>
      <c r="B10" s="1">
        <v>1009</v>
      </c>
      <c r="C10" s="1">
        <v>1310.9759937740373</v>
      </c>
      <c r="D10" s="1">
        <f t="shared" si="2"/>
        <v>1174.3333333333328</v>
      </c>
      <c r="E10" s="1">
        <f t="shared" si="1"/>
        <v>1107.1333333333334</v>
      </c>
      <c r="F10" s="7">
        <v>1073.9999999999998</v>
      </c>
      <c r="G10" s="1">
        <v>895.75000000000011</v>
      </c>
      <c r="H10" s="1">
        <v>937.93290645570073</v>
      </c>
      <c r="I10" s="6">
        <f t="shared" si="0"/>
        <v>1095.1987767401172</v>
      </c>
    </row>
    <row r="11" spans="1:9" x14ac:dyDescent="0.25">
      <c r="A11" s="5">
        <v>2023</v>
      </c>
      <c r="B11" s="1">
        <v>931</v>
      </c>
      <c r="C11" s="1">
        <v>1242.0334901479196</v>
      </c>
      <c r="D11" s="1">
        <f t="shared" si="2"/>
        <v>1130.6666666666661</v>
      </c>
      <c r="E11" s="1">
        <f t="shared" si="1"/>
        <v>1053.8666666666668</v>
      </c>
      <c r="F11" s="7">
        <v>1053.4999999999998</v>
      </c>
      <c r="G11" s="1">
        <v>869.25000000000011</v>
      </c>
      <c r="H11" s="1">
        <v>913.89087658817471</v>
      </c>
      <c r="I11" s="6">
        <f t="shared" si="0"/>
        <v>1046.7194705802087</v>
      </c>
    </row>
    <row r="12" spans="1:9" x14ac:dyDescent="0.25">
      <c r="A12" s="5">
        <v>2024</v>
      </c>
      <c r="B12" s="1">
        <v>870</v>
      </c>
      <c r="C12" s="1">
        <v>1173.0909865218018</v>
      </c>
      <c r="D12" s="1">
        <f t="shared" si="2"/>
        <v>1086.9999999999993</v>
      </c>
      <c r="E12" s="1">
        <f t="shared" si="1"/>
        <v>1000.6000000000001</v>
      </c>
      <c r="F12" s="7">
        <v>1033</v>
      </c>
      <c r="G12" s="1">
        <v>842.75</v>
      </c>
      <c r="H12" s="1">
        <v>896.86011011913524</v>
      </c>
      <c r="I12" s="6">
        <f t="shared" si="0"/>
        <v>1001.0734977536335</v>
      </c>
    </row>
    <row r="13" spans="1:9" x14ac:dyDescent="0.25">
      <c r="A13" s="5">
        <v>2025</v>
      </c>
      <c r="B13" s="1">
        <v>809</v>
      </c>
      <c r="C13" s="1">
        <v>1104.1484828956843</v>
      </c>
      <c r="D13" s="1">
        <f t="shared" si="2"/>
        <v>1043.3333333333326</v>
      </c>
      <c r="E13" s="1">
        <f t="shared" si="1"/>
        <v>947.33333333333348</v>
      </c>
      <c r="F13" s="7">
        <v>1012.5</v>
      </c>
      <c r="G13" s="1">
        <v>816.25</v>
      </c>
      <c r="H13" s="1">
        <v>885</v>
      </c>
      <c r="I13" s="6">
        <f t="shared" si="0"/>
        <v>955.42752492705824</v>
      </c>
    </row>
    <row r="14" spans="1:9" x14ac:dyDescent="0.25">
      <c r="A14" s="5">
        <v>2026</v>
      </c>
      <c r="B14" s="1">
        <v>800.99354037586284</v>
      </c>
      <c r="C14" s="1">
        <v>1091.4389416409294</v>
      </c>
      <c r="D14" s="1">
        <f t="shared" si="2"/>
        <v>999.66666666666595</v>
      </c>
      <c r="E14" s="1">
        <f t="shared" si="1"/>
        <v>894.06666666666683</v>
      </c>
      <c r="F14" s="7">
        <v>998.24999999999989</v>
      </c>
      <c r="G14" s="1">
        <v>796.49999999999977</v>
      </c>
      <c r="H14" s="1">
        <v>873.69796695581442</v>
      </c>
      <c r="I14" s="6">
        <f t="shared" si="0"/>
        <v>930.15263589168751</v>
      </c>
    </row>
    <row r="15" spans="1:9" x14ac:dyDescent="0.25">
      <c r="A15" s="5">
        <v>2027</v>
      </c>
      <c r="B15" s="1">
        <v>793.30733913669121</v>
      </c>
      <c r="C15" s="1">
        <v>1078.7294003861748</v>
      </c>
      <c r="D15" s="1">
        <f t="shared" si="2"/>
        <v>955.99999999999932</v>
      </c>
      <c r="E15" s="1">
        <f t="shared" si="1"/>
        <v>840.80000000000018</v>
      </c>
      <c r="F15" s="7">
        <v>983.99999999999989</v>
      </c>
      <c r="G15" s="1">
        <v>776.74999999999977</v>
      </c>
      <c r="H15" s="1">
        <v>864.25770684395491</v>
      </c>
      <c r="I15" s="6">
        <f t="shared" si="0"/>
        <v>904.93112325381082</v>
      </c>
    </row>
    <row r="16" spans="1:9" x14ac:dyDescent="0.25">
      <c r="A16" s="5">
        <v>2028</v>
      </c>
      <c r="B16" s="1">
        <v>785.92858594708639</v>
      </c>
      <c r="C16" s="1">
        <v>1066.0198591314199</v>
      </c>
      <c r="D16" s="1">
        <f t="shared" si="2"/>
        <v>912.33333333333269</v>
      </c>
      <c r="E16" s="1">
        <f t="shared" si="1"/>
        <v>787.53333333333353</v>
      </c>
      <c r="F16" s="7">
        <v>969.74999999999989</v>
      </c>
      <c r="G16" s="1">
        <v>756.99999999999989</v>
      </c>
      <c r="H16" s="1">
        <v>855.23264564124599</v>
      </c>
      <c r="I16" s="6">
        <f t="shared" si="0"/>
        <v>879.76085195752876</v>
      </c>
    </row>
    <row r="17" spans="1:16" x14ac:dyDescent="0.25">
      <c r="A17" s="5">
        <v>2029</v>
      </c>
      <c r="B17" s="1">
        <v>778.84498288506575</v>
      </c>
      <c r="C17" s="1">
        <v>1053.3103178766653</v>
      </c>
      <c r="D17" s="1">
        <f t="shared" si="2"/>
        <v>868.66666666666606</v>
      </c>
      <c r="E17" s="1">
        <f t="shared" si="1"/>
        <v>734.26666666666688</v>
      </c>
      <c r="F17" s="7">
        <v>955.49999999999989</v>
      </c>
      <c r="G17" s="1">
        <v>737.24999999999989</v>
      </c>
      <c r="H17" s="1">
        <v>846.57181787817035</v>
      </c>
      <c r="I17" s="6">
        <f t="shared" si="0"/>
        <v>854.63977234917729</v>
      </c>
    </row>
    <row r="18" spans="1:16" x14ac:dyDescent="0.25">
      <c r="A18" s="5">
        <v>2030</v>
      </c>
      <c r="B18" s="1">
        <v>772.04472394552602</v>
      </c>
      <c r="C18" s="1">
        <v>1040.6007766219102</v>
      </c>
      <c r="D18" s="1">
        <v>825</v>
      </c>
      <c r="E18" s="1">
        <v>681</v>
      </c>
      <c r="F18" s="7">
        <v>941.25</v>
      </c>
      <c r="G18" s="1">
        <v>717.5</v>
      </c>
      <c r="H18" s="1">
        <v>840</v>
      </c>
      <c r="I18" s="6">
        <f t="shared" si="0"/>
        <v>829.56591676123935</v>
      </c>
    </row>
    <row r="19" spans="1:16" x14ac:dyDescent="0.25">
      <c r="A19" s="5">
        <v>2031</v>
      </c>
      <c r="B19" s="1">
        <v>765.51647536356779</v>
      </c>
      <c r="C19" s="1">
        <v>1030.3551644831705</v>
      </c>
      <c r="D19" s="1">
        <f>D18-($D$18-$D$28)/10</f>
        <v>821.5</v>
      </c>
      <c r="E19" s="1">
        <f>E18-($E$18-$E$28)/10</f>
        <v>666.5</v>
      </c>
      <c r="F19" s="7">
        <v>930.50000000000011</v>
      </c>
      <c r="G19" s="1">
        <v>697.5</v>
      </c>
      <c r="H19" s="1">
        <v>828.05344744318586</v>
      </c>
      <c r="I19" s="6">
        <f t="shared" si="0"/>
        <v>818.64527330778981</v>
      </c>
    </row>
    <row r="20" spans="1:16" x14ac:dyDescent="0.25">
      <c r="A20" s="5">
        <v>2032</v>
      </c>
      <c r="B20" s="1">
        <v>759.24935672488789</v>
      </c>
      <c r="C20" s="1">
        <v>1020.1095523444308</v>
      </c>
      <c r="D20" s="1">
        <f t="shared" ref="D20:D27" si="3">D19-($D$18-$D$28)/10</f>
        <v>818</v>
      </c>
      <c r="E20" s="1">
        <f t="shared" ref="E20:E27" si="4">E19-($E$18-$E$28)/10</f>
        <v>652</v>
      </c>
      <c r="F20" s="7">
        <v>919.75</v>
      </c>
      <c r="G20" s="1">
        <v>677.5</v>
      </c>
      <c r="H20" s="1">
        <v>818.47234141503304</v>
      </c>
      <c r="I20" s="6">
        <f t="shared" si="0"/>
        <v>807.76815151155313</v>
      </c>
    </row>
    <row r="21" spans="1:16" x14ac:dyDescent="0.25">
      <c r="A21" s="5">
        <v>2033</v>
      </c>
      <c r="B21" s="1">
        <v>753.23292283175522</v>
      </c>
      <c r="C21" s="1">
        <v>1009.8639402056911</v>
      </c>
      <c r="D21" s="1">
        <f t="shared" si="3"/>
        <v>814.5</v>
      </c>
      <c r="E21" s="1">
        <f t="shared" si="4"/>
        <v>637.5</v>
      </c>
      <c r="F21" s="7">
        <v>909</v>
      </c>
      <c r="G21" s="1">
        <v>657.5</v>
      </c>
      <c r="H21" s="1">
        <v>809.40115738339887</v>
      </c>
      <c r="I21" s="6">
        <f t="shared" si="0"/>
        <v>796.93281050624103</v>
      </c>
    </row>
    <row r="22" spans="1:16" x14ac:dyDescent="0.25">
      <c r="A22" s="5">
        <v>2034</v>
      </c>
      <c r="B22" s="1">
        <v>747.45714629434781</v>
      </c>
      <c r="C22" s="1">
        <v>999.61832806695122</v>
      </c>
      <c r="D22" s="1">
        <f t="shared" si="3"/>
        <v>811</v>
      </c>
      <c r="E22" s="1">
        <f t="shared" si="4"/>
        <v>623</v>
      </c>
      <c r="F22" s="7">
        <v>898.25</v>
      </c>
      <c r="G22" s="1">
        <v>637.5</v>
      </c>
      <c r="H22" s="1">
        <v>800.76938596419484</v>
      </c>
      <c r="I22" s="6">
        <f t="shared" si="0"/>
        <v>786.13757906021647</v>
      </c>
      <c r="J22" s="20">
        <v>972</v>
      </c>
      <c r="L22">
        <v>825</v>
      </c>
      <c r="N22">
        <v>790</v>
      </c>
      <c r="P22">
        <v>736</v>
      </c>
    </row>
    <row r="23" spans="1:16" x14ac:dyDescent="0.25">
      <c r="A23" s="5">
        <v>2035</v>
      </c>
      <c r="B23" s="1">
        <v>741.91240081843671</v>
      </c>
      <c r="C23" s="1">
        <v>989.37271592821162</v>
      </c>
      <c r="D23" s="1">
        <f t="shared" si="3"/>
        <v>807.5</v>
      </c>
      <c r="E23" s="1">
        <f t="shared" si="4"/>
        <v>608.5</v>
      </c>
      <c r="F23" s="7">
        <v>887.5</v>
      </c>
      <c r="G23" s="1">
        <v>617.5</v>
      </c>
      <c r="H23" s="1">
        <v>790</v>
      </c>
      <c r="I23" s="6">
        <f t="shared" si="0"/>
        <v>775.38085279110817</v>
      </c>
    </row>
    <row r="24" spans="1:16" x14ac:dyDescent="0.25">
      <c r="A24" s="5">
        <v>2036</v>
      </c>
      <c r="B24" s="1">
        <v>736.58944516156214</v>
      </c>
      <c r="C24" s="1">
        <v>979.12710378947179</v>
      </c>
      <c r="D24" s="1">
        <f t="shared" si="3"/>
        <v>804</v>
      </c>
      <c r="E24" s="1">
        <f t="shared" si="4"/>
        <v>594</v>
      </c>
      <c r="F24" s="7">
        <v>883.75000000000011</v>
      </c>
      <c r="G24" s="1">
        <v>610.49999999999989</v>
      </c>
      <c r="H24" s="1">
        <v>784.60600104552179</v>
      </c>
      <c r="I24" s="6">
        <f t="shared" si="0"/>
        <v>767.99442482517225</v>
      </c>
    </row>
    <row r="25" spans="1:16" x14ac:dyDescent="0.25">
      <c r="A25" s="5">
        <v>2037</v>
      </c>
      <c r="B25" s="1">
        <v>731.47940773096252</v>
      </c>
      <c r="C25" s="1">
        <v>968.88149165073207</v>
      </c>
      <c r="D25" s="1">
        <f t="shared" si="3"/>
        <v>800.5</v>
      </c>
      <c r="E25" s="1">
        <f t="shared" si="4"/>
        <v>579.5</v>
      </c>
      <c r="F25" s="7">
        <v>873.00000000000011</v>
      </c>
      <c r="G25" s="1">
        <v>590.49999999999989</v>
      </c>
      <c r="H25" s="1">
        <v>776.98866750044522</v>
      </c>
      <c r="I25" s="6">
        <f t="shared" si="0"/>
        <v>757.31014989694904</v>
      </c>
    </row>
    <row r="26" spans="1:16" x14ac:dyDescent="0.25">
      <c r="A26" s="5">
        <v>2038</v>
      </c>
      <c r="B26" s="1">
        <v>726.57377179758691</v>
      </c>
      <c r="C26" s="1">
        <v>958.63587951199224</v>
      </c>
      <c r="D26" s="1">
        <f t="shared" si="3"/>
        <v>797</v>
      </c>
      <c r="E26" s="1">
        <f t="shared" si="4"/>
        <v>565</v>
      </c>
      <c r="F26" s="7">
        <v>862.25</v>
      </c>
      <c r="G26" s="1">
        <v>570.49999999999989</v>
      </c>
      <c r="H26" s="1">
        <v>769.63532244003306</v>
      </c>
      <c r="I26" s="6">
        <f t="shared" si="0"/>
        <v>746.65994188492994</v>
      </c>
      <c r="J26" s="134" t="s">
        <v>200</v>
      </c>
    </row>
    <row r="27" spans="1:16" x14ac:dyDescent="0.25">
      <c r="A27" s="5">
        <v>2039</v>
      </c>
      <c r="B27" s="1">
        <v>721.8643613015463</v>
      </c>
      <c r="C27" s="1">
        <v>948.39026737325253</v>
      </c>
      <c r="D27" s="1">
        <f t="shared" si="3"/>
        <v>793.5</v>
      </c>
      <c r="E27" s="1">
        <f t="shared" si="4"/>
        <v>550.5</v>
      </c>
      <c r="F27" s="7">
        <v>851.5</v>
      </c>
      <c r="G27" s="1">
        <v>550.49999999999989</v>
      </c>
      <c r="H27" s="1">
        <v>762.51834043029658</v>
      </c>
      <c r="I27" s="6">
        <f t="shared" si="0"/>
        <v>736.04243811246636</v>
      </c>
      <c r="J27" t="s">
        <v>67</v>
      </c>
    </row>
    <row r="28" spans="1:16" x14ac:dyDescent="0.25">
      <c r="A28" s="5">
        <v>2040</v>
      </c>
      <c r="B28" s="1">
        <v>717.34332722534725</v>
      </c>
      <c r="C28" s="1">
        <v>938.14465523451304</v>
      </c>
      <c r="D28" s="1">
        <v>790</v>
      </c>
      <c r="E28" s="1">
        <v>536</v>
      </c>
      <c r="F28" s="8">
        <v>842.5</v>
      </c>
      <c r="G28" s="1">
        <v>533.75</v>
      </c>
      <c r="H28" s="1">
        <v>755</v>
      </c>
      <c r="I28" s="6">
        <f t="shared" si="0"/>
        <v>726.28966374331003</v>
      </c>
      <c r="J28" t="s">
        <v>72</v>
      </c>
    </row>
    <row r="29" spans="1:16" x14ac:dyDescent="0.25">
      <c r="A29" s="5">
        <v>2041</v>
      </c>
      <c r="B29" s="1">
        <v>713.0031345121962</v>
      </c>
      <c r="C29" s="1">
        <v>929.49944440934723</v>
      </c>
      <c r="D29" s="1">
        <f>D28-($D$28-$D$38)/10</f>
        <v>784.6</v>
      </c>
      <c r="E29" s="1">
        <f>E28-($E$28-$E$38)/10</f>
        <v>521.4</v>
      </c>
      <c r="F29" s="7">
        <v>834.49999999999989</v>
      </c>
      <c r="G29" s="1">
        <v>520</v>
      </c>
      <c r="H29" s="1">
        <v>749.21829649713925</v>
      </c>
      <c r="I29" s="6">
        <f t="shared" si="0"/>
        <v>717.16709648692392</v>
      </c>
      <c r="J29" t="s">
        <v>73</v>
      </c>
    </row>
    <row r="30" spans="1:16" x14ac:dyDescent="0.25">
      <c r="A30" s="5">
        <v>2042</v>
      </c>
      <c r="B30" s="1">
        <v>708.83654950757125</v>
      </c>
      <c r="C30" s="1">
        <v>920.85423358418154</v>
      </c>
      <c r="D30" s="1">
        <f t="shared" ref="D30:D37" si="5">D29-($D$28-$D$38)/10</f>
        <v>779.2</v>
      </c>
      <c r="E30" s="1">
        <f t="shared" ref="E30:E37" si="6">E29-($E$28-$E$38)/10</f>
        <v>506.79999999999995</v>
      </c>
      <c r="F30" s="7">
        <v>826.49999999999989</v>
      </c>
      <c r="G30" s="1">
        <v>506.25</v>
      </c>
      <c r="H30" s="1">
        <v>742.99735195462506</v>
      </c>
      <c r="I30" s="6">
        <f t="shared" si="0"/>
        <v>708.07346384862547</v>
      </c>
      <c r="J30" t="s">
        <v>58</v>
      </c>
      <c r="K30" t="s">
        <v>75</v>
      </c>
    </row>
    <row r="31" spans="1:16" x14ac:dyDescent="0.25">
      <c r="A31" s="5">
        <v>2043</v>
      </c>
      <c r="B31" s="1">
        <v>704.83662790313122</v>
      </c>
      <c r="C31" s="1">
        <v>912.20902275901585</v>
      </c>
      <c r="D31" s="1">
        <f t="shared" si="5"/>
        <v>773.80000000000007</v>
      </c>
      <c r="E31" s="1">
        <f t="shared" si="6"/>
        <v>492.19999999999993</v>
      </c>
      <c r="F31" s="7">
        <v>818.49999999999989</v>
      </c>
      <c r="G31" s="1">
        <v>492.5</v>
      </c>
      <c r="H31" s="1">
        <v>736.93596709704036</v>
      </c>
      <c r="I31" s="6">
        <f t="shared" si="0"/>
        <v>699.00760844369108</v>
      </c>
      <c r="K31" s="57" t="s">
        <v>74</v>
      </c>
    </row>
    <row r="32" spans="1:16" x14ac:dyDescent="0.25">
      <c r="A32" s="5">
        <v>2044</v>
      </c>
      <c r="B32" s="1">
        <v>700.99670316286881</v>
      </c>
      <c r="C32" s="1">
        <v>903.56381193385005</v>
      </c>
      <c r="D32" s="1">
        <f t="shared" si="5"/>
        <v>768.40000000000009</v>
      </c>
      <c r="E32" s="1">
        <f t="shared" si="6"/>
        <v>477.59999999999991</v>
      </c>
      <c r="F32" s="7">
        <v>810.49999999999989</v>
      </c>
      <c r="G32" s="1">
        <v>478.75</v>
      </c>
      <c r="H32" s="1">
        <v>731.02070032252914</v>
      </c>
      <c r="I32" s="6">
        <f t="shared" si="0"/>
        <v>689.96841918278642</v>
      </c>
      <c r="K32" t="s">
        <v>70</v>
      </c>
    </row>
    <row r="33" spans="1:13" x14ac:dyDescent="0.25">
      <c r="A33" s="5">
        <v>2045</v>
      </c>
      <c r="B33" s="1">
        <v>697.3103754122169</v>
      </c>
      <c r="C33" s="1">
        <v>894.91860110868447</v>
      </c>
      <c r="D33" s="1">
        <f t="shared" si="5"/>
        <v>763.00000000000011</v>
      </c>
      <c r="E33" s="1">
        <f t="shared" si="6"/>
        <v>462.99999999999989</v>
      </c>
      <c r="F33" s="8">
        <v>802.5</v>
      </c>
      <c r="G33" s="1">
        <v>462.99999999999989</v>
      </c>
      <c r="H33" s="1">
        <v>725.23970377546266</v>
      </c>
      <c r="I33" s="6">
        <f t="shared" si="0"/>
        <v>680.62149608681693</v>
      </c>
      <c r="K33" s="57" t="s">
        <v>71</v>
      </c>
    </row>
    <row r="34" spans="1:13" x14ac:dyDescent="0.25">
      <c r="A34" s="5">
        <v>2046</v>
      </c>
      <c r="B34" s="1">
        <v>693.77150077159104</v>
      </c>
      <c r="C34" s="1">
        <v>886.27339028351878</v>
      </c>
      <c r="D34" s="1">
        <f t="shared" si="5"/>
        <v>757.60000000000014</v>
      </c>
      <c r="E34" s="1">
        <f t="shared" si="6"/>
        <v>448.39999999999986</v>
      </c>
      <c r="F34" s="7">
        <v>793.50000000000023</v>
      </c>
      <c r="G34" s="1">
        <v>448.39999999999986</v>
      </c>
      <c r="H34" s="1">
        <v>719.58248349824692</v>
      </c>
      <c r="I34" s="6">
        <f t="shared" si="0"/>
        <v>671.32414850918485</v>
      </c>
      <c r="K34" t="s">
        <v>69</v>
      </c>
    </row>
    <row r="35" spans="1:13" x14ac:dyDescent="0.25">
      <c r="A35" s="5">
        <v>2047</v>
      </c>
      <c r="B35" s="1">
        <v>690.37418111659019</v>
      </c>
      <c r="C35" s="1">
        <v>877.62817945835297</v>
      </c>
      <c r="D35" s="1">
        <f t="shared" si="5"/>
        <v>752.20000000000016</v>
      </c>
      <c r="E35" s="1">
        <f t="shared" si="6"/>
        <v>433.79999999999984</v>
      </c>
      <c r="F35" s="7">
        <v>784.50000000000011</v>
      </c>
      <c r="G35" s="1">
        <v>433.79999999999984</v>
      </c>
      <c r="H35" s="1">
        <v>714.03970281756108</v>
      </c>
      <c r="I35" s="6">
        <f t="shared" si="0"/>
        <v>662.05039342915711</v>
      </c>
      <c r="K35" s="57" t="s">
        <v>68</v>
      </c>
    </row>
    <row r="36" spans="1:13" x14ac:dyDescent="0.25">
      <c r="A36" s="5">
        <v>2048</v>
      </c>
      <c r="B36" s="1">
        <v>687.11275424778944</v>
      </c>
      <c r="C36" s="1">
        <v>868.98296863318728</v>
      </c>
      <c r="D36" s="1">
        <f t="shared" si="5"/>
        <v>746.80000000000018</v>
      </c>
      <c r="E36" s="1">
        <f t="shared" si="6"/>
        <v>419.19999999999982</v>
      </c>
      <c r="F36" s="7">
        <v>775.50000000000011</v>
      </c>
      <c r="G36" s="1">
        <v>419.19999999999982</v>
      </c>
      <c r="H36" s="1">
        <v>708.60301996923101</v>
      </c>
      <c r="I36" s="6">
        <f t="shared" si="0"/>
        <v>652.79928714682944</v>
      </c>
      <c r="K36" t="s">
        <v>61</v>
      </c>
    </row>
    <row r="37" spans="1:13" x14ac:dyDescent="0.25">
      <c r="A37" s="5">
        <v>2049</v>
      </c>
      <c r="B37" s="1">
        <v>683.98178445374072</v>
      </c>
      <c r="C37" s="1">
        <v>860.33775780802159</v>
      </c>
      <c r="D37" s="1">
        <f t="shared" si="5"/>
        <v>741.4000000000002</v>
      </c>
      <c r="E37" s="1">
        <f t="shared" si="6"/>
        <v>404.5999999999998</v>
      </c>
      <c r="F37" s="7">
        <v>766.5</v>
      </c>
      <c r="G37" s="1">
        <v>404.5999999999998</v>
      </c>
      <c r="H37" s="1">
        <v>703.26495307200651</v>
      </c>
      <c r="I37" s="6">
        <f t="shared" si="0"/>
        <v>643.56992371029366</v>
      </c>
      <c r="K37" s="57" t="s">
        <v>60</v>
      </c>
    </row>
    <row r="38" spans="1:13" s="1" customFormat="1" x14ac:dyDescent="0.25">
      <c r="A38" s="10">
        <v>2050</v>
      </c>
      <c r="B38" s="1">
        <v>680.97605345145394</v>
      </c>
      <c r="C38" s="1">
        <v>851.69254698285602</v>
      </c>
      <c r="D38" s="1">
        <v>736</v>
      </c>
      <c r="E38" s="1">
        <v>390</v>
      </c>
      <c r="F38" s="1">
        <v>757.5</v>
      </c>
      <c r="G38" s="1">
        <v>390</v>
      </c>
      <c r="H38" s="1">
        <v>700</v>
      </c>
      <c r="I38" s="6">
        <f t="shared" si="0"/>
        <v>634.36143340571834</v>
      </c>
      <c r="J38" t="s">
        <v>76</v>
      </c>
      <c r="K38"/>
    </row>
    <row r="39" spans="1:13" x14ac:dyDescent="0.25">
      <c r="A39" s="9"/>
      <c r="J39" s="1"/>
      <c r="K39" t="s">
        <v>77</v>
      </c>
      <c r="M39" s="23">
        <v>0.24</v>
      </c>
    </row>
    <row r="40" spans="1:13" x14ac:dyDescent="0.25">
      <c r="K40" t="s">
        <v>78</v>
      </c>
      <c r="M40" s="23">
        <v>0.28000000000000003</v>
      </c>
    </row>
    <row r="41" spans="1:13" x14ac:dyDescent="0.25">
      <c r="K41" s="57" t="s">
        <v>79</v>
      </c>
    </row>
    <row r="43" spans="1:13" ht="18" customHeight="1" x14ac:dyDescent="0.25">
      <c r="K43" s="1"/>
    </row>
    <row r="67" spans="1:1" x14ac:dyDescent="0.25">
      <c r="A67" s="4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</sheetData>
  <hyperlinks>
    <hyperlink ref="K35" r:id="rId1" xr:uid="{00000000-0004-0000-0500-000000000000}"/>
    <hyperlink ref="K33" r:id="rId2" xr:uid="{00000000-0004-0000-0500-000001000000}"/>
    <hyperlink ref="K37" r:id="rId3" xr:uid="{00000000-0004-0000-0500-000002000000}"/>
    <hyperlink ref="K31" r:id="rId4" xr:uid="{00000000-0004-0000-0500-000003000000}"/>
    <hyperlink ref="K41" r:id="rId5" xr:uid="{00000000-0004-0000-0500-000004000000}"/>
  </hyperlinks>
  <pageMargins left="0.7" right="0.7" top="0.75" bottom="0.75" header="0.3" footer="0.3"/>
  <pageSetup paperSize="9" orientation="portrait" r:id="rId6"/>
  <headerFooter>
    <oddHeader>&amp;C&amp;"-,Bold"&amp;14&amp;USolar PV Utility Scale -  System Cost Projections</oddHeader>
  </headerFooter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C1:AT34"/>
  <sheetViews>
    <sheetView tabSelected="1" topLeftCell="W1" zoomScaleNormal="100" workbookViewId="0">
      <selection activeCell="AN4" sqref="AN4"/>
    </sheetView>
  </sheetViews>
  <sheetFormatPr defaultRowHeight="15" x14ac:dyDescent="0.25"/>
  <cols>
    <col min="3" max="3" width="35" customWidth="1"/>
    <col min="5" max="6" width="12" customWidth="1"/>
    <col min="7" max="7" width="12.5703125" customWidth="1"/>
    <col min="8" max="8" width="13.7109375" customWidth="1"/>
    <col min="23" max="23" width="11.28515625" customWidth="1"/>
    <col min="24" max="24" width="11.7109375" customWidth="1"/>
    <col min="25" max="25" width="11.85546875" customWidth="1"/>
    <col min="26" max="26" width="15.42578125" customWidth="1"/>
    <col min="27" max="27" width="15.28515625" customWidth="1"/>
    <col min="28" max="28" width="10.42578125" customWidth="1"/>
    <col min="30" max="30" width="13.42578125" customWidth="1"/>
    <col min="31" max="31" width="12.5703125" customWidth="1"/>
    <col min="32" max="32" width="12.42578125" customWidth="1"/>
    <col min="33" max="34" width="13.7109375" customWidth="1"/>
    <col min="35" max="35" width="10.85546875" customWidth="1"/>
    <col min="36" max="36" width="13.85546875" bestFit="1" customWidth="1"/>
    <col min="37" max="38" width="14.28515625" bestFit="1" customWidth="1"/>
    <col min="39" max="39" width="14.5703125" customWidth="1"/>
    <col min="40" max="40" width="15" bestFit="1" customWidth="1"/>
    <col min="41" max="42" width="15" customWidth="1"/>
    <col min="43" max="43" width="11.7109375" customWidth="1"/>
    <col min="44" max="44" width="12.140625" customWidth="1"/>
    <col min="45" max="45" width="12" customWidth="1"/>
    <col min="46" max="46" width="13.7109375" customWidth="1"/>
  </cols>
  <sheetData>
    <row r="1" spans="3:46" ht="18.75" x14ac:dyDescent="0.3">
      <c r="C1" s="135" t="s">
        <v>201</v>
      </c>
      <c r="AB1" s="90" t="s">
        <v>114</v>
      </c>
    </row>
    <row r="2" spans="3:46" x14ac:dyDescent="0.25">
      <c r="C2" s="56" t="s">
        <v>197</v>
      </c>
      <c r="D2" s="56"/>
      <c r="AH2" s="91">
        <v>13.3209</v>
      </c>
      <c r="AI2" s="92" t="s">
        <v>115</v>
      </c>
      <c r="AJ2" t="s">
        <v>116</v>
      </c>
    </row>
    <row r="3" spans="3:46" x14ac:dyDescent="0.25">
      <c r="C3" s="24" t="s">
        <v>198</v>
      </c>
      <c r="D3" s="93"/>
      <c r="E3" s="93"/>
      <c r="F3" s="93"/>
      <c r="G3" s="93"/>
      <c r="H3" s="4"/>
      <c r="S3" s="94" t="s">
        <v>117</v>
      </c>
      <c r="T3" s="94"/>
      <c r="U3" s="94"/>
      <c r="X3" t="s">
        <v>118</v>
      </c>
      <c r="AD3" t="s">
        <v>119</v>
      </c>
      <c r="AE3" s="95" t="s">
        <v>120</v>
      </c>
      <c r="AJ3" s="56" t="s">
        <v>121</v>
      </c>
      <c r="AN3" t="s">
        <v>203</v>
      </c>
      <c r="AQ3" s="56" t="s">
        <v>122</v>
      </c>
    </row>
    <row r="4" spans="3:46" x14ac:dyDescent="0.25">
      <c r="D4" s="9"/>
      <c r="E4" s="96" t="s">
        <v>123</v>
      </c>
      <c r="F4" s="9"/>
      <c r="G4" s="9"/>
      <c r="H4" s="5"/>
      <c r="I4" s="97"/>
      <c r="J4" s="97"/>
      <c r="K4" s="97"/>
      <c r="L4" s="97"/>
      <c r="M4" s="97"/>
      <c r="N4" s="97"/>
      <c r="O4" s="97"/>
      <c r="P4" s="97"/>
      <c r="S4" s="24" t="s">
        <v>196</v>
      </c>
      <c r="T4" s="93"/>
      <c r="U4" s="4"/>
      <c r="V4" s="9"/>
      <c r="X4" s="24"/>
      <c r="Y4" s="93"/>
      <c r="Z4" s="93"/>
      <c r="AA4" s="4"/>
      <c r="AD4" s="24" t="s">
        <v>124</v>
      </c>
      <c r="AE4" s="93"/>
      <c r="AF4" s="93"/>
      <c r="AG4" s="4"/>
      <c r="AJ4" s="98" t="s">
        <v>125</v>
      </c>
      <c r="AK4" s="93"/>
      <c r="AL4" s="93"/>
      <c r="AM4" s="4"/>
      <c r="AN4">
        <v>11.78</v>
      </c>
      <c r="AO4">
        <f>1/((0.82+0.854)/2)</f>
        <v>1.1947431302270013</v>
      </c>
      <c r="AQ4" s="98" t="s">
        <v>126</v>
      </c>
      <c r="AR4" s="93"/>
      <c r="AS4" s="93"/>
      <c r="AT4" s="4"/>
    </row>
    <row r="5" spans="3:46" ht="45" customHeight="1" x14ac:dyDescent="0.25">
      <c r="C5" s="133" t="s">
        <v>199</v>
      </c>
      <c r="D5" s="51"/>
      <c r="E5" s="99" t="s">
        <v>127</v>
      </c>
      <c r="F5" s="99" t="s">
        <v>128</v>
      </c>
      <c r="G5" s="99" t="s">
        <v>129</v>
      </c>
      <c r="H5" s="100" t="s">
        <v>130</v>
      </c>
      <c r="S5" s="25"/>
      <c r="T5" s="9" t="s">
        <v>131</v>
      </c>
      <c r="U5" s="5"/>
      <c r="V5" s="9"/>
      <c r="X5" s="101" t="s">
        <v>127</v>
      </c>
      <c r="Y5" s="102" t="s">
        <v>132</v>
      </c>
      <c r="Z5" s="102" t="s">
        <v>133</v>
      </c>
      <c r="AA5" s="103" t="s">
        <v>130</v>
      </c>
      <c r="AD5" s="101" t="s">
        <v>127</v>
      </c>
      <c r="AE5" s="102" t="s">
        <v>132</v>
      </c>
      <c r="AF5" s="102" t="s">
        <v>133</v>
      </c>
      <c r="AG5" s="103" t="s">
        <v>130</v>
      </c>
      <c r="AH5" s="142" t="s">
        <v>202</v>
      </c>
      <c r="AJ5" s="101" t="s">
        <v>127</v>
      </c>
      <c r="AK5" s="102" t="s">
        <v>132</v>
      </c>
      <c r="AL5" s="102" t="s">
        <v>133</v>
      </c>
      <c r="AM5" s="103" t="s">
        <v>130</v>
      </c>
      <c r="AN5" s="142" t="s">
        <v>105</v>
      </c>
      <c r="AO5" s="142" t="s">
        <v>204</v>
      </c>
      <c r="AP5" s="142" t="s">
        <v>205</v>
      </c>
      <c r="AQ5" s="101" t="s">
        <v>127</v>
      </c>
      <c r="AR5" s="102" t="s">
        <v>132</v>
      </c>
      <c r="AS5" s="102" t="s">
        <v>133</v>
      </c>
      <c r="AT5" s="103" t="s">
        <v>130</v>
      </c>
    </row>
    <row r="6" spans="3:46" x14ac:dyDescent="0.25">
      <c r="C6" s="25" t="s">
        <v>134</v>
      </c>
      <c r="D6" s="9" t="s">
        <v>135</v>
      </c>
      <c r="E6" s="9">
        <v>5.0000000000000001E-3</v>
      </c>
      <c r="F6" s="9">
        <v>0.125</v>
      </c>
      <c r="G6" s="9">
        <v>1</v>
      </c>
      <c r="H6" s="5">
        <v>100</v>
      </c>
      <c r="S6" s="104">
        <v>2015</v>
      </c>
      <c r="T6" s="105">
        <v>400</v>
      </c>
      <c r="U6" s="106">
        <f>T6/$T$8</f>
        <v>1.1911852293031566</v>
      </c>
      <c r="V6" s="9"/>
      <c r="W6" t="s">
        <v>136</v>
      </c>
      <c r="AC6" s="56">
        <v>2015</v>
      </c>
      <c r="AD6" s="107">
        <f t="shared" ref="AD6:AD26" si="0">X$10*$U6</f>
        <v>2763.5497319833235</v>
      </c>
      <c r="AE6" s="107">
        <f t="shared" ref="AE6:AG21" si="1">Y$10*$U6</f>
        <v>2029.7796307325789</v>
      </c>
      <c r="AF6" s="107">
        <f t="shared" si="1"/>
        <v>2966.05122096486</v>
      </c>
      <c r="AG6" s="107">
        <f t="shared" si="1"/>
        <v>2301.3698630136987</v>
      </c>
      <c r="AI6" s="56">
        <v>2015</v>
      </c>
      <c r="AJ6" s="108">
        <f>(AD6*$AH$2)</f>
        <v>36812.969624776655</v>
      </c>
      <c r="AK6" s="108">
        <f t="shared" ref="AK6:AM21" si="2">(AE6*$AH$2)</f>
        <v>27038.491483025609</v>
      </c>
      <c r="AL6" s="108">
        <f>AK6</f>
        <v>27038.491483025609</v>
      </c>
      <c r="AM6" s="108">
        <f t="shared" si="2"/>
        <v>30656.317808219181</v>
      </c>
      <c r="AQ6" s="109">
        <f>(X19*$AH$2)</f>
        <v>0</v>
      </c>
      <c r="AR6" s="109">
        <f>(Y19*$AH$2)</f>
        <v>136.19288159999999</v>
      </c>
      <c r="AS6" s="109">
        <f>AR6</f>
        <v>136.19288159999999</v>
      </c>
      <c r="AT6" s="109">
        <f>(AA19*$AH$2)</f>
        <v>154.41587280000002</v>
      </c>
    </row>
    <row r="7" spans="3:46" x14ac:dyDescent="0.25">
      <c r="C7" s="25" t="s">
        <v>137</v>
      </c>
      <c r="D7" s="9" t="s">
        <v>138</v>
      </c>
      <c r="E7" s="9">
        <v>2</v>
      </c>
      <c r="F7" s="9">
        <v>2</v>
      </c>
      <c r="G7" s="9">
        <v>4</v>
      </c>
      <c r="H7" s="5">
        <v>4</v>
      </c>
      <c r="S7" s="104">
        <v>2016</v>
      </c>
      <c r="T7" s="8">
        <v>364.67500000000007</v>
      </c>
      <c r="U7" s="106">
        <f>T7/$T$8</f>
        <v>1.0859886837403219</v>
      </c>
      <c r="V7" s="110"/>
      <c r="W7" t="s">
        <v>139</v>
      </c>
      <c r="X7" s="25">
        <f>X14/(E$6*1000)</f>
        <v>1292</v>
      </c>
      <c r="Y7" s="25">
        <f>Y14/(F$6*1000)</f>
        <v>1117</v>
      </c>
      <c r="Z7" s="25">
        <f>Z14/(G$6*1000)</f>
        <v>1918</v>
      </c>
      <c r="AA7" s="25">
        <f>AA14/(H$6*1000)</f>
        <v>1592</v>
      </c>
      <c r="AC7" s="56">
        <v>2016</v>
      </c>
      <c r="AD7" s="107">
        <f t="shared" si="0"/>
        <v>2519.493746277547</v>
      </c>
      <c r="AE7" s="107">
        <f t="shared" si="1"/>
        <v>1850.5247170935086</v>
      </c>
      <c r="AF7" s="107">
        <f t="shared" si="1"/>
        <v>2704.1118225134014</v>
      </c>
      <c r="AG7" s="107">
        <f t="shared" si="1"/>
        <v>2098.1301369863017</v>
      </c>
      <c r="AI7" s="56">
        <v>2016</v>
      </c>
      <c r="AJ7" s="108">
        <f t="shared" ref="AJ7:AK26" si="3">(AD7*$AH$2)</f>
        <v>33561.924244788577</v>
      </c>
      <c r="AK7" s="108">
        <f t="shared" si="2"/>
        <v>24650.654703930919</v>
      </c>
      <c r="AL7" s="108">
        <f t="shared" ref="AL7:AL26" si="4">AK7</f>
        <v>24650.654703930919</v>
      </c>
      <c r="AM7" s="108">
        <f t="shared" si="2"/>
        <v>27948.981741780826</v>
      </c>
      <c r="AQ7" s="26"/>
      <c r="AR7" s="111"/>
      <c r="AS7" s="111"/>
      <c r="AT7" s="112"/>
    </row>
    <row r="8" spans="3:46" x14ac:dyDescent="0.25">
      <c r="C8" s="25" t="s">
        <v>140</v>
      </c>
      <c r="D8" s="9" t="s">
        <v>141</v>
      </c>
      <c r="E8" s="9">
        <v>0.01</v>
      </c>
      <c r="F8" s="9">
        <v>0.25</v>
      </c>
      <c r="G8" s="9">
        <v>4</v>
      </c>
      <c r="H8" s="5">
        <v>400</v>
      </c>
      <c r="R8" t="s">
        <v>142</v>
      </c>
      <c r="S8" s="113">
        <v>2017</v>
      </c>
      <c r="T8" s="114">
        <v>335.8</v>
      </c>
      <c r="U8" s="106">
        <f t="shared" ref="U8:U26" si="5">T8/$T$8</f>
        <v>1</v>
      </c>
      <c r="V8" s="110"/>
      <c r="W8" t="s">
        <v>143</v>
      </c>
      <c r="X8" s="25">
        <f>X15/(E$6*1000)</f>
        <v>628</v>
      </c>
      <c r="Y8" s="25">
        <f t="shared" ref="Y8:AA9" si="6">Y15/(F$6*1000)</f>
        <v>246</v>
      </c>
      <c r="Z8" s="25">
        <f t="shared" si="6"/>
        <v>156</v>
      </c>
      <c r="AA8" s="25">
        <f t="shared" si="6"/>
        <v>112</v>
      </c>
      <c r="AC8" s="113">
        <v>2017</v>
      </c>
      <c r="AD8" s="113">
        <f t="shared" si="0"/>
        <v>2320</v>
      </c>
      <c r="AE8" s="113">
        <f t="shared" si="1"/>
        <v>1704</v>
      </c>
      <c r="AF8" s="113">
        <f t="shared" si="1"/>
        <v>2490</v>
      </c>
      <c r="AG8" s="113">
        <f t="shared" si="1"/>
        <v>1932</v>
      </c>
      <c r="AI8" s="113">
        <v>2017</v>
      </c>
      <c r="AJ8" s="115">
        <f t="shared" si="3"/>
        <v>30904.488000000001</v>
      </c>
      <c r="AK8" s="115">
        <f t="shared" si="2"/>
        <v>22698.813600000001</v>
      </c>
      <c r="AL8" s="115">
        <f t="shared" si="4"/>
        <v>22698.813600000001</v>
      </c>
      <c r="AM8" s="115">
        <f t="shared" si="2"/>
        <v>25735.978800000001</v>
      </c>
    </row>
    <row r="9" spans="3:46" ht="15" customHeight="1" x14ac:dyDescent="0.25">
      <c r="C9" s="25" t="s">
        <v>144</v>
      </c>
      <c r="D9" s="9"/>
      <c r="E9" s="9">
        <v>1</v>
      </c>
      <c r="F9" s="9">
        <v>1</v>
      </c>
      <c r="G9" s="9">
        <v>1</v>
      </c>
      <c r="H9" s="5">
        <v>1</v>
      </c>
      <c r="S9" s="104">
        <v>2018</v>
      </c>
      <c r="T9" s="8">
        <v>310.72500000000002</v>
      </c>
      <c r="U9" s="106">
        <f t="shared" si="5"/>
        <v>0.92532757593805837</v>
      </c>
      <c r="V9" s="110"/>
      <c r="W9" t="s">
        <v>145</v>
      </c>
      <c r="X9" s="25">
        <f>X16/(E$6*1000)</f>
        <v>400</v>
      </c>
      <c r="Y9" s="25">
        <f t="shared" si="6"/>
        <v>341</v>
      </c>
      <c r="Z9" s="25">
        <f t="shared" si="6"/>
        <v>416</v>
      </c>
      <c r="AA9" s="25">
        <f t="shared" si="6"/>
        <v>228</v>
      </c>
      <c r="AC9" s="56">
        <v>2018</v>
      </c>
      <c r="AD9" s="107">
        <f t="shared" si="0"/>
        <v>2146.7599761762954</v>
      </c>
      <c r="AE9" s="107">
        <f t="shared" si="1"/>
        <v>1576.7581893984513</v>
      </c>
      <c r="AF9" s="107">
        <f t="shared" si="1"/>
        <v>2304.0656640857655</v>
      </c>
      <c r="AG9" s="107">
        <f t="shared" si="1"/>
        <v>1787.7328767123288</v>
      </c>
      <c r="AI9" s="56">
        <v>2018</v>
      </c>
      <c r="AJ9" s="108">
        <f t="shared" si="3"/>
        <v>28596.774966646812</v>
      </c>
      <c r="AK9" s="108">
        <f t="shared" si="2"/>
        <v>21003.838165157831</v>
      </c>
      <c r="AL9" s="108">
        <f t="shared" si="4"/>
        <v>21003.838165157831</v>
      </c>
      <c r="AM9" s="108">
        <f t="shared" si="2"/>
        <v>23814.210877397261</v>
      </c>
    </row>
    <row r="10" spans="3:46" ht="15" customHeight="1" x14ac:dyDescent="0.25">
      <c r="C10" s="25" t="s">
        <v>146</v>
      </c>
      <c r="D10" s="9"/>
      <c r="E10" s="9">
        <v>250</v>
      </c>
      <c r="F10" s="9">
        <v>250</v>
      </c>
      <c r="G10" s="9">
        <v>350</v>
      </c>
      <c r="H10" s="5">
        <v>350</v>
      </c>
      <c r="S10" s="104">
        <v>2019</v>
      </c>
      <c r="T10" s="8">
        <v>286.64999999999998</v>
      </c>
      <c r="U10" s="106">
        <f t="shared" si="5"/>
        <v>0.85363311494937455</v>
      </c>
      <c r="V10" s="110"/>
      <c r="W10" t="s">
        <v>147</v>
      </c>
      <c r="X10" s="113">
        <f>SUM(X7:X9)</f>
        <v>2320</v>
      </c>
      <c r="Y10" s="113">
        <f>SUM(Y7:Y9)</f>
        <v>1704</v>
      </c>
      <c r="Z10" s="113">
        <f>SUM(Z7:Z9)</f>
        <v>2490</v>
      </c>
      <c r="AA10" s="113">
        <f>SUM(AA7:AA9)</f>
        <v>1932</v>
      </c>
      <c r="AC10" s="56">
        <v>2019</v>
      </c>
      <c r="AD10" s="107">
        <f t="shared" si="0"/>
        <v>1980.428826682549</v>
      </c>
      <c r="AE10" s="107">
        <f t="shared" si="1"/>
        <v>1454.5908278737343</v>
      </c>
      <c r="AF10" s="107">
        <f t="shared" si="1"/>
        <v>2125.5464562239426</v>
      </c>
      <c r="AG10" s="107">
        <f t="shared" si="1"/>
        <v>1649.2191780821915</v>
      </c>
      <c r="AI10" s="56">
        <v>2019</v>
      </c>
      <c r="AJ10" s="108">
        <f t="shared" si="3"/>
        <v>26381.094357355567</v>
      </c>
      <c r="AK10" s="108">
        <f t="shared" si="2"/>
        <v>19376.458959023228</v>
      </c>
      <c r="AL10" s="108">
        <f t="shared" si="4"/>
        <v>19376.458959023228</v>
      </c>
      <c r="AM10" s="108">
        <f t="shared" si="2"/>
        <v>21969.083749315065</v>
      </c>
    </row>
    <row r="11" spans="3:46" x14ac:dyDescent="0.25">
      <c r="C11" s="25" t="s">
        <v>148</v>
      </c>
      <c r="D11" s="9" t="s">
        <v>149</v>
      </c>
      <c r="E11" s="9">
        <v>10</v>
      </c>
      <c r="F11" s="9">
        <v>10</v>
      </c>
      <c r="G11" s="9">
        <v>10</v>
      </c>
      <c r="H11" s="116">
        <v>15</v>
      </c>
      <c r="S11" s="104">
        <v>2020</v>
      </c>
      <c r="T11" s="8">
        <v>265</v>
      </c>
      <c r="U11" s="106">
        <f t="shared" si="5"/>
        <v>0.78916021441334128</v>
      </c>
      <c r="V11" s="110"/>
      <c r="AC11" s="56">
        <v>2020</v>
      </c>
      <c r="AD11" s="107">
        <f t="shared" si="0"/>
        <v>1830.8516974389518</v>
      </c>
      <c r="AE11" s="107">
        <f t="shared" si="1"/>
        <v>1344.7290053603335</v>
      </c>
      <c r="AF11" s="107">
        <f t="shared" si="1"/>
        <v>1965.0089338892199</v>
      </c>
      <c r="AG11" s="107">
        <f t="shared" si="1"/>
        <v>1524.6575342465753</v>
      </c>
      <c r="AH11" s="107">
        <v>1454.6086639245243</v>
      </c>
      <c r="AI11" s="56">
        <v>2020</v>
      </c>
      <c r="AJ11" s="108">
        <f t="shared" si="3"/>
        <v>24388.592376414534</v>
      </c>
      <c r="AK11" s="108">
        <f t="shared" si="2"/>
        <v>17913.000607504466</v>
      </c>
      <c r="AL11" s="108">
        <f t="shared" si="4"/>
        <v>17913.000607504466</v>
      </c>
      <c r="AM11" s="108">
        <f t="shared" si="2"/>
        <v>20309.810547945206</v>
      </c>
      <c r="AN11" s="143">
        <f>AH11*$AN$4</f>
        <v>17135.290061030897</v>
      </c>
      <c r="AO11" s="143">
        <f>AN11*$AO$4</f>
        <v>20472.270084863678</v>
      </c>
      <c r="AP11" s="143"/>
    </row>
    <row r="12" spans="3:46" x14ac:dyDescent="0.25">
      <c r="C12" s="25" t="s">
        <v>150</v>
      </c>
      <c r="D12" s="9" t="s">
        <v>141</v>
      </c>
      <c r="E12" s="9">
        <v>3</v>
      </c>
      <c r="F12" s="9">
        <v>63</v>
      </c>
      <c r="G12" s="9">
        <v>2800</v>
      </c>
      <c r="H12" s="5">
        <v>140000</v>
      </c>
      <c r="S12" s="104">
        <v>2021</v>
      </c>
      <c r="T12" s="8">
        <v>244.55</v>
      </c>
      <c r="U12" s="106">
        <f t="shared" si="5"/>
        <v>0.72826086956521741</v>
      </c>
      <c r="V12" s="110"/>
      <c r="X12" s="25"/>
      <c r="Y12" s="9"/>
      <c r="Z12" s="9"/>
      <c r="AA12" s="5"/>
      <c r="AC12" s="56">
        <v>2021</v>
      </c>
      <c r="AD12" s="107">
        <f t="shared" si="0"/>
        <v>1689.5652173913045</v>
      </c>
      <c r="AE12" s="107">
        <f t="shared" si="1"/>
        <v>1240.9565217391305</v>
      </c>
      <c r="AF12" s="107">
        <f t="shared" si="1"/>
        <v>1813.3695652173913</v>
      </c>
      <c r="AG12" s="107">
        <f t="shared" si="1"/>
        <v>1407</v>
      </c>
      <c r="AH12" s="107">
        <v>1364.5016550659996</v>
      </c>
      <c r="AI12" s="56">
        <v>2021</v>
      </c>
      <c r="AJ12" s="108">
        <f t="shared" si="3"/>
        <v>22506.529304347827</v>
      </c>
      <c r="AK12" s="108">
        <f t="shared" si="2"/>
        <v>16530.657730434785</v>
      </c>
      <c r="AL12" s="108">
        <f t="shared" si="4"/>
        <v>16530.657730434785</v>
      </c>
      <c r="AM12" s="108">
        <f t="shared" si="2"/>
        <v>18742.506300000001</v>
      </c>
      <c r="AN12" s="143">
        <f t="shared" ref="AN12:AN26" si="7">AH12*$AN$4</f>
        <v>16073.829496677474</v>
      </c>
      <c r="AO12" s="143">
        <f t="shared" ref="AO12:AO26" si="8">AN12*$AO$4</f>
        <v>19204.09736759555</v>
      </c>
      <c r="AP12" s="143"/>
    </row>
    <row r="13" spans="3:46" x14ac:dyDescent="0.25">
      <c r="C13" s="26" t="s">
        <v>151</v>
      </c>
      <c r="D13" s="111" t="s">
        <v>141</v>
      </c>
      <c r="E13" s="111">
        <v>25</v>
      </c>
      <c r="F13" s="111">
        <v>625</v>
      </c>
      <c r="G13" s="111">
        <v>28000</v>
      </c>
      <c r="H13" s="5">
        <v>2800000</v>
      </c>
      <c r="S13" s="104">
        <v>2022</v>
      </c>
      <c r="T13" s="8">
        <v>226.15</v>
      </c>
      <c r="U13" s="106">
        <f t="shared" si="5"/>
        <v>0.6734663490172722</v>
      </c>
      <c r="V13" s="110"/>
      <c r="W13" t="s">
        <v>152</v>
      </c>
      <c r="X13" s="26"/>
      <c r="Y13" s="111"/>
      <c r="Z13" s="111"/>
      <c r="AA13" s="112"/>
      <c r="AC13" s="56">
        <v>2022</v>
      </c>
      <c r="AD13" s="107">
        <f t="shared" si="0"/>
        <v>1562.4419297200716</v>
      </c>
      <c r="AE13" s="107">
        <f t="shared" si="1"/>
        <v>1147.5866587254318</v>
      </c>
      <c r="AF13" s="107">
        <f t="shared" si="1"/>
        <v>1676.9312090530077</v>
      </c>
      <c r="AG13" s="107">
        <f t="shared" si="1"/>
        <v>1301.1369863013699</v>
      </c>
      <c r="AH13" s="107">
        <v>1274.394646207475</v>
      </c>
      <c r="AI13" s="56">
        <v>2022</v>
      </c>
      <c r="AJ13" s="108">
        <f t="shared" si="3"/>
        <v>20813.132701608101</v>
      </c>
      <c r="AK13" s="108">
        <f t="shared" si="2"/>
        <v>15286.887122215605</v>
      </c>
      <c r="AL13" s="108">
        <f t="shared" si="4"/>
        <v>15286.887122215605</v>
      </c>
      <c r="AM13" s="108">
        <f t="shared" si="2"/>
        <v>17332.315680821917</v>
      </c>
      <c r="AN13" s="143">
        <f t="shared" si="7"/>
        <v>15012.368932324054</v>
      </c>
      <c r="AO13" s="143">
        <f t="shared" si="8"/>
        <v>17935.924650327426</v>
      </c>
      <c r="AP13" s="143"/>
    </row>
    <row r="14" spans="3:46" x14ac:dyDescent="0.25">
      <c r="C14" s="25" t="s">
        <v>153</v>
      </c>
      <c r="D14" s="9" t="s">
        <v>154</v>
      </c>
      <c r="E14" s="9">
        <f>(517+775)/2</f>
        <v>646</v>
      </c>
      <c r="F14" s="9">
        <f>(520+597)/2</f>
        <v>558.5</v>
      </c>
      <c r="G14" s="9">
        <f>(455+504)/2</f>
        <v>479.5</v>
      </c>
      <c r="H14" s="4">
        <f>(307+489)/2</f>
        <v>398</v>
      </c>
      <c r="I14" s="93"/>
      <c r="J14" s="93"/>
      <c r="K14" s="93"/>
      <c r="L14" s="93"/>
      <c r="M14" s="93"/>
      <c r="N14" s="93"/>
      <c r="O14" s="93"/>
      <c r="P14" s="93"/>
      <c r="Q14" s="93"/>
      <c r="S14" s="104">
        <v>2023</v>
      </c>
      <c r="T14" s="8">
        <v>210.75</v>
      </c>
      <c r="U14" s="106">
        <f t="shared" si="5"/>
        <v>0.62760571768910067</v>
      </c>
      <c r="V14" s="110"/>
      <c r="W14" t="s">
        <v>139</v>
      </c>
      <c r="X14" s="117">
        <f>E14*(E$8*1000)</f>
        <v>6460</v>
      </c>
      <c r="Y14" s="117">
        <f>F14*(F$8*1000)</f>
        <v>139625</v>
      </c>
      <c r="Z14" s="117">
        <f>G14*(G$8*1000)</f>
        <v>1918000</v>
      </c>
      <c r="AA14" s="117">
        <f>H14*(H$8*1000)</f>
        <v>159200000</v>
      </c>
      <c r="AC14" s="56">
        <v>2023</v>
      </c>
      <c r="AD14" s="107">
        <f t="shared" si="0"/>
        <v>1456.0452650387135</v>
      </c>
      <c r="AE14" s="107">
        <f t="shared" si="1"/>
        <v>1069.4401429422276</v>
      </c>
      <c r="AF14" s="107">
        <f t="shared" si="1"/>
        <v>1562.7382370458606</v>
      </c>
      <c r="AG14" s="107">
        <f t="shared" si="1"/>
        <v>1212.5342465753424</v>
      </c>
      <c r="AH14" s="107">
        <v>1184.2876373489507</v>
      </c>
      <c r="AI14" s="56">
        <v>2023</v>
      </c>
      <c r="AJ14" s="108">
        <f t="shared" si="3"/>
        <v>19395.833371054199</v>
      </c>
      <c r="AK14" s="108">
        <f t="shared" si="2"/>
        <v>14245.905200119119</v>
      </c>
      <c r="AL14" s="108">
        <f t="shared" si="4"/>
        <v>14245.905200119119</v>
      </c>
      <c r="AM14" s="108">
        <f t="shared" si="2"/>
        <v>16152.047445205479</v>
      </c>
      <c r="AN14" s="143">
        <f t="shared" si="7"/>
        <v>13950.908367970638</v>
      </c>
      <c r="AO14" s="143">
        <f t="shared" si="8"/>
        <v>16667.751933059306</v>
      </c>
      <c r="AP14" s="143"/>
    </row>
    <row r="15" spans="3:46" x14ac:dyDescent="0.25">
      <c r="C15" s="25" t="s">
        <v>155</v>
      </c>
      <c r="D15" s="9" t="s">
        <v>154</v>
      </c>
      <c r="E15" s="9">
        <v>314</v>
      </c>
      <c r="F15" s="9">
        <v>123</v>
      </c>
      <c r="G15" s="9">
        <v>39</v>
      </c>
      <c r="H15" s="5">
        <v>28</v>
      </c>
      <c r="S15" s="104">
        <v>2024</v>
      </c>
      <c r="T15" s="8">
        <v>198.32500000000002</v>
      </c>
      <c r="U15" s="106">
        <f t="shared" si="5"/>
        <v>0.59060452650387141</v>
      </c>
      <c r="V15" s="110"/>
      <c r="W15" t="s">
        <v>143</v>
      </c>
      <c r="X15" s="117">
        <f>E15*(E$8*1000)</f>
        <v>3140</v>
      </c>
      <c r="Y15" s="117">
        <f t="shared" ref="Y15:AA16" si="9">F15*(F$8*1000)</f>
        <v>30750</v>
      </c>
      <c r="Z15" s="117">
        <f t="shared" si="9"/>
        <v>156000</v>
      </c>
      <c r="AA15" s="117">
        <f t="shared" si="9"/>
        <v>11200000</v>
      </c>
      <c r="AC15" s="56">
        <v>2024</v>
      </c>
      <c r="AD15" s="107">
        <f t="shared" si="0"/>
        <v>1370.2025014889816</v>
      </c>
      <c r="AE15" s="107">
        <f t="shared" si="1"/>
        <v>1006.3901131625969</v>
      </c>
      <c r="AF15" s="107">
        <f t="shared" si="1"/>
        <v>1470.6052709946398</v>
      </c>
      <c r="AG15" s="107">
        <f t="shared" si="1"/>
        <v>1141.0479452054797</v>
      </c>
      <c r="AH15" s="107">
        <v>1094.1806284904262</v>
      </c>
      <c r="AI15" s="56">
        <v>2024</v>
      </c>
      <c r="AJ15" s="108">
        <f t="shared" si="3"/>
        <v>18252.330502084576</v>
      </c>
      <c r="AK15" s="108">
        <f t="shared" si="2"/>
        <v>13406.022058427638</v>
      </c>
      <c r="AL15" s="108">
        <f t="shared" si="4"/>
        <v>13406.022058427638</v>
      </c>
      <c r="AM15" s="108">
        <f t="shared" si="2"/>
        <v>15199.785573287674</v>
      </c>
      <c r="AN15" s="143">
        <f t="shared" si="7"/>
        <v>12889.44780361722</v>
      </c>
      <c r="AO15" s="143">
        <f t="shared" si="8"/>
        <v>15399.579215791184</v>
      </c>
      <c r="AP15" s="143"/>
    </row>
    <row r="16" spans="3:46" x14ac:dyDescent="0.25">
      <c r="C16" s="26" t="s">
        <v>156</v>
      </c>
      <c r="D16" s="111" t="s">
        <v>154</v>
      </c>
      <c r="E16" s="111">
        <v>200</v>
      </c>
      <c r="F16" s="111">
        <f>(161+180)/2</f>
        <v>170.5</v>
      </c>
      <c r="G16" s="111">
        <f>(99+109)/2</f>
        <v>104</v>
      </c>
      <c r="H16" s="5">
        <f>(50+64)/2</f>
        <v>57</v>
      </c>
      <c r="S16" s="104">
        <v>2025</v>
      </c>
      <c r="T16" s="8">
        <v>185</v>
      </c>
      <c r="U16" s="106">
        <f t="shared" si="5"/>
        <v>0.55092316855270995</v>
      </c>
      <c r="V16" s="110"/>
      <c r="W16" t="s">
        <v>145</v>
      </c>
      <c r="X16" s="117">
        <f>E16*(E$8*1000)</f>
        <v>2000</v>
      </c>
      <c r="Y16" s="117">
        <f t="shared" si="9"/>
        <v>42625</v>
      </c>
      <c r="Z16" s="117">
        <f t="shared" si="9"/>
        <v>416000</v>
      </c>
      <c r="AA16" s="117">
        <f t="shared" si="9"/>
        <v>22800000</v>
      </c>
      <c r="AC16" s="56">
        <v>2025</v>
      </c>
      <c r="AD16" s="107">
        <f t="shared" si="0"/>
        <v>1278.1417510422871</v>
      </c>
      <c r="AE16" s="107">
        <f t="shared" si="1"/>
        <v>938.77307921381771</v>
      </c>
      <c r="AF16" s="107">
        <f t="shared" si="1"/>
        <v>1371.7986896962477</v>
      </c>
      <c r="AG16" s="107">
        <f t="shared" si="1"/>
        <v>1064.3835616438357</v>
      </c>
      <c r="AH16" s="107">
        <v>1004.0736196319019</v>
      </c>
      <c r="AI16" s="56">
        <v>2025</v>
      </c>
      <c r="AJ16" s="108">
        <f t="shared" si="3"/>
        <v>17025.998451459203</v>
      </c>
      <c r="AK16" s="108">
        <f t="shared" si="2"/>
        <v>12505.302310899344</v>
      </c>
      <c r="AL16" s="108">
        <f t="shared" si="4"/>
        <v>12505.302310899344</v>
      </c>
      <c r="AM16" s="108">
        <f t="shared" si="2"/>
        <v>14178.546986301371</v>
      </c>
      <c r="AN16" s="143">
        <f t="shared" si="7"/>
        <v>11827.987239263804</v>
      </c>
      <c r="AO16" s="143">
        <f t="shared" si="8"/>
        <v>14131.406498523065</v>
      </c>
      <c r="AP16" s="143"/>
    </row>
    <row r="17" spans="3:44" x14ac:dyDescent="0.25">
      <c r="C17" s="26" t="s">
        <v>157</v>
      </c>
      <c r="D17" s="111" t="s">
        <v>154</v>
      </c>
      <c r="E17" s="111">
        <f>SUM(E14:E16)</f>
        <v>1160</v>
      </c>
      <c r="F17" s="111">
        <f>SUM(F14:F16)</f>
        <v>852</v>
      </c>
      <c r="G17" s="111">
        <f>SUM(G14:G16)</f>
        <v>622.5</v>
      </c>
      <c r="H17" s="118">
        <f>SUM(H14:H16)</f>
        <v>483</v>
      </c>
      <c r="I17" s="93"/>
      <c r="J17" s="93"/>
      <c r="K17" s="93"/>
      <c r="L17" s="93"/>
      <c r="M17" s="93"/>
      <c r="N17" s="93"/>
      <c r="O17" s="93"/>
      <c r="P17" s="93"/>
      <c r="Q17" s="93"/>
      <c r="S17" s="104">
        <v>2026</v>
      </c>
      <c r="T17" s="8">
        <v>171.27500000000001</v>
      </c>
      <c r="U17" s="106">
        <f t="shared" si="5"/>
        <v>0.51005062537224544</v>
      </c>
      <c r="V17" s="110"/>
      <c r="W17" t="s">
        <v>158</v>
      </c>
      <c r="X17" s="119">
        <f>SUM(X14:X16)</f>
        <v>11600</v>
      </c>
      <c r="Y17" s="120">
        <f>SUM(Y14:Y16)</f>
        <v>213000</v>
      </c>
      <c r="Z17" s="120">
        <f>SUM(Z14:Z16)</f>
        <v>2490000</v>
      </c>
      <c r="AA17" s="121">
        <f>SUM(AA14:AA16)</f>
        <v>193200000</v>
      </c>
      <c r="AC17" s="56">
        <v>2026</v>
      </c>
      <c r="AD17" s="107">
        <f t="shared" si="0"/>
        <v>1183.3174508636093</v>
      </c>
      <c r="AE17" s="107">
        <f t="shared" si="1"/>
        <v>869.12626563430626</v>
      </c>
      <c r="AF17" s="107">
        <f t="shared" si="1"/>
        <v>1270.0260571768911</v>
      </c>
      <c r="AG17" s="107">
        <f t="shared" si="1"/>
        <v>985.41780821917814</v>
      </c>
      <c r="AH17" s="107">
        <v>966.70548255321955</v>
      </c>
      <c r="AI17" s="56">
        <v>2026</v>
      </c>
      <c r="AJ17" s="108">
        <f t="shared" si="3"/>
        <v>15762.853431209054</v>
      </c>
      <c r="AK17" s="108">
        <f t="shared" si="2"/>
        <v>11577.544071888031</v>
      </c>
      <c r="AL17" s="108">
        <f t="shared" si="4"/>
        <v>11577.544071888031</v>
      </c>
      <c r="AM17" s="108">
        <f t="shared" si="2"/>
        <v>13126.652081506851</v>
      </c>
      <c r="AN17" s="143">
        <f t="shared" si="7"/>
        <v>11387.790584476927</v>
      </c>
      <c r="AO17" s="143">
        <f t="shared" si="8"/>
        <v>13605.484569267535</v>
      </c>
      <c r="AP17" s="143"/>
    </row>
    <row r="18" spans="3:44" x14ac:dyDescent="0.25">
      <c r="C18" s="25" t="s">
        <v>159</v>
      </c>
      <c r="D18" s="9" t="s">
        <v>154</v>
      </c>
      <c r="E18" s="9"/>
      <c r="F18" s="9"/>
      <c r="G18" s="9"/>
      <c r="H18" s="5"/>
      <c r="S18" s="104">
        <v>2027</v>
      </c>
      <c r="T18" s="8">
        <v>156.65000000000003</v>
      </c>
      <c r="U18" s="106">
        <f t="shared" si="5"/>
        <v>0.46649791542584879</v>
      </c>
      <c r="V18" s="110"/>
      <c r="X18" s="25"/>
      <c r="Y18" s="9"/>
      <c r="Z18" s="9"/>
      <c r="AA18" s="5"/>
      <c r="AC18" s="56">
        <v>2027</v>
      </c>
      <c r="AD18" s="107">
        <f t="shared" si="0"/>
        <v>1082.2751637879692</v>
      </c>
      <c r="AE18" s="107">
        <f t="shared" si="1"/>
        <v>794.91244788564632</v>
      </c>
      <c r="AF18" s="107">
        <f t="shared" si="1"/>
        <v>1161.5798094103634</v>
      </c>
      <c r="AG18" s="107">
        <f t="shared" si="1"/>
        <v>901.27397260273983</v>
      </c>
      <c r="AH18" s="107">
        <v>929.33734547453719</v>
      </c>
      <c r="AI18" s="56">
        <v>2027</v>
      </c>
      <c r="AJ18" s="108">
        <f t="shared" si="3"/>
        <v>14416.879229303158</v>
      </c>
      <c r="AK18" s="108">
        <f t="shared" si="2"/>
        <v>10588.949227039906</v>
      </c>
      <c r="AL18" s="108">
        <f t="shared" si="4"/>
        <v>10588.949227039906</v>
      </c>
      <c r="AM18" s="108">
        <f t="shared" si="2"/>
        <v>12005.780461643837</v>
      </c>
      <c r="AN18" s="143">
        <f t="shared" si="7"/>
        <v>10947.593929690047</v>
      </c>
      <c r="AO18" s="143">
        <f t="shared" si="8"/>
        <v>13079.562640012005</v>
      </c>
      <c r="AP18" s="143"/>
    </row>
    <row r="19" spans="3:44" ht="15" customHeight="1" x14ac:dyDescent="0.25">
      <c r="C19" s="25" t="s">
        <v>160</v>
      </c>
      <c r="D19" s="9"/>
      <c r="E19" s="9">
        <v>0</v>
      </c>
      <c r="F19" s="9">
        <v>0</v>
      </c>
      <c r="G19" s="9">
        <v>0</v>
      </c>
      <c r="H19" s="5">
        <v>0</v>
      </c>
      <c r="S19" s="104">
        <v>2028</v>
      </c>
      <c r="T19" s="8">
        <v>145.22499999999999</v>
      </c>
      <c r="U19" s="106">
        <f t="shared" si="5"/>
        <v>0.43247468731387728</v>
      </c>
      <c r="V19" s="110"/>
      <c r="W19" t="s">
        <v>161</v>
      </c>
      <c r="X19" s="122">
        <f>E26*(E7)</f>
        <v>0</v>
      </c>
      <c r="Y19" s="122">
        <f>F26*(F7)</f>
        <v>10.224</v>
      </c>
      <c r="Z19" s="122">
        <f>G26*(G7)</f>
        <v>14.94</v>
      </c>
      <c r="AA19" s="122">
        <f>H26*(H7)</f>
        <v>11.592000000000001</v>
      </c>
      <c r="AC19" s="56">
        <v>2028</v>
      </c>
      <c r="AD19" s="107">
        <f t="shared" si="0"/>
        <v>1003.3412745681953</v>
      </c>
      <c r="AE19" s="107">
        <f t="shared" si="1"/>
        <v>736.93686718284687</v>
      </c>
      <c r="AF19" s="107">
        <f t="shared" si="1"/>
        <v>1076.8619714115544</v>
      </c>
      <c r="AG19" s="107">
        <f t="shared" si="1"/>
        <v>835.54109589041093</v>
      </c>
      <c r="AH19" s="107">
        <v>891.96920839585493</v>
      </c>
      <c r="AI19" s="56">
        <v>2028</v>
      </c>
      <c r="AJ19" s="108">
        <f t="shared" si="3"/>
        <v>13365.408784395473</v>
      </c>
      <c r="AK19" s="108">
        <f t="shared" si="2"/>
        <v>9816.6623140559841</v>
      </c>
      <c r="AL19" s="108">
        <f t="shared" si="4"/>
        <v>9816.6623140559841</v>
      </c>
      <c r="AM19" s="108">
        <f t="shared" si="2"/>
        <v>11130.159384246575</v>
      </c>
      <c r="AN19" s="143">
        <f t="shared" si="7"/>
        <v>10507.397274903171</v>
      </c>
      <c r="AO19" s="143">
        <f t="shared" si="8"/>
        <v>12553.640710756477</v>
      </c>
      <c r="AP19" s="143"/>
    </row>
    <row r="20" spans="3:44" ht="15" customHeight="1" x14ac:dyDescent="0.25">
      <c r="C20" s="25" t="s">
        <v>162</v>
      </c>
      <c r="D20" s="9"/>
      <c r="E20" s="9">
        <v>0</v>
      </c>
      <c r="F20" s="9">
        <v>0</v>
      </c>
      <c r="G20" s="9">
        <v>0</v>
      </c>
      <c r="H20" s="5">
        <v>189</v>
      </c>
      <c r="S20" s="104">
        <v>2029</v>
      </c>
      <c r="T20" s="8">
        <v>137.6</v>
      </c>
      <c r="U20" s="106">
        <f t="shared" si="5"/>
        <v>0.40976771888028585</v>
      </c>
      <c r="V20" s="110"/>
      <c r="W20" t="s">
        <v>163</v>
      </c>
      <c r="X20" s="123">
        <f>E32</f>
        <v>0.85</v>
      </c>
      <c r="Y20" s="123">
        <f>F32</f>
        <v>0.86</v>
      </c>
      <c r="Z20" s="123">
        <f>G32</f>
        <v>0.86</v>
      </c>
      <c r="AA20" s="123">
        <f>H32</f>
        <v>0.89</v>
      </c>
      <c r="AC20" s="56">
        <v>2029</v>
      </c>
      <c r="AD20" s="107">
        <f t="shared" si="0"/>
        <v>950.66110780226313</v>
      </c>
      <c r="AE20" s="107">
        <f t="shared" si="1"/>
        <v>698.24419297200711</v>
      </c>
      <c r="AF20" s="107">
        <f t="shared" si="1"/>
        <v>1020.3216200119117</v>
      </c>
      <c r="AG20" s="107">
        <f t="shared" si="1"/>
        <v>791.67123287671222</v>
      </c>
      <c r="AH20" s="107">
        <v>854.60107131717268</v>
      </c>
      <c r="AI20" s="56">
        <v>2029</v>
      </c>
      <c r="AJ20" s="108">
        <f t="shared" si="3"/>
        <v>12663.661550923167</v>
      </c>
      <c r="AK20" s="108">
        <f t="shared" si="2"/>
        <v>9301.2410701608096</v>
      </c>
      <c r="AL20" s="108">
        <f t="shared" si="4"/>
        <v>9301.2410701608096</v>
      </c>
      <c r="AM20" s="108">
        <f t="shared" si="2"/>
        <v>10545.773326027396</v>
      </c>
      <c r="AN20" s="143">
        <f t="shared" si="7"/>
        <v>10067.200620116293</v>
      </c>
      <c r="AO20" s="143">
        <f t="shared" si="8"/>
        <v>12027.718781500949</v>
      </c>
      <c r="AP20" s="143"/>
    </row>
    <row r="21" spans="3:44" ht="15" customHeight="1" x14ac:dyDescent="0.25">
      <c r="C21" s="25" t="s">
        <v>164</v>
      </c>
      <c r="D21" s="9"/>
      <c r="E21" s="9">
        <v>0</v>
      </c>
      <c r="F21" s="9">
        <v>0</v>
      </c>
      <c r="G21" s="9">
        <v>0</v>
      </c>
      <c r="H21" s="5">
        <v>0</v>
      </c>
      <c r="S21" s="104">
        <v>2030</v>
      </c>
      <c r="T21" s="8">
        <v>130</v>
      </c>
      <c r="U21" s="106">
        <f t="shared" si="5"/>
        <v>0.38713519952352587</v>
      </c>
      <c r="V21" s="110"/>
      <c r="X21" s="25"/>
      <c r="Y21" s="9"/>
      <c r="Z21" s="9"/>
      <c r="AA21" s="5"/>
      <c r="AC21" s="56">
        <v>2030</v>
      </c>
      <c r="AD21" s="107">
        <f t="shared" si="0"/>
        <v>898.15366289458007</v>
      </c>
      <c r="AE21" s="107">
        <f t="shared" si="1"/>
        <v>659.67837998808807</v>
      </c>
      <c r="AF21" s="107">
        <f t="shared" si="1"/>
        <v>963.96664681357947</v>
      </c>
      <c r="AG21" s="107">
        <f t="shared" si="1"/>
        <v>747.94520547945194</v>
      </c>
      <c r="AH21" s="107">
        <v>817.23293423848986</v>
      </c>
      <c r="AI21" s="56">
        <v>2030</v>
      </c>
      <c r="AJ21" s="108">
        <f t="shared" si="3"/>
        <v>11964.215128052412</v>
      </c>
      <c r="AK21" s="108">
        <f t="shared" si="2"/>
        <v>8787.5097319833221</v>
      </c>
      <c r="AL21" s="108">
        <f t="shared" si="4"/>
        <v>8787.5097319833221</v>
      </c>
      <c r="AM21" s="108">
        <f t="shared" si="2"/>
        <v>9963.3032876712314</v>
      </c>
      <c r="AN21" s="143">
        <f t="shared" si="7"/>
        <v>9627.0039653294098</v>
      </c>
      <c r="AO21" s="143">
        <f t="shared" si="8"/>
        <v>11501.796852245412</v>
      </c>
      <c r="AP21" s="143">
        <v>14144</v>
      </c>
    </row>
    <row r="22" spans="3:44" x14ac:dyDescent="0.25">
      <c r="C22" s="25" t="s">
        <v>165</v>
      </c>
      <c r="D22" s="9" t="s">
        <v>154</v>
      </c>
      <c r="E22" s="9"/>
      <c r="F22" s="9"/>
      <c r="G22" s="9"/>
      <c r="H22" s="5"/>
      <c r="S22" s="104">
        <v>2031</v>
      </c>
      <c r="T22" s="8">
        <v>124.15</v>
      </c>
      <c r="U22" s="106">
        <f t="shared" si="5"/>
        <v>0.36971411554496725</v>
      </c>
      <c r="V22" s="110"/>
      <c r="X22" s="26"/>
      <c r="Y22" s="111"/>
      <c r="Z22" s="111"/>
      <c r="AA22" s="112"/>
      <c r="AC22" s="56">
        <v>2031</v>
      </c>
      <c r="AD22" s="107">
        <f t="shared" si="0"/>
        <v>857.73674806432405</v>
      </c>
      <c r="AE22" s="107">
        <f t="shared" ref="AE22:AG26" si="10">Y$10*$U22</f>
        <v>629.99285288862416</v>
      </c>
      <c r="AF22" s="107">
        <f t="shared" si="10"/>
        <v>920.58814770696847</v>
      </c>
      <c r="AG22" s="107">
        <f t="shared" si="10"/>
        <v>714.28767123287673</v>
      </c>
      <c r="AH22" s="107">
        <v>807.01752256050895</v>
      </c>
      <c r="AI22" s="56">
        <v>2031</v>
      </c>
      <c r="AJ22" s="108">
        <f t="shared" si="3"/>
        <v>11425.825447290053</v>
      </c>
      <c r="AK22" s="108">
        <f t="shared" si="3"/>
        <v>8392.0717940440736</v>
      </c>
      <c r="AL22" s="108">
        <f t="shared" si="4"/>
        <v>8392.0717940440736</v>
      </c>
      <c r="AM22" s="108">
        <f>(AG22*$AH$2)</f>
        <v>9514.9546397260274</v>
      </c>
      <c r="AN22" s="143">
        <f t="shared" si="7"/>
        <v>9506.6664157627947</v>
      </c>
      <c r="AO22" s="143">
        <f t="shared" si="8"/>
        <v>11358.024391592347</v>
      </c>
      <c r="AP22" s="143"/>
    </row>
    <row r="23" spans="3:44" ht="15" customHeight="1" x14ac:dyDescent="0.25">
      <c r="C23" s="25" t="s">
        <v>160</v>
      </c>
      <c r="D23" s="9"/>
      <c r="E23" s="9">
        <v>0</v>
      </c>
      <c r="F23" s="9">
        <v>0</v>
      </c>
      <c r="G23" s="9">
        <v>0</v>
      </c>
      <c r="H23" s="5">
        <v>0</v>
      </c>
      <c r="S23" s="104">
        <v>2032</v>
      </c>
      <c r="T23" s="8">
        <v>121.35</v>
      </c>
      <c r="U23" s="106">
        <f t="shared" si="5"/>
        <v>0.36137581893984511</v>
      </c>
      <c r="V23" s="110"/>
      <c r="AC23" s="56">
        <v>2032</v>
      </c>
      <c r="AD23" s="107">
        <f t="shared" si="0"/>
        <v>838.39189994044068</v>
      </c>
      <c r="AE23" s="107">
        <f t="shared" si="10"/>
        <v>615.78439547349603</v>
      </c>
      <c r="AF23" s="107">
        <f t="shared" si="10"/>
        <v>899.8257891602143</v>
      </c>
      <c r="AG23" s="107">
        <f t="shared" si="10"/>
        <v>698.17808219178073</v>
      </c>
      <c r="AH23" s="107">
        <v>796.80211088252781</v>
      </c>
      <c r="AI23" s="56">
        <v>2032</v>
      </c>
      <c r="AJ23" s="108">
        <f t="shared" si="3"/>
        <v>11168.134659916615</v>
      </c>
      <c r="AK23" s="108">
        <f t="shared" si="3"/>
        <v>8202.8023536628934</v>
      </c>
      <c r="AL23" s="108">
        <f t="shared" si="4"/>
        <v>8202.8023536628934</v>
      </c>
      <c r="AM23" s="108">
        <f>(AG23*$AH$2)</f>
        <v>9300.3604150684914</v>
      </c>
      <c r="AN23" s="143">
        <f t="shared" si="7"/>
        <v>9386.3288661961778</v>
      </c>
      <c r="AO23" s="143">
        <f t="shared" si="8"/>
        <v>11214.251930939281</v>
      </c>
      <c r="AP23" s="143"/>
    </row>
    <row r="24" spans="3:44" ht="15" customHeight="1" x14ac:dyDescent="0.25">
      <c r="C24" s="25" t="s">
        <v>162</v>
      </c>
      <c r="D24" s="9"/>
      <c r="E24" s="9">
        <v>0</v>
      </c>
      <c r="F24" s="9">
        <v>0</v>
      </c>
      <c r="G24" s="9">
        <v>0</v>
      </c>
      <c r="H24" s="5">
        <v>0</v>
      </c>
      <c r="S24" s="104">
        <v>2033</v>
      </c>
      <c r="T24" s="8">
        <v>119.55000000000001</v>
      </c>
      <c r="U24" s="106">
        <f t="shared" si="5"/>
        <v>0.35601548540798095</v>
      </c>
      <c r="V24" s="110"/>
      <c r="W24" t="s">
        <v>9</v>
      </c>
      <c r="AC24" s="56">
        <v>2033</v>
      </c>
      <c r="AD24" s="107">
        <f t="shared" si="0"/>
        <v>825.95592614651582</v>
      </c>
      <c r="AE24" s="107">
        <f t="shared" si="10"/>
        <v>606.65038713519948</v>
      </c>
      <c r="AF24" s="107">
        <f t="shared" si="10"/>
        <v>886.47855866587258</v>
      </c>
      <c r="AG24" s="107">
        <f t="shared" si="10"/>
        <v>687.82191780821915</v>
      </c>
      <c r="AH24" s="107">
        <v>786.58669920454668</v>
      </c>
      <c r="AI24" s="56">
        <v>2033</v>
      </c>
      <c r="AJ24" s="108">
        <f t="shared" si="3"/>
        <v>11002.476296605122</v>
      </c>
      <c r="AK24" s="108">
        <f t="shared" si="3"/>
        <v>8081.1291419892787</v>
      </c>
      <c r="AL24" s="108">
        <f t="shared" si="4"/>
        <v>8081.1291419892787</v>
      </c>
      <c r="AM24" s="108">
        <f>(AG24*$AH$2)</f>
        <v>9162.4069849315074</v>
      </c>
      <c r="AN24" s="143">
        <f t="shared" si="7"/>
        <v>9265.9913166295592</v>
      </c>
      <c r="AO24" s="143">
        <f t="shared" si="8"/>
        <v>11070.479470286213</v>
      </c>
      <c r="AP24" s="143"/>
    </row>
    <row r="25" spans="3:44" ht="15" customHeight="1" x14ac:dyDescent="0.25">
      <c r="C25" s="25" t="s">
        <v>164</v>
      </c>
      <c r="D25" s="9"/>
      <c r="E25" s="9">
        <v>0</v>
      </c>
      <c r="F25" s="9">
        <v>0</v>
      </c>
      <c r="G25" s="9">
        <v>0</v>
      </c>
      <c r="H25" s="5">
        <v>0</v>
      </c>
      <c r="S25" s="104">
        <v>2034</v>
      </c>
      <c r="T25" s="8">
        <v>120</v>
      </c>
      <c r="U25" s="106">
        <f t="shared" si="5"/>
        <v>0.35735556879094699</v>
      </c>
      <c r="V25" s="110"/>
      <c r="W25" t="s">
        <v>10</v>
      </c>
      <c r="AC25" s="56">
        <v>2034</v>
      </c>
      <c r="AD25" s="107">
        <f t="shared" si="0"/>
        <v>829.06491959499704</v>
      </c>
      <c r="AE25" s="107">
        <f t="shared" si="10"/>
        <v>608.93388921977362</v>
      </c>
      <c r="AF25" s="107">
        <f t="shared" si="10"/>
        <v>889.81536628945798</v>
      </c>
      <c r="AG25" s="107">
        <f t="shared" si="10"/>
        <v>690.41095890410963</v>
      </c>
      <c r="AH25" s="107">
        <v>776.37128752656554</v>
      </c>
      <c r="AI25" s="56">
        <v>2034</v>
      </c>
      <c r="AJ25" s="108">
        <f t="shared" si="3"/>
        <v>11043.890887432995</v>
      </c>
      <c r="AK25" s="108">
        <f t="shared" si="3"/>
        <v>8111.5474449076828</v>
      </c>
      <c r="AL25" s="108">
        <f t="shared" si="4"/>
        <v>8111.5474449076828</v>
      </c>
      <c r="AM25" s="108">
        <f>(AG25*$AH$2)</f>
        <v>9196.8953424657539</v>
      </c>
      <c r="AN25" s="143">
        <f t="shared" si="7"/>
        <v>9145.6537670629423</v>
      </c>
      <c r="AO25" s="143">
        <f t="shared" si="8"/>
        <v>10926.707009633146</v>
      </c>
      <c r="AP25" s="143"/>
    </row>
    <row r="26" spans="3:44" x14ac:dyDescent="0.25">
      <c r="C26" s="124" t="s">
        <v>166</v>
      </c>
      <c r="D26" s="125" t="s">
        <v>167</v>
      </c>
      <c r="E26" s="125">
        <f>E17*E27</f>
        <v>0</v>
      </c>
      <c r="F26" s="125">
        <f>F27*F17</f>
        <v>5.1120000000000001</v>
      </c>
      <c r="G26" s="125">
        <f>G27*G17</f>
        <v>3.7349999999999999</v>
      </c>
      <c r="H26" s="118">
        <f>H27*H17</f>
        <v>2.8980000000000001</v>
      </c>
      <c r="I26" s="125"/>
      <c r="J26" s="125"/>
      <c r="K26" s="125"/>
      <c r="L26" s="125"/>
      <c r="M26" s="125"/>
      <c r="N26" s="125"/>
      <c r="O26" s="125"/>
      <c r="P26" s="125"/>
      <c r="Q26" s="125"/>
      <c r="S26" s="104">
        <v>2035</v>
      </c>
      <c r="T26" s="8">
        <v>120</v>
      </c>
      <c r="U26" s="106">
        <f t="shared" si="5"/>
        <v>0.35735556879094699</v>
      </c>
      <c r="V26" s="110"/>
      <c r="W26" t="s">
        <v>11</v>
      </c>
      <c r="AC26" s="56">
        <v>2035</v>
      </c>
      <c r="AD26" s="107">
        <f t="shared" si="0"/>
        <v>829.06491959499704</v>
      </c>
      <c r="AE26" s="107">
        <f t="shared" si="10"/>
        <v>608.93388921977362</v>
      </c>
      <c r="AF26" s="107">
        <f t="shared" si="10"/>
        <v>889.81536628945798</v>
      </c>
      <c r="AG26" s="107">
        <f t="shared" si="10"/>
        <v>690.41095890410963</v>
      </c>
      <c r="AH26" s="107">
        <v>766.1558758485844</v>
      </c>
      <c r="AI26" s="56">
        <v>2035</v>
      </c>
      <c r="AJ26" s="108">
        <f t="shared" si="3"/>
        <v>11043.890887432995</v>
      </c>
      <c r="AK26" s="108">
        <f t="shared" si="3"/>
        <v>8111.5474449076828</v>
      </c>
      <c r="AL26" s="108">
        <f t="shared" si="4"/>
        <v>8111.5474449076828</v>
      </c>
      <c r="AM26" s="108">
        <f>(AG26*$AH$2)</f>
        <v>9196.8953424657539</v>
      </c>
      <c r="AN26" s="143">
        <f t="shared" si="7"/>
        <v>9025.3162174963236</v>
      </c>
      <c r="AO26" s="143">
        <f t="shared" si="8"/>
        <v>10782.934548980076</v>
      </c>
      <c r="AP26" s="143"/>
    </row>
    <row r="27" spans="3:44" ht="15" customHeight="1" x14ac:dyDescent="0.25">
      <c r="C27" s="25" t="s">
        <v>168</v>
      </c>
      <c r="D27" s="9"/>
      <c r="E27" s="126">
        <v>0</v>
      </c>
      <c r="F27" s="126">
        <v>6.0000000000000001E-3</v>
      </c>
      <c r="G27" s="126">
        <v>6.0000000000000001E-3</v>
      </c>
      <c r="H27" s="126">
        <v>6.0000000000000001E-3</v>
      </c>
      <c r="S27" s="26"/>
      <c r="T27" s="111"/>
      <c r="U27" s="127"/>
      <c r="V27" s="8"/>
      <c r="W27" t="s">
        <v>12</v>
      </c>
      <c r="AD27" s="107"/>
      <c r="AE27" s="111"/>
      <c r="AF27" s="111"/>
      <c r="AG27" s="112"/>
      <c r="AJ27" s="26"/>
      <c r="AK27" s="111"/>
      <c r="AL27" s="111"/>
      <c r="AM27" s="112"/>
    </row>
    <row r="28" spans="3:44" ht="15" customHeight="1" x14ac:dyDescent="0.25">
      <c r="C28" s="25" t="s">
        <v>169</v>
      </c>
      <c r="D28" s="9"/>
      <c r="E28" s="126"/>
      <c r="F28" s="126"/>
      <c r="G28" s="126"/>
      <c r="H28" s="128"/>
      <c r="U28" s="1"/>
      <c r="V28" s="1"/>
      <c r="W28" t="s">
        <v>22</v>
      </c>
    </row>
    <row r="29" spans="3:44" x14ac:dyDescent="0.25">
      <c r="C29" s="25" t="s">
        <v>170</v>
      </c>
      <c r="D29" s="9" t="s">
        <v>171</v>
      </c>
      <c r="E29" s="9"/>
      <c r="F29" s="9"/>
      <c r="G29" s="9"/>
      <c r="H29" s="5"/>
      <c r="U29" s="1"/>
      <c r="V29" s="1"/>
      <c r="W29" t="s">
        <v>13</v>
      </c>
    </row>
    <row r="30" spans="3:44" x14ac:dyDescent="0.25">
      <c r="C30" s="25" t="s">
        <v>172</v>
      </c>
      <c r="D30" s="9" t="s">
        <v>171</v>
      </c>
      <c r="E30" s="9"/>
      <c r="F30" s="9"/>
      <c r="G30" s="9"/>
      <c r="H30" s="5"/>
      <c r="U30" s="1"/>
      <c r="V30" s="1"/>
      <c r="W30" t="s">
        <v>181</v>
      </c>
      <c r="AJ30">
        <v>2015</v>
      </c>
      <c r="AK30">
        <v>2020</v>
      </c>
      <c r="AL30">
        <v>2025</v>
      </c>
      <c r="AM30">
        <v>2030</v>
      </c>
      <c r="AN30">
        <v>2035</v>
      </c>
      <c r="AR30" t="s">
        <v>173</v>
      </c>
    </row>
    <row r="31" spans="3:44" ht="15" customHeight="1" x14ac:dyDescent="0.25">
      <c r="C31" s="25" t="s">
        <v>174</v>
      </c>
      <c r="D31" s="9" t="s">
        <v>175</v>
      </c>
      <c r="E31" s="126"/>
      <c r="F31" s="126"/>
      <c r="G31" s="126"/>
      <c r="H31" s="128"/>
      <c r="U31" s="1"/>
      <c r="V31" s="1"/>
      <c r="AI31" s="2" t="s">
        <v>127</v>
      </c>
      <c r="AJ31" s="129">
        <f>INDEX($AJ$6:$AM$26,MATCH(AJ$30,$AI$6:$AI$26,0),MATCH($AI31,$AJ$5:$AM$5,0))</f>
        <v>36812.969624776655</v>
      </c>
      <c r="AK31" s="129">
        <f t="shared" ref="AK31:AN34" si="11">INDEX($AJ$6:$AM$26,MATCH(AK$30,$AI$6:$AI$26,0),MATCH($AI31,$AJ$5:$AM$5,0))</f>
        <v>24388.592376414534</v>
      </c>
      <c r="AL31" s="129">
        <f t="shared" si="11"/>
        <v>17025.998451459203</v>
      </c>
      <c r="AM31" s="129">
        <f t="shared" si="11"/>
        <v>11964.215128052412</v>
      </c>
      <c r="AN31" s="129">
        <f t="shared" si="11"/>
        <v>11043.890887432995</v>
      </c>
      <c r="AO31" s="129"/>
      <c r="AP31" s="129"/>
      <c r="AR31" t="s">
        <v>176</v>
      </c>
    </row>
    <row r="32" spans="3:44" ht="15" customHeight="1" x14ac:dyDescent="0.25">
      <c r="C32" s="25" t="s">
        <v>163</v>
      </c>
      <c r="D32" s="9" t="s">
        <v>175</v>
      </c>
      <c r="E32" s="126">
        <v>0.85</v>
      </c>
      <c r="F32" s="126">
        <v>0.86</v>
      </c>
      <c r="G32" s="126">
        <v>0.86</v>
      </c>
      <c r="H32" s="128">
        <v>0.89</v>
      </c>
      <c r="U32" s="1"/>
      <c r="V32" s="1"/>
      <c r="AI32" s="2" t="s">
        <v>133</v>
      </c>
      <c r="AJ32" s="129">
        <f>INDEX($AJ$6:$AM$26,MATCH(AJ$30,$AI$6:$AI$26,0),MATCH($AI32,$AJ$5:$AM$5,0))</f>
        <v>27038.491483025609</v>
      </c>
      <c r="AK32" s="129">
        <f t="shared" si="11"/>
        <v>17913.000607504466</v>
      </c>
      <c r="AL32" s="129">
        <f>INDEX($AJ$6:$AM$26,MATCH(AL$30,$AI$6:$AI$26,0),MATCH($AI32,$AJ$5:$AM$5,0))</f>
        <v>12505.302310899344</v>
      </c>
      <c r="AM32" s="129">
        <f>INDEX($AJ$6:$AM$26,MATCH(AM$30,$AI$6:$AI$26,0),MATCH($AI32,$AJ$5:$AM$5,0))</f>
        <v>8787.5097319833221</v>
      </c>
      <c r="AN32" s="129">
        <f t="shared" si="11"/>
        <v>8111.5474449076828</v>
      </c>
      <c r="AO32" s="129"/>
      <c r="AP32" s="129"/>
      <c r="AR32" t="s">
        <v>177</v>
      </c>
    </row>
    <row r="33" spans="3:44" x14ac:dyDescent="0.25">
      <c r="C33" s="25" t="s">
        <v>178</v>
      </c>
      <c r="D33" s="9" t="s">
        <v>171</v>
      </c>
      <c r="E33" s="9"/>
      <c r="F33" s="9"/>
      <c r="G33" s="9"/>
      <c r="H33" s="5"/>
      <c r="U33" s="1"/>
      <c r="V33" s="1"/>
      <c r="AI33" s="2" t="s">
        <v>133</v>
      </c>
      <c r="AJ33" s="129">
        <f>INDEX($AJ$6:$AM$26,MATCH(AJ$30,$AI$6:$AI$26,0),MATCH($AI33,$AJ$5:$AM$5,0))</f>
        <v>27038.491483025609</v>
      </c>
      <c r="AK33" s="129">
        <f t="shared" si="11"/>
        <v>17913.000607504466</v>
      </c>
      <c r="AL33" s="129">
        <f t="shared" si="11"/>
        <v>12505.302310899344</v>
      </c>
      <c r="AM33" s="129">
        <f t="shared" si="11"/>
        <v>8787.5097319833221</v>
      </c>
      <c r="AN33" s="129">
        <f t="shared" si="11"/>
        <v>8111.5474449076828</v>
      </c>
      <c r="AO33" s="129"/>
      <c r="AP33" s="129"/>
      <c r="AR33" t="s">
        <v>179</v>
      </c>
    </row>
    <row r="34" spans="3:44" x14ac:dyDescent="0.25">
      <c r="C34" s="26"/>
      <c r="D34" s="111"/>
      <c r="E34" s="111"/>
      <c r="F34" s="111"/>
      <c r="G34" s="111"/>
      <c r="H34" s="112"/>
      <c r="U34" s="1"/>
      <c r="V34" s="1"/>
      <c r="AI34" s="2" t="s">
        <v>130</v>
      </c>
      <c r="AJ34" s="129">
        <f>INDEX($AJ$6:$AM$26,MATCH(AJ$30,$AI$6:$AI$26,0),MATCH($AI34,$AJ$5:$AM$5,0))</f>
        <v>30656.317808219181</v>
      </c>
      <c r="AK34" s="129">
        <f t="shared" si="11"/>
        <v>20309.810547945206</v>
      </c>
      <c r="AL34" s="129">
        <f t="shared" si="11"/>
        <v>14178.546986301371</v>
      </c>
      <c r="AM34" s="129">
        <f t="shared" si="11"/>
        <v>9963.3032876712314</v>
      </c>
      <c r="AN34" s="129">
        <f t="shared" si="11"/>
        <v>9196.8953424657539</v>
      </c>
      <c r="AO34" s="129"/>
      <c r="AP34" s="129"/>
      <c r="AR34" t="s">
        <v>180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Q44"/>
  <sheetViews>
    <sheetView showRuler="0" zoomScale="110" zoomScaleNormal="85" zoomScaleSheetLayoutView="100" zoomScalePageLayoutView="110" workbookViewId="0">
      <selection activeCell="B1" sqref="B1"/>
    </sheetView>
  </sheetViews>
  <sheetFormatPr defaultRowHeight="15" x14ac:dyDescent="0.25"/>
  <cols>
    <col min="1" max="1" width="5" customWidth="1"/>
    <col min="2" max="2" width="9.5703125" bestFit="1" customWidth="1"/>
    <col min="3" max="3" width="9.28515625" bestFit="1" customWidth="1"/>
    <col min="4" max="4" width="9.5703125" bestFit="1" customWidth="1"/>
    <col min="5" max="5" width="5.7109375" customWidth="1"/>
    <col min="6" max="6" width="7.85546875" bestFit="1" customWidth="1"/>
    <col min="7" max="7" width="6.42578125" customWidth="1"/>
    <col min="8" max="8" width="7.85546875" bestFit="1" customWidth="1"/>
    <col min="9" max="9" width="16.7109375" customWidth="1"/>
  </cols>
  <sheetData>
    <row r="1" spans="1:10" ht="18.75" x14ac:dyDescent="0.3">
      <c r="B1" s="135" t="s">
        <v>201</v>
      </c>
    </row>
    <row r="2" spans="1:10" s="2" customFormat="1" x14ac:dyDescent="0.25">
      <c r="A2" s="11" t="s">
        <v>8</v>
      </c>
      <c r="B2" s="11" t="s">
        <v>0</v>
      </c>
      <c r="C2" s="11" t="s">
        <v>1</v>
      </c>
      <c r="D2" s="11" t="s">
        <v>2</v>
      </c>
      <c r="E2" s="11" t="s">
        <v>4</v>
      </c>
      <c r="F2" s="11" t="s">
        <v>3</v>
      </c>
      <c r="G2" s="11" t="s">
        <v>5</v>
      </c>
      <c r="H2" s="11" t="s">
        <v>14</v>
      </c>
      <c r="I2" s="11" t="s">
        <v>6</v>
      </c>
      <c r="J2" s="12"/>
    </row>
    <row r="3" spans="1:10" x14ac:dyDescent="0.25">
      <c r="A3" s="13">
        <v>2015</v>
      </c>
      <c r="B3" s="14">
        <v>431.20000000000005</v>
      </c>
      <c r="C3" s="14">
        <v>353.6</v>
      </c>
      <c r="D3" s="14">
        <v>448</v>
      </c>
      <c r="E3" s="14">
        <v>455.20000000000005</v>
      </c>
      <c r="F3" s="14">
        <v>336</v>
      </c>
      <c r="G3" s="14">
        <v>391.20000000000005</v>
      </c>
      <c r="H3" s="15">
        <f>H4+H5-H6</f>
        <v>431</v>
      </c>
      <c r="I3" s="16">
        <v>400</v>
      </c>
      <c r="J3" s="17"/>
    </row>
    <row r="4" spans="1:10" x14ac:dyDescent="0.25">
      <c r="A4" s="18">
        <v>2016</v>
      </c>
      <c r="B4" s="19">
        <v>375.20000000000005</v>
      </c>
      <c r="C4" s="19">
        <v>293.60000000000002</v>
      </c>
      <c r="D4" s="19">
        <v>402.40000000000003</v>
      </c>
      <c r="E4" s="19">
        <v>452</v>
      </c>
      <c r="F4" s="19">
        <v>314.40000000000003</v>
      </c>
      <c r="G4" s="19">
        <v>369.6</v>
      </c>
      <c r="H4" s="15">
        <f>H5+H6-H7</f>
        <v>399.5</v>
      </c>
      <c r="I4" s="16">
        <f t="shared" ref="I4:I22" si="0">AVERAGE(B4,F4,G4,H4)</f>
        <v>364.67500000000007</v>
      </c>
      <c r="J4" s="17"/>
    </row>
    <row r="5" spans="1:10" x14ac:dyDescent="0.25">
      <c r="A5" s="18">
        <v>2017</v>
      </c>
      <c r="B5" s="19">
        <v>334.40000000000003</v>
      </c>
      <c r="C5" s="19">
        <v>254.4</v>
      </c>
      <c r="D5" s="19">
        <v>368</v>
      </c>
      <c r="E5" s="19">
        <v>448.8</v>
      </c>
      <c r="F5" s="19">
        <v>292.8</v>
      </c>
      <c r="G5" s="19">
        <v>348</v>
      </c>
      <c r="H5" s="15">
        <v>368</v>
      </c>
      <c r="I5" s="16">
        <f t="shared" si="0"/>
        <v>335.8</v>
      </c>
      <c r="J5" s="17"/>
    </row>
    <row r="6" spans="1:10" x14ac:dyDescent="0.25">
      <c r="A6" s="18">
        <v>2018</v>
      </c>
      <c r="B6" s="19">
        <v>308.8</v>
      </c>
      <c r="C6" s="19">
        <v>228</v>
      </c>
      <c r="D6" s="19">
        <v>345.6</v>
      </c>
      <c r="E6" s="19">
        <v>445.6</v>
      </c>
      <c r="F6" s="19">
        <v>271.2</v>
      </c>
      <c r="G6" s="19">
        <v>326.40000000000003</v>
      </c>
      <c r="H6" s="15">
        <f>(H5+H7)/2</f>
        <v>336.5</v>
      </c>
      <c r="I6" s="16">
        <f t="shared" si="0"/>
        <v>310.72500000000002</v>
      </c>
      <c r="J6" s="17"/>
    </row>
    <row r="7" spans="1:10" x14ac:dyDescent="0.25">
      <c r="A7" s="18">
        <v>2019</v>
      </c>
      <c r="B7" s="19">
        <v>287.2</v>
      </c>
      <c r="C7" s="19">
        <v>206.4</v>
      </c>
      <c r="D7" s="19">
        <v>324</v>
      </c>
      <c r="E7" s="19">
        <v>442.40000000000003</v>
      </c>
      <c r="F7" s="19">
        <v>249.60000000000002</v>
      </c>
      <c r="G7" s="19">
        <v>304.8</v>
      </c>
      <c r="H7" s="15">
        <v>305</v>
      </c>
      <c r="I7" s="16">
        <f t="shared" si="0"/>
        <v>286.64999999999998</v>
      </c>
      <c r="J7" s="17"/>
    </row>
    <row r="8" spans="1:10" x14ac:dyDescent="0.25">
      <c r="A8" s="18">
        <v>2020</v>
      </c>
      <c r="B8" s="19">
        <v>267.2</v>
      </c>
      <c r="C8" s="19">
        <v>189.60000000000002</v>
      </c>
      <c r="D8" s="19">
        <v>305.60000000000002</v>
      </c>
      <c r="E8" s="19">
        <v>438.40000000000003</v>
      </c>
      <c r="F8" s="19">
        <v>228</v>
      </c>
      <c r="G8" s="19">
        <v>283.2</v>
      </c>
      <c r="H8" s="15">
        <f>(H7+H9)/2</f>
        <v>284</v>
      </c>
      <c r="I8" s="16">
        <v>265</v>
      </c>
      <c r="J8" s="17"/>
    </row>
    <row r="9" spans="1:10" x14ac:dyDescent="0.25">
      <c r="A9" s="18">
        <v>2021</v>
      </c>
      <c r="B9" s="19">
        <v>248</v>
      </c>
      <c r="C9" s="19">
        <v>175.20000000000002</v>
      </c>
      <c r="D9" s="19">
        <v>292</v>
      </c>
      <c r="E9" s="19">
        <v>423.20000000000005</v>
      </c>
      <c r="F9" s="19">
        <v>213.60000000000002</v>
      </c>
      <c r="G9" s="19">
        <v>253.60000000000002</v>
      </c>
      <c r="H9" s="15">
        <v>263</v>
      </c>
      <c r="I9" s="16">
        <f t="shared" si="0"/>
        <v>244.55</v>
      </c>
      <c r="J9" s="17"/>
    </row>
    <row r="10" spans="1:10" x14ac:dyDescent="0.25">
      <c r="A10" s="18">
        <v>2022</v>
      </c>
      <c r="B10" s="19">
        <v>234.4</v>
      </c>
      <c r="C10" s="19">
        <v>166.4</v>
      </c>
      <c r="D10" s="19">
        <v>285.60000000000002</v>
      </c>
      <c r="E10" s="19">
        <v>408.8</v>
      </c>
      <c r="F10" s="19">
        <v>199.20000000000002</v>
      </c>
      <c r="G10" s="19">
        <v>224</v>
      </c>
      <c r="H10" s="15">
        <f>(H9+H11)/2</f>
        <v>247</v>
      </c>
      <c r="I10" s="16">
        <f t="shared" si="0"/>
        <v>226.15</v>
      </c>
      <c r="J10" s="17"/>
    </row>
    <row r="11" spans="1:10" x14ac:dyDescent="0.25">
      <c r="A11" s="18">
        <v>2023</v>
      </c>
      <c r="B11" s="19">
        <v>223.20000000000002</v>
      </c>
      <c r="C11" s="19">
        <v>160</v>
      </c>
      <c r="D11" s="19">
        <v>275.2</v>
      </c>
      <c r="E11" s="19">
        <v>394.40000000000003</v>
      </c>
      <c r="F11" s="19">
        <v>186.4</v>
      </c>
      <c r="G11" s="19">
        <v>202.4</v>
      </c>
      <c r="H11" s="15">
        <v>231</v>
      </c>
      <c r="I11" s="16">
        <f t="shared" si="0"/>
        <v>210.75</v>
      </c>
      <c r="J11" s="17"/>
    </row>
    <row r="12" spans="1:10" x14ac:dyDescent="0.25">
      <c r="A12" s="18">
        <v>2024</v>
      </c>
      <c r="B12" s="19">
        <v>213.60000000000002</v>
      </c>
      <c r="C12" s="19">
        <v>152.80000000000001</v>
      </c>
      <c r="D12" s="19">
        <v>272</v>
      </c>
      <c r="E12" s="19">
        <v>380</v>
      </c>
      <c r="F12" s="19">
        <v>175.20000000000002</v>
      </c>
      <c r="G12" s="19">
        <v>188</v>
      </c>
      <c r="H12" s="15">
        <f>(H11+H13)/2</f>
        <v>216.5</v>
      </c>
      <c r="I12" s="16">
        <f t="shared" si="0"/>
        <v>198.32500000000002</v>
      </c>
      <c r="J12" s="17"/>
    </row>
    <row r="13" spans="1:10" x14ac:dyDescent="0.25">
      <c r="A13" s="18">
        <v>2025</v>
      </c>
      <c r="B13" s="19">
        <v>204</v>
      </c>
      <c r="C13" s="19">
        <v>145.6</v>
      </c>
      <c r="D13" s="19">
        <v>265.60000000000002</v>
      </c>
      <c r="E13" s="19">
        <v>364.8</v>
      </c>
      <c r="F13" s="19">
        <v>164</v>
      </c>
      <c r="G13" s="19">
        <v>172.8</v>
      </c>
      <c r="H13" s="15">
        <v>202</v>
      </c>
      <c r="I13" s="16">
        <v>185</v>
      </c>
      <c r="J13" s="17"/>
    </row>
    <row r="14" spans="1:10" x14ac:dyDescent="0.25">
      <c r="A14" s="18">
        <v>2026</v>
      </c>
      <c r="B14" s="19">
        <v>193.60000000000002</v>
      </c>
      <c r="C14" s="19">
        <v>137.6</v>
      </c>
      <c r="D14" s="19">
        <v>258.40000000000003</v>
      </c>
      <c r="E14" s="19">
        <v>352</v>
      </c>
      <c r="F14" s="19">
        <v>149.6</v>
      </c>
      <c r="G14" s="19">
        <v>154.4</v>
      </c>
      <c r="H14" s="15">
        <f>H13-(H12-H13)</f>
        <v>187.5</v>
      </c>
      <c r="I14" s="16">
        <f t="shared" si="0"/>
        <v>171.27500000000001</v>
      </c>
      <c r="J14" s="17"/>
    </row>
    <row r="15" spans="1:10" x14ac:dyDescent="0.25">
      <c r="A15" s="18">
        <v>2027</v>
      </c>
      <c r="B15" s="19">
        <v>181.60000000000002</v>
      </c>
      <c r="C15" s="19">
        <v>127.2</v>
      </c>
      <c r="D15" s="19">
        <v>248</v>
      </c>
      <c r="E15" s="19">
        <v>339.20000000000005</v>
      </c>
      <c r="F15" s="19">
        <v>135.20000000000002</v>
      </c>
      <c r="G15" s="19">
        <v>136.80000000000001</v>
      </c>
      <c r="H15" s="15">
        <f t="shared" ref="H15:H23" si="1">H14-(H13-H14)</f>
        <v>173</v>
      </c>
      <c r="I15" s="16">
        <f t="shared" si="0"/>
        <v>156.65000000000003</v>
      </c>
      <c r="J15" s="17"/>
    </row>
    <row r="16" spans="1:10" x14ac:dyDescent="0.25">
      <c r="A16" s="18">
        <v>2028</v>
      </c>
      <c r="B16" s="19">
        <v>169.60000000000002</v>
      </c>
      <c r="C16" s="19">
        <v>125.60000000000001</v>
      </c>
      <c r="D16" s="19">
        <v>236.8</v>
      </c>
      <c r="E16" s="19">
        <v>329.6</v>
      </c>
      <c r="F16" s="19">
        <v>126.4</v>
      </c>
      <c r="G16" s="19">
        <v>126.4</v>
      </c>
      <c r="H16" s="15">
        <f t="shared" si="1"/>
        <v>158.5</v>
      </c>
      <c r="I16" s="16">
        <f t="shared" si="0"/>
        <v>145.22499999999999</v>
      </c>
      <c r="J16" s="17"/>
    </row>
    <row r="17" spans="1:17" x14ac:dyDescent="0.25">
      <c r="A17" s="18">
        <v>2029</v>
      </c>
      <c r="B17" s="19">
        <v>161.60000000000002</v>
      </c>
      <c r="C17" s="19">
        <v>123.2</v>
      </c>
      <c r="D17" s="19">
        <v>228</v>
      </c>
      <c r="E17" s="19">
        <v>322.40000000000003</v>
      </c>
      <c r="F17" s="19">
        <v>122.4</v>
      </c>
      <c r="G17" s="19">
        <v>122.4</v>
      </c>
      <c r="H17" s="15">
        <f t="shared" si="1"/>
        <v>144</v>
      </c>
      <c r="I17" s="16">
        <f t="shared" si="0"/>
        <v>137.6</v>
      </c>
      <c r="J17" s="17"/>
    </row>
    <row r="18" spans="1:17" x14ac:dyDescent="0.25">
      <c r="A18" s="18">
        <v>2030</v>
      </c>
      <c r="B18" s="19">
        <v>156</v>
      </c>
      <c r="C18" s="19">
        <v>120.80000000000001</v>
      </c>
      <c r="D18" s="19">
        <v>222.4</v>
      </c>
      <c r="E18" s="19">
        <v>315.20000000000005</v>
      </c>
      <c r="F18" s="19">
        <v>118.4</v>
      </c>
      <c r="G18" s="19">
        <v>118.4</v>
      </c>
      <c r="H18" s="15">
        <f t="shared" si="1"/>
        <v>129.5</v>
      </c>
      <c r="I18" s="16">
        <v>130</v>
      </c>
      <c r="J18" s="17"/>
    </row>
    <row r="19" spans="1:17" x14ac:dyDescent="0.25">
      <c r="A19" s="18">
        <v>2031</v>
      </c>
      <c r="B19" s="19">
        <v>151.20000000000002</v>
      </c>
      <c r="C19" s="19">
        <v>119.2</v>
      </c>
      <c r="D19" s="19">
        <v>216.8</v>
      </c>
      <c r="E19" s="19">
        <v>311.20000000000005</v>
      </c>
      <c r="F19" s="19">
        <v>115.2</v>
      </c>
      <c r="G19" s="19">
        <v>115.2</v>
      </c>
      <c r="H19" s="15">
        <f t="shared" si="1"/>
        <v>115</v>
      </c>
      <c r="I19" s="16">
        <f t="shared" si="0"/>
        <v>124.15</v>
      </c>
      <c r="J19" s="17"/>
    </row>
    <row r="20" spans="1:17" x14ac:dyDescent="0.25">
      <c r="A20" s="18">
        <v>2032</v>
      </c>
      <c r="B20" s="19">
        <v>148</v>
      </c>
      <c r="C20" s="19">
        <v>117.60000000000001</v>
      </c>
      <c r="D20" s="19">
        <v>212.8</v>
      </c>
      <c r="E20" s="19">
        <v>307.20000000000005</v>
      </c>
      <c r="F20" s="19">
        <v>111.2</v>
      </c>
      <c r="G20" s="19">
        <v>111.2</v>
      </c>
      <c r="H20" s="15">
        <v>115</v>
      </c>
      <c r="I20" s="16">
        <f t="shared" si="0"/>
        <v>121.35</v>
      </c>
      <c r="J20" s="17"/>
    </row>
    <row r="21" spans="1:17" x14ac:dyDescent="0.25">
      <c r="A21" s="18">
        <v>2033</v>
      </c>
      <c r="B21" s="19">
        <v>144</v>
      </c>
      <c r="C21" s="19">
        <v>115.2</v>
      </c>
      <c r="D21" s="19">
        <v>209.60000000000002</v>
      </c>
      <c r="E21" s="19">
        <v>304.8</v>
      </c>
      <c r="F21" s="19">
        <v>109.60000000000001</v>
      </c>
      <c r="G21" s="19">
        <v>109.60000000000001</v>
      </c>
      <c r="H21" s="15">
        <f t="shared" si="1"/>
        <v>115</v>
      </c>
      <c r="I21" s="16">
        <f t="shared" si="0"/>
        <v>119.55000000000001</v>
      </c>
      <c r="J21" s="17"/>
      <c r="L21" t="s">
        <v>7</v>
      </c>
    </row>
    <row r="22" spans="1:17" x14ac:dyDescent="0.25">
      <c r="A22" s="18">
        <v>2034</v>
      </c>
      <c r="B22" s="19">
        <v>141.6</v>
      </c>
      <c r="C22" s="19">
        <v>114.4</v>
      </c>
      <c r="D22" s="19">
        <v>207.20000000000002</v>
      </c>
      <c r="E22" s="19">
        <v>303.2</v>
      </c>
      <c r="F22" s="19">
        <v>109.60000000000001</v>
      </c>
      <c r="G22" s="19">
        <v>109.60000000000001</v>
      </c>
      <c r="H22" s="15">
        <f t="shared" si="1"/>
        <v>115</v>
      </c>
      <c r="I22" s="16">
        <f t="shared" si="0"/>
        <v>118.95</v>
      </c>
      <c r="J22" s="17"/>
      <c r="L22" t="s">
        <v>23</v>
      </c>
      <c r="O22" s="23">
        <v>0.92</v>
      </c>
      <c r="Q22" t="s">
        <v>27</v>
      </c>
    </row>
    <row r="23" spans="1:17" x14ac:dyDescent="0.25">
      <c r="A23" s="18">
        <v>2035</v>
      </c>
      <c r="B23" s="19">
        <v>139.20000000000002</v>
      </c>
      <c r="C23" s="19">
        <v>113.60000000000001</v>
      </c>
      <c r="D23" s="19">
        <v>204</v>
      </c>
      <c r="E23" s="19">
        <v>301.60000000000002</v>
      </c>
      <c r="F23" s="19">
        <v>109.60000000000001</v>
      </c>
      <c r="G23" s="19">
        <v>109.60000000000001</v>
      </c>
      <c r="H23" s="15">
        <f t="shared" si="1"/>
        <v>115</v>
      </c>
      <c r="I23" s="16">
        <v>120</v>
      </c>
      <c r="J23" s="17"/>
      <c r="L23" t="s">
        <v>29</v>
      </c>
      <c r="O23" s="23">
        <f>SQRT(O22)</f>
        <v>0.95916630466254393</v>
      </c>
    </row>
    <row r="24" spans="1:17" x14ac:dyDescent="0.25">
      <c r="L24" t="s">
        <v>24</v>
      </c>
      <c r="O24" t="s">
        <v>25</v>
      </c>
      <c r="Q24" t="s">
        <v>27</v>
      </c>
    </row>
    <row r="25" spans="1:17" x14ac:dyDescent="0.25">
      <c r="A25" t="s">
        <v>28</v>
      </c>
      <c r="L25" t="s">
        <v>26</v>
      </c>
    </row>
    <row r="28" spans="1:17" x14ac:dyDescent="0.25">
      <c r="A28" t="s">
        <v>9</v>
      </c>
    </row>
    <row r="29" spans="1:17" ht="18" customHeight="1" x14ac:dyDescent="0.25">
      <c r="A29" t="s">
        <v>10</v>
      </c>
    </row>
    <row r="30" spans="1:17" x14ac:dyDescent="0.25">
      <c r="A30" t="s">
        <v>11</v>
      </c>
    </row>
    <row r="31" spans="1:17" x14ac:dyDescent="0.25">
      <c r="A31" t="s">
        <v>12</v>
      </c>
    </row>
    <row r="32" spans="1:17" x14ac:dyDescent="0.25">
      <c r="A32" t="s">
        <v>22</v>
      </c>
    </row>
    <row r="33" spans="1:13" x14ac:dyDescent="0.25">
      <c r="A33" t="s">
        <v>13</v>
      </c>
    </row>
    <row r="34" spans="1:13" x14ac:dyDescent="0.25">
      <c r="A34" s="22"/>
    </row>
    <row r="35" spans="1:13" x14ac:dyDescent="0.25">
      <c r="A35" s="21"/>
    </row>
    <row r="44" spans="1:13" x14ac:dyDescent="0.25">
      <c r="M44" t="s">
        <v>113</v>
      </c>
    </row>
  </sheetData>
  <pageMargins left="0.7" right="0.7" top="0.75" bottom="0.75" header="0.3" footer="0.3"/>
  <pageSetup paperSize="9" orientation="portrait" r:id="rId1"/>
  <headerFooter>
    <oddHeader>&amp;C&amp;"-,Bold"&amp;14&amp;ULithium Ion Battery Pack -  System Cost Projections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PV &amp; Wind Costs and Learning</vt:lpstr>
      <vt:lpstr>REIPPPPs PPAs</vt:lpstr>
      <vt:lpstr>Solar PV Learning (data)</vt:lpstr>
      <vt:lpstr>Wind Costs &amp; Learning</vt:lpstr>
      <vt:lpstr>Wind Costs &amp; Learning (data)</vt:lpstr>
      <vt:lpstr>Utility PV - Global Projections</vt:lpstr>
      <vt:lpstr>Li-Ion System Costs &amp; Learning</vt:lpstr>
      <vt:lpstr>Li-Ion Battery Pack Projections</vt:lpstr>
      <vt:lpstr>'Li-Ion Battery Pack Projections'!_Hlk496009520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Ireland</dc:creator>
  <cp:lastModifiedBy>Bruno</cp:lastModifiedBy>
  <dcterms:created xsi:type="dcterms:W3CDTF">2017-09-20T14:00:22Z</dcterms:created>
  <dcterms:modified xsi:type="dcterms:W3CDTF">2021-05-25T15:21:09Z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932644128799438</vt:r8>
  </property>
</Properties>
</file>