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8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9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0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11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2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6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7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18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9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20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21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1DAEA17B-70B0-4B63-9D65-B07F9D49584A}" xr6:coauthVersionLast="47" xr6:coauthVersionMax="47" xr10:uidLastSave="{00000000-0000-0000-0000-000000000000}"/>
  <bookViews>
    <workbookView xWindow="-120" yWindow="-120" windowWidth="29040" windowHeight="15840" tabRatio="796" firstSheet="1" activeTab="19" xr2:uid="{00000000-000D-0000-FFFF-FFFF00000000}"/>
  </bookViews>
  <sheets>
    <sheet name="Production and Capacities" sheetId="62" r:id="rId1"/>
    <sheet name="Emissions" sheetId="63" r:id="rId2"/>
    <sheet name="Energy intensity" sheetId="64" r:id="rId3"/>
    <sheet name="DOE project" sheetId="65" r:id="rId4"/>
    <sheet name="AL roadmap " sheetId="66" r:id="rId5"/>
    <sheet name="ANSv2-692-Home" sheetId="9" r:id="rId6"/>
    <sheet name="Index" sheetId="60" r:id="rId7"/>
    <sheet name="RES" sheetId="52" r:id="rId8"/>
    <sheet name="EB_Exist" sheetId="27" r:id="rId9"/>
    <sheet name="Aluminium Data" sheetId="61" r:id="rId10"/>
    <sheet name="ANSv2-692-REGIONS" sheetId="18" state="veryHidden" r:id="rId11"/>
    <sheet name="ANSv2-692-Commodities" sheetId="19" state="veryHidden" r:id="rId12"/>
    <sheet name="Commodities_BASE" sheetId="29" r:id="rId13"/>
    <sheet name="ANSv2-692-Processes" sheetId="20" state="veryHidden" r:id="rId14"/>
    <sheet name="ANSv2-692-Constraints" sheetId="23" state="veryHidden" r:id="rId15"/>
    <sheet name="ANSv2-692-CommData" sheetId="21" state="veryHidden" r:id="rId16"/>
    <sheet name="CommData_BASE" sheetId="30" r:id="rId17"/>
    <sheet name="Processes_BASE" sheetId="31" r:id="rId18"/>
    <sheet name="ANSv2-692-ProcData" sheetId="25" state="veryHidden" r:id="rId19"/>
    <sheet name="ProcData_ALM" sheetId="56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</externalReferences>
  <definedNames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64" l="1"/>
  <c r="K16" i="64"/>
  <c r="M56" i="66"/>
  <c r="L56" i="66"/>
  <c r="M58" i="66" s="1"/>
  <c r="E15" i="64"/>
  <c r="D15" i="64"/>
  <c r="D16" i="64" s="1"/>
  <c r="D17" i="64" s="1"/>
  <c r="F14" i="64"/>
  <c r="E14" i="64"/>
  <c r="D14" i="64"/>
  <c r="E13" i="64"/>
  <c r="D13" i="64"/>
  <c r="F13" i="64" s="1"/>
  <c r="H13" i="64" s="1"/>
  <c r="K13" i="64" s="1"/>
  <c r="F12" i="64"/>
  <c r="E12" i="64"/>
  <c r="D12" i="64"/>
  <c r="E11" i="64"/>
  <c r="F11" i="64" s="1"/>
  <c r="H11" i="64" s="1"/>
  <c r="D11" i="64"/>
  <c r="E10" i="64"/>
  <c r="F10" i="64" s="1"/>
  <c r="D10" i="64"/>
  <c r="E9" i="64"/>
  <c r="D9" i="64"/>
  <c r="F9" i="64" s="1"/>
  <c r="F30" i="63"/>
  <c r="F28" i="63"/>
  <c r="I28" i="63" s="1"/>
  <c r="I27" i="63"/>
  <c r="F27" i="63"/>
  <c r="F29" i="63" s="1"/>
  <c r="E16" i="62"/>
  <c r="E15" i="62"/>
  <c r="D12" i="62"/>
  <c r="D9" i="62"/>
  <c r="F8" i="62"/>
  <c r="F17" i="62" s="1"/>
  <c r="D8" i="62"/>
  <c r="D17" i="62" s="1"/>
  <c r="D20" i="62" s="1"/>
  <c r="D22" i="62" s="1"/>
  <c r="F39" i="63" l="1"/>
  <c r="F34" i="63"/>
  <c r="F20" i="62"/>
  <c r="F22" i="62" s="1"/>
  <c r="F36" i="63"/>
  <c r="F38" i="63"/>
  <c r="H10" i="64"/>
  <c r="H12" i="64"/>
  <c r="I11" i="64" s="1"/>
  <c r="K11" i="64" s="1"/>
  <c r="H14" i="64"/>
  <c r="F15" i="64"/>
  <c r="H15" i="64" s="1"/>
  <c r="F42" i="63"/>
  <c r="M37" i="63" s="1"/>
  <c r="E16" i="64"/>
  <c r="E17" i="64" s="1"/>
  <c r="F16" i="64" l="1"/>
  <c r="F17" i="64" s="1"/>
  <c r="H16" i="64"/>
  <c r="F35" i="63"/>
  <c r="F41" i="63"/>
  <c r="M36" i="63" s="1"/>
  <c r="L10" i="64" l="1"/>
  <c r="L13" i="64" l="1"/>
  <c r="L11" i="64"/>
  <c r="I12" i="56" l="1"/>
  <c r="G8" i="30"/>
  <c r="F8" i="30"/>
  <c r="D8" i="30"/>
  <c r="E8" i="30"/>
  <c r="D2" i="61"/>
  <c r="D5" i="61"/>
  <c r="AD15" i="56"/>
  <c r="AC14" i="56"/>
  <c r="AB13" i="56"/>
  <c r="U5" i="56" l="1"/>
  <c r="D9" i="27"/>
  <c r="D10" i="27"/>
  <c r="D11" i="27"/>
  <c r="B11" i="27"/>
  <c r="C11" i="27"/>
  <c r="E19" i="61"/>
  <c r="F11" i="27" s="1"/>
  <c r="U12" i="56" s="1"/>
  <c r="E18" i="61"/>
  <c r="F10" i="27" s="1"/>
  <c r="T12" i="56" s="1"/>
  <c r="E17" i="61"/>
  <c r="F9" i="27" s="1"/>
  <c r="S12" i="56" s="1"/>
  <c r="K8" i="27"/>
  <c r="K7" i="27"/>
  <c r="K6" i="27"/>
  <c r="D13" i="61"/>
  <c r="D12" i="61"/>
  <c r="D11" i="61"/>
  <c r="L28" i="61" l="1"/>
  <c r="Q16" i="56" s="1"/>
  <c r="B7" i="27"/>
  <c r="L8" i="61"/>
  <c r="D7" i="61" s="1"/>
  <c r="Q12" i="56" s="1"/>
  <c r="P12" i="56" s="1"/>
  <c r="F4" i="27"/>
  <c r="C8" i="30"/>
  <c r="K5" i="27" l="1"/>
  <c r="AD11" i="56" l="1"/>
  <c r="AC10" i="56"/>
  <c r="AB9" i="56"/>
  <c r="K4" i="27"/>
  <c r="J12" i="56" s="1"/>
  <c r="C13" i="56"/>
  <c r="P16" i="56" l="1"/>
  <c r="E14" i="56"/>
  <c r="E13" i="56"/>
  <c r="E9" i="56"/>
  <c r="E10" i="56"/>
  <c r="E11" i="56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T5" i="56"/>
  <c r="S5" i="56"/>
  <c r="B10" i="27"/>
  <c r="B9" i="27"/>
  <c r="AD9" i="27"/>
  <c r="AD10" i="27" l="1"/>
  <c r="E15" i="56"/>
  <c r="D13" i="56"/>
  <c r="B13" i="56"/>
  <c r="AD5" i="56"/>
  <c r="AC5" i="56"/>
  <c r="AB5" i="56"/>
  <c r="I4" i="27" l="1"/>
  <c r="H4" i="27"/>
  <c r="AB5" i="27"/>
  <c r="C11" i="29" l="1"/>
  <c r="C10" i="29"/>
  <c r="B11" i="29"/>
  <c r="B10" i="29"/>
  <c r="E8" i="60" l="1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D7" i="60" l="1"/>
  <c r="A1" i="29" l="1"/>
  <c r="A1" i="56"/>
  <c r="A1" i="30"/>
  <c r="A1" i="31"/>
  <c r="F16" i="56" l="1"/>
  <c r="F12" i="56"/>
  <c r="D9" i="56"/>
  <c r="A8" i="56"/>
  <c r="B1" i="56"/>
  <c r="I7" i="27"/>
  <c r="H7" i="27"/>
  <c r="B4" i="27"/>
  <c r="A4" i="27"/>
  <c r="C4" i="27"/>
  <c r="C9" i="27" s="1"/>
  <c r="C10" i="27" s="1"/>
  <c r="AA5" i="56" l="1"/>
  <c r="B9" i="56"/>
  <c r="H6" i="27"/>
  <c r="H8" i="27" s="1"/>
  <c r="D4" i="27"/>
  <c r="C9" i="56" l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Jongikhaya</author>
    <author>Luanne Stevens</author>
  </authors>
  <commentList>
    <comment ref="L16" authorId="0" shapeId="0" xr:uid="{CB22B74E-C251-4739-A681-6F764672E384}">
      <text>
        <r>
          <rPr>
            <b/>
            <sz val="9"/>
            <color indexed="81"/>
            <rFont val="Tahoma"/>
            <family val="2"/>
          </rPr>
          <t>Jongikhaya:</t>
        </r>
        <r>
          <rPr>
            <sz val="9"/>
            <color indexed="81"/>
            <rFont val="Tahoma"/>
            <family val="2"/>
          </rPr>
          <t xml:space="preserve">
All changed to SAR GWPs</t>
        </r>
      </text>
    </comment>
    <comment ref="M16" authorId="1" shapeId="0" xr:uid="{82184CCB-741C-438B-9D85-590F0DCC76D7}">
      <text>
        <r>
          <rPr>
            <sz val="9"/>
            <color indexed="81"/>
            <rFont val="Tahoma"/>
            <family val="2"/>
          </rPr>
          <t>#LS #12/05/2017 #DSR: Please double check these CF and HFC GWP are correct and provide reference.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<sst xmlns="http://schemas.openxmlformats.org/spreadsheetml/2006/main" count="659" uniqueCount="369">
  <si>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</si>
  <si>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</si>
  <si>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</si>
  <si>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</si>
  <si>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</si>
  <si>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</si>
  <si>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</si>
  <si>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</si>
  <si>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</si>
  <si>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</si>
  <si>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</si>
  <si>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</si>
  <si>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</si>
  <si>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</si>
  <si>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</si>
  <si>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</si>
  <si>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</si>
  <si>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</si>
  <si>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</si>
  <si>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</si>
  <si>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</si>
  <si>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</si>
  <si>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</si>
  <si>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</si>
  <si>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</si>
  <si>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</si>
  <si>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</si>
  <si>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</si>
  <si>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</si>
  <si>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</si>
  <si>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</si>
  <si>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</si>
  <si>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</si>
  <si>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</si>
  <si>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</si>
  <si>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</si>
  <si>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</si>
  <si>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</si>
  <si>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</si>
  <si>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</si>
  <si>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</si>
  <si>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</si>
  <si>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</si>
  <si>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</si>
  <si>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</si>
  <si>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</si>
  <si>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</si>
  <si>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</si>
  <si>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</si>
  <si>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</si>
  <si>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</si>
  <si>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</si>
  <si>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</si>
  <si>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</si>
  <si>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</si>
  <si>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</si>
  <si>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</si>
  <si>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</si>
  <si>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</si>
  <si>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</si>
  <si>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</si>
  <si>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</si>
  <si>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</si>
  <si>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</si>
  <si>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</si>
  <si>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</si>
  <si>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</si>
  <si>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</si>
  <si>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</si>
  <si>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</si>
  <si>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</si>
  <si>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</si>
  <si>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</si>
  <si>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</si>
  <si>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</si>
  <si>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</si>
  <si>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</si>
  <si>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</si>
  <si>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</si>
  <si>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</si>
  <si>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</si>
  <si>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</si>
  <si>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</si>
  <si>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</si>
  <si>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</si>
  <si>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</si>
  <si>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</si>
  <si>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</si>
  <si>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</si>
  <si>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</si>
  <si>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</si>
  <si>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</si>
  <si>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</si>
  <si>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</si>
  <si>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</si>
  <si>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</si>
  <si>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</si>
  <si>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</si>
  <si>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</si>
  <si>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</si>
  <si>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</si>
  <si>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</si>
  <si>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</si>
  <si>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</si>
  <si>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</si>
  <si>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</si>
  <si>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</si>
  <si>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</si>
  <si>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</si>
  <si>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</si>
  <si>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</si>
  <si>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</si>
  <si>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</si>
  <si>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</si>
  <si>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</si>
  <si>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</si>
  <si>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</si>
  <si>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</si>
  <si>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</si>
  <si>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</si>
  <si>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</si>
  <si>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</si>
  <si>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</si>
  <si>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</si>
  <si>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</si>
  <si>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</si>
  <si>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</si>
  <si>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</si>
  <si>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</si>
  <si>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</si>
  <si>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</si>
  <si>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</si>
  <si>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</si>
  <si>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</si>
  <si>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</si>
  <si>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</si>
  <si>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</si>
  <si>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</si>
  <si>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</si>
  <si>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</si>
  <si>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</si>
  <si>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</si>
  <si>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</si>
  <si>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</si>
  <si>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</si>
  <si>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</si>
  <si>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</si>
  <si>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</si>
  <si>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</si>
  <si>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</si>
  <si>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</si>
  <si>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</si>
  <si>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</si>
  <si>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</si>
  <si>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</si>
  <si>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</si>
  <si>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</si>
  <si>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</si>
  <si>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</si>
  <si>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</si>
  <si>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</si>
  <si>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</si>
  <si>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</si>
  <si>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Lower bound act (interp.rule)</t>
  </si>
  <si>
    <t>Lower bound act</t>
  </si>
  <si>
    <t>Capacity Limit</t>
  </si>
  <si>
    <t>CAP_BND-UP</t>
  </si>
  <si>
    <t>CV (MJ/kg)</t>
  </si>
  <si>
    <t>LHV</t>
  </si>
  <si>
    <t>2017 Energy/Commodity Balance</t>
  </si>
  <si>
    <t>Exports/Links/Demands</t>
  </si>
  <si>
    <t>CV NH3</t>
  </si>
  <si>
    <t>LHV MJ/kg</t>
  </si>
  <si>
    <t>CV H2</t>
  </si>
  <si>
    <t>kWh/t</t>
  </si>
  <si>
    <t>CO2SP</t>
  </si>
  <si>
    <t>Process Emissions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</si>
  <si>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</si>
  <si>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</si>
  <si>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</si>
  <si>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</si>
  <si>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</si>
  <si>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</si>
  <si>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</si>
  <si>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</si>
  <si>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</si>
  <si>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With Gas turbine</t>
  </si>
  <si>
    <t>Without Gas turbine</t>
  </si>
  <si>
    <t>Eff</t>
  </si>
  <si>
    <t>GJ elc/GJ NH3</t>
  </si>
  <si>
    <t>GJ elc/ton NH3</t>
  </si>
  <si>
    <t>Industry Biochar</t>
  </si>
  <si>
    <t>(existing)</t>
  </si>
  <si>
    <t>XINDBIO</t>
  </si>
  <si>
    <t>NCAP_START</t>
  </si>
  <si>
    <t>IALPOT</t>
  </si>
  <si>
    <t>Aluminium smelters - potlines</t>
  </si>
  <si>
    <t>IALPOTINERT</t>
  </si>
  <si>
    <t>Aluminium smelters - potlines - inert anodes</t>
  </si>
  <si>
    <t>PJ,mt/a</t>
  </si>
  <si>
    <t>IALM</t>
  </si>
  <si>
    <t>Industry - Aluminium Metal</t>
  </si>
  <si>
    <t>COM,DEM,ANNUAL,IND</t>
  </si>
  <si>
    <t>INDGAS</t>
  </si>
  <si>
    <t>INDOLP</t>
  </si>
  <si>
    <t>INFELC</t>
  </si>
  <si>
    <t>Industry-NF-Electricity</t>
  </si>
  <si>
    <t>Industry - Oil LPG</t>
  </si>
  <si>
    <t>Industry - South Africa gas</t>
  </si>
  <si>
    <t>Capacity</t>
  </si>
  <si>
    <t>2020 USD/tonne</t>
  </si>
  <si>
    <t>2015ZAR</t>
  </si>
  <si>
    <t>Existing capacity - potlines</t>
  </si>
  <si>
    <t>Investment cost for new</t>
  </si>
  <si>
    <t>Million Rand /M tonne AL per year</t>
  </si>
  <si>
    <t>From write up</t>
  </si>
  <si>
    <t>2020USD to 2015ZAR</t>
  </si>
  <si>
    <t>https://docs.google.com/document/d/1d0KpDmoA9O87WGOo18fFJIXSv5nsPmBRlRpkID3fPM4/edit?usp=sharing</t>
  </si>
  <si>
    <t>Inert anodes</t>
  </si>
  <si>
    <t>Energy consumption:</t>
  </si>
  <si>
    <t>Elec</t>
  </si>
  <si>
    <t>Gas</t>
  </si>
  <si>
    <t>LPG</t>
  </si>
  <si>
    <t>PJ per Mt</t>
  </si>
  <si>
    <t>Current capacity (existing)</t>
  </si>
  <si>
    <t>PJ/Mt</t>
  </si>
  <si>
    <t>New inert anodes</t>
  </si>
  <si>
    <t>Total</t>
  </si>
  <si>
    <t>CF4</t>
  </si>
  <si>
    <t>CF6</t>
  </si>
  <si>
    <t>ktonnes CO2eq per Mt aluminium</t>
  </si>
  <si>
    <t>CO2 from prebake</t>
  </si>
  <si>
    <t>Emissions (verbatim from old tch sheets)</t>
  </si>
  <si>
    <t>Process Emissions South Africa CF4</t>
  </si>
  <si>
    <t>Process Emissions South Africa CF6</t>
  </si>
  <si>
    <t>ZAR/tonne</t>
  </si>
  <si>
    <t>Production:</t>
  </si>
  <si>
    <t>kt production capacity</t>
  </si>
  <si>
    <t>NCAP_TLIFE</t>
  </si>
  <si>
    <t>Production &amp; consumption</t>
  </si>
  <si>
    <t>Production - kt</t>
  </si>
  <si>
    <t>Primary</t>
  </si>
  <si>
    <t>Semi-fabricated</t>
  </si>
  <si>
    <t>Local consumption -kt</t>
  </si>
  <si>
    <t>Exports - kt</t>
  </si>
  <si>
    <t xml:space="preserve">Rational: </t>
  </si>
  <si>
    <t>Using primary production as the 'driver' as it's either exported or value added thru semi-fabrication (which in itself needs more energy)</t>
  </si>
  <si>
    <t>assumption on AF</t>
  </si>
  <si>
    <t xml:space="preserve">But most energy is used in primary production, and it's emissions too. </t>
  </si>
  <si>
    <t>Inferred total capacity</t>
  </si>
  <si>
    <t>Hillside</t>
  </si>
  <si>
    <t>kt/year</t>
  </si>
  <si>
    <t>https://www.engineeringnews.co.za/print-version/ownership-of-richards-bay-casthouse-changes-hands-2015-09-25</t>
  </si>
  <si>
    <t>Emissions from NIR2017 report</t>
  </si>
  <si>
    <t>Activity - Aluminium tonnes produced</t>
  </si>
  <si>
    <t>Prebake</t>
  </si>
  <si>
    <t>Soderberg</t>
  </si>
  <si>
    <t>CWPB</t>
  </si>
  <si>
    <t>SWPB</t>
  </si>
  <si>
    <t>VSS</t>
  </si>
  <si>
    <t>HSS</t>
  </si>
  <si>
    <t>Emissions factors</t>
  </si>
  <si>
    <t>Conversion factors from NIR2017</t>
  </si>
  <si>
    <t>Unit</t>
  </si>
  <si>
    <t>grouping CF's together</t>
  </si>
  <si>
    <t>GWP</t>
  </si>
  <si>
    <t>CO2</t>
  </si>
  <si>
    <t>tCO2/tonne</t>
  </si>
  <si>
    <t>C2F6</t>
  </si>
  <si>
    <t>tCF4/tonne</t>
  </si>
  <si>
    <t>tC2F6/tonne</t>
  </si>
  <si>
    <t>t</t>
  </si>
  <si>
    <t>CF4+CF6</t>
  </si>
  <si>
    <t>t CO2eq</t>
  </si>
  <si>
    <t>total product (according to DOE project)</t>
  </si>
  <si>
    <t>kt</t>
  </si>
  <si>
    <t>GHG</t>
  </si>
  <si>
    <t>tonnes per kt product</t>
  </si>
  <si>
    <t>Emissions intensity</t>
  </si>
  <si>
    <t>CO2P</t>
  </si>
  <si>
    <t>kt/Mt</t>
  </si>
  <si>
    <t>CF</t>
  </si>
  <si>
    <t>as a gas</t>
  </si>
  <si>
    <t>for PFC</t>
  </si>
  <si>
    <t>Total energy consumption</t>
  </si>
  <si>
    <t>DOE project:</t>
  </si>
  <si>
    <t>Secondary</t>
  </si>
  <si>
    <t>Intensity indexed to primary production</t>
  </si>
  <si>
    <t>Product - t</t>
  </si>
  <si>
    <t>GJ/t</t>
  </si>
  <si>
    <t>shares</t>
  </si>
  <si>
    <t>Electricity</t>
  </si>
  <si>
    <t>Natural Gas</t>
  </si>
  <si>
    <t>CNG</t>
  </si>
  <si>
    <t>Diesel</t>
  </si>
  <si>
    <t>LSO</t>
  </si>
  <si>
    <t>total energy</t>
  </si>
  <si>
    <t xml:space="preserve">This is data from the DOE industry project </t>
  </si>
  <si>
    <t>For 2016:</t>
  </si>
  <si>
    <t>South32</t>
  </si>
  <si>
    <t>liq. AL</t>
  </si>
  <si>
    <t>Smelter</t>
  </si>
  <si>
    <t>Company</t>
  </si>
  <si>
    <t>Status</t>
  </si>
  <si>
    <t>Bayside</t>
  </si>
  <si>
    <t>South32(formerly owned by BHP)</t>
  </si>
  <si>
    <t>Decomissioned in 2014</t>
  </si>
  <si>
    <t>Hilside</t>
  </si>
  <si>
    <t>operating</t>
  </si>
  <si>
    <t>Energy Carrier</t>
  </si>
  <si>
    <t>Qty</t>
  </si>
  <si>
    <t>Qty (alternative)</t>
  </si>
  <si>
    <t>37 493 633 GJ</t>
  </si>
  <si>
    <t>10 415 GWh</t>
  </si>
  <si>
    <t>Natural gas</t>
  </si>
  <si>
    <t>1 659 495 GJ</t>
  </si>
  <si>
    <r>
      <t>40 475 492 m</t>
    </r>
    <r>
      <rPr>
        <vertAlign val="superscript"/>
        <sz val="10"/>
        <color theme="1"/>
        <rFont val="Calibri"/>
        <family val="2"/>
        <scheme val="minor"/>
      </rPr>
      <t>3</t>
    </r>
  </si>
  <si>
    <t>1 819 579 GJ</t>
  </si>
  <si>
    <t>39 729 tons</t>
  </si>
  <si>
    <t>Compressed natural gas (CNG)</t>
  </si>
  <si>
    <t>155 533 GJ</t>
  </si>
  <si>
    <t>3 134 tons</t>
  </si>
  <si>
    <t>Low sulphur oil (LSO)</t>
  </si>
  <si>
    <t>109 929 GJ</t>
  </si>
  <si>
    <t>2 701 tons</t>
  </si>
  <si>
    <t>85 351 GJ</t>
  </si>
  <si>
    <t>2 240 179 litres</t>
  </si>
  <si>
    <t>Production output [tonnes]</t>
  </si>
  <si>
    <t>Total Energy [GJ]</t>
  </si>
  <si>
    <t>Energy Intensity [GJ/t]</t>
  </si>
  <si>
    <t>Route 1</t>
  </si>
  <si>
    <t>Primary - Ingot - Export</t>
  </si>
  <si>
    <t>Route 2</t>
  </si>
  <si>
    <t>Primary - Slab - Rolled</t>
  </si>
  <si>
    <t>Route 3</t>
  </si>
  <si>
    <t>Primary - Ingot - Slab - Rolled</t>
  </si>
  <si>
    <t>Route 4</t>
  </si>
  <si>
    <t>Secondary - Slab - Rolled</t>
  </si>
  <si>
    <t>Route 5</t>
  </si>
  <si>
    <t>Primary - Ingot - Extruded</t>
  </si>
  <si>
    <t>Route 6</t>
  </si>
  <si>
    <t>Secondary - Extruded</t>
  </si>
  <si>
    <t>Primary Production</t>
  </si>
  <si>
    <t>Total Production [t]</t>
  </si>
  <si>
    <t>Total [GJ]</t>
  </si>
  <si>
    <t>Process Heating</t>
  </si>
  <si>
    <t>Process Cooling</t>
  </si>
  <si>
    <t>Electrochemical</t>
  </si>
  <si>
    <t>Machine Drive</t>
  </si>
  <si>
    <t>Other</t>
  </si>
  <si>
    <t>Buildings</t>
  </si>
  <si>
    <t>Transport</t>
  </si>
  <si>
    <t>Secondary Production</t>
  </si>
  <si>
    <t>From The south African Aluminium industry roadmap, 2017, DST + CSIR</t>
  </si>
  <si>
    <t>Primary AL production - kt</t>
  </si>
  <si>
    <t>Semi-frabricated</t>
  </si>
  <si>
    <t>Produced</t>
  </si>
  <si>
    <t>Local consump</t>
  </si>
  <si>
    <t>Semi-fab</t>
  </si>
  <si>
    <t>Vision:</t>
  </si>
  <si>
    <t>Primary export</t>
  </si>
  <si>
    <t>Semi-fab export</t>
  </si>
  <si>
    <t>Less primary AL should be exported and more should be used locally</t>
  </si>
  <si>
    <t>In</t>
  </si>
  <si>
    <t>out</t>
  </si>
  <si>
    <t>fabricators</t>
  </si>
  <si>
    <t>EOL</t>
  </si>
  <si>
    <t>final prod.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</si>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</sst>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-* #,##0_-;\-* #,##0_-;_-* &quot;-&quot;??_-;_-@_-"/>
    <numFmt numFmtId="170" formatCode="_-* #,##0.000_-;\-* #,##0.000_-;_-* &quot;-&quot;??_-;_-@_-"/>
    <numFmt numFmtId="171" formatCode="0.0"/>
    <numFmt numFmtId="172" formatCode="_ * #,##0.00_ ;_ * \-#,##0.00_ ;_ * &quot;-&quot;??_ ;_ @_ "/>
    <numFmt numFmtId="173" formatCode="_ * #,##0_ ;_ * \-#,##0_ ;_ * &quot;-&quot;??_ ;_ @_ "/>
    <numFmt numFmtId="174" formatCode="#,##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Verdana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96C8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FF7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1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4" borderId="0" applyNumberFormat="0" applyBorder="0" applyAlignment="0" applyProtection="0"/>
    <xf numFmtId="0" fontId="44" fillId="5" borderId="16" applyNumberFormat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9" fillId="7" borderId="0" applyAlignment="0" applyProtection="0"/>
  </cellStyleXfs>
  <cellXfs count="225">
    <xf numFmtId="0" fontId="0" fillId="0" borderId="0" xfId="0"/>
    <xf numFmtId="0" fontId="1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4" fillId="0" borderId="0" xfId="0" applyFont="1" applyFill="1"/>
    <xf numFmtId="0" fontId="13" fillId="0" borderId="0" xfId="1" applyFont="1"/>
    <xf numFmtId="0" fontId="19" fillId="0" borderId="0" xfId="1"/>
    <xf numFmtId="0" fontId="16" fillId="0" borderId="0" xfId="1" applyFont="1"/>
    <xf numFmtId="0" fontId="22" fillId="0" borderId="0" xfId="1" applyFont="1" applyFill="1"/>
    <xf numFmtId="0" fontId="15" fillId="0" borderId="0" xfId="1" applyFont="1"/>
    <xf numFmtId="0" fontId="16" fillId="0" borderId="0" xfId="0" applyFont="1" applyFill="1"/>
    <xf numFmtId="0" fontId="23" fillId="0" borderId="0" xfId="0" applyFont="1" applyFill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2" fillId="0" borderId="0" xfId="1" applyFont="1"/>
    <xf numFmtId="0" fontId="17" fillId="0" borderId="0" xfId="1" applyFont="1"/>
    <xf numFmtId="0" fontId="24" fillId="0" borderId="0" xfId="1" applyFont="1" applyFill="1"/>
    <xf numFmtId="0" fontId="16" fillId="0" borderId="0" xfId="1" applyFont="1" applyFill="1"/>
    <xf numFmtId="0" fontId="25" fillId="0" borderId="0" xfId="1" applyFont="1" applyFill="1"/>
    <xf numFmtId="49" fontId="24" fillId="0" borderId="0" xfId="0" applyNumberFormat="1" applyFont="1" applyFill="1" applyAlignment="1">
      <alignment horizontal="left"/>
    </xf>
    <xf numFmtId="0" fontId="26" fillId="0" borderId="0" xfId="1" applyFont="1" applyFill="1"/>
    <xf numFmtId="0" fontId="20" fillId="0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15" fillId="0" borderId="0" xfId="1" applyFont="1" applyFill="1"/>
    <xf numFmtId="0" fontId="19" fillId="0" borderId="0" xfId="1" applyFill="1"/>
    <xf numFmtId="0" fontId="13" fillId="0" borderId="0" xfId="1" applyFont="1" applyFill="1"/>
    <xf numFmtId="0" fontId="0" fillId="0" borderId="0" xfId="0" applyFill="1"/>
    <xf numFmtId="0" fontId="16" fillId="0" borderId="0" xfId="1" applyFont="1" applyFill="1" applyAlignment="1">
      <alignment horizontal="center" wrapText="1"/>
    </xf>
    <xf numFmtId="0" fontId="22" fillId="0" borderId="0" xfId="0" applyFont="1" applyFill="1"/>
    <xf numFmtId="0" fontId="25" fillId="3" borderId="0" xfId="0" applyFont="1" applyFill="1"/>
    <xf numFmtId="0" fontId="25" fillId="3" borderId="0" xfId="1" applyFont="1" applyFill="1"/>
    <xf numFmtId="0" fontId="22" fillId="0" borderId="0" xfId="0" applyFont="1"/>
    <xf numFmtId="0" fontId="16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9" fillId="0" borderId="0" xfId="3" applyFont="1"/>
    <xf numFmtId="0" fontId="16" fillId="0" borderId="0" xfId="3" applyFont="1" applyFill="1"/>
    <xf numFmtId="0" fontId="16" fillId="0" borderId="0" xfId="2" applyFont="1" applyFill="1" applyAlignment="1">
      <alignment horizontal="center"/>
    </xf>
    <xf numFmtId="0" fontId="16" fillId="0" borderId="0" xfId="2" applyFont="1" applyFill="1"/>
    <xf numFmtId="0" fontId="19" fillId="0" borderId="0" xfId="3"/>
    <xf numFmtId="0" fontId="19" fillId="0" borderId="0" xfId="3" applyFont="1" applyFill="1"/>
    <xf numFmtId="0" fontId="16" fillId="0" borderId="0" xfId="2" applyFont="1"/>
    <xf numFmtId="0" fontId="31" fillId="0" borderId="0" xfId="1" applyFont="1" applyFill="1"/>
    <xf numFmtId="0" fontId="32" fillId="0" borderId="0" xfId="2" applyFont="1"/>
    <xf numFmtId="0" fontId="16" fillId="0" borderId="0" xfId="3" applyFont="1"/>
    <xf numFmtId="0" fontId="26" fillId="0" borderId="0" xfId="2" applyFont="1" applyFill="1"/>
    <xf numFmtId="0" fontId="32" fillId="0" borderId="0" xfId="3" applyFont="1"/>
    <xf numFmtId="0" fontId="32" fillId="0" borderId="0" xfId="1" applyFont="1"/>
    <xf numFmtId="0" fontId="30" fillId="0" borderId="0" xfId="1" applyFont="1"/>
    <xf numFmtId="0" fontId="25" fillId="0" borderId="0" xfId="2" applyFont="1" applyFill="1" applyAlignment="1">
      <alignment horizontal="center"/>
    </xf>
    <xf numFmtId="0" fontId="16" fillId="0" borderId="0" xfId="2" applyFont="1" applyAlignment="1">
      <alignment horizontal="right"/>
    </xf>
    <xf numFmtId="0" fontId="25" fillId="0" borderId="0" xfId="2" applyFont="1" applyFill="1"/>
    <xf numFmtId="0" fontId="26" fillId="0" borderId="0" xfId="0" applyFont="1" applyFill="1"/>
    <xf numFmtId="0" fontId="11" fillId="0" borderId="0" xfId="12"/>
    <xf numFmtId="0" fontId="28" fillId="0" borderId="0" xfId="12" applyFont="1"/>
    <xf numFmtId="0" fontId="11" fillId="0" borderId="0" xfId="12" applyBorder="1"/>
    <xf numFmtId="0" fontId="11" fillId="0" borderId="5" xfId="12" applyBorder="1" applyAlignment="1">
      <alignment horizontal="center"/>
    </xf>
    <xf numFmtId="0" fontId="11" fillId="0" borderId="0" xfId="12" applyBorder="1" applyAlignment="1">
      <alignment horizontal="center"/>
    </xf>
    <xf numFmtId="0" fontId="11" fillId="0" borderId="14" xfId="12" applyBorder="1" applyAlignment="1">
      <alignment horizontal="center"/>
    </xf>
    <xf numFmtId="0" fontId="11" fillId="0" borderId="0" xfId="12" applyAlignment="1">
      <alignment horizontal="center"/>
    </xf>
    <xf numFmtId="0" fontId="11" fillId="0" borderId="4" xfId="12" applyBorder="1" applyAlignment="1">
      <alignment horizontal="center"/>
    </xf>
    <xf numFmtId="0" fontId="11" fillId="0" borderId="9" xfId="12" applyBorder="1" applyAlignment="1">
      <alignment horizontal="center"/>
    </xf>
    <xf numFmtId="0" fontId="11" fillId="0" borderId="4" xfId="12" applyBorder="1"/>
    <xf numFmtId="0" fontId="11" fillId="0" borderId="14" xfId="12" applyBorder="1"/>
    <xf numFmtId="0" fontId="11" fillId="0" borderId="8" xfId="12" applyBorder="1" applyAlignment="1">
      <alignment horizontal="center"/>
    </xf>
    <xf numFmtId="0" fontId="11" fillId="0" borderId="10" xfId="12" applyBorder="1" applyAlignment="1">
      <alignment horizontal="center"/>
    </xf>
    <xf numFmtId="0" fontId="11" fillId="0" borderId="3" xfId="12" applyBorder="1" applyAlignment="1">
      <alignment horizontal="center"/>
    </xf>
    <xf numFmtId="0" fontId="11" fillId="0" borderId="1" xfId="12" applyBorder="1" applyAlignment="1">
      <alignment horizontal="center"/>
    </xf>
    <xf numFmtId="0" fontId="11" fillId="0" borderId="6" xfId="12" applyBorder="1" applyAlignment="1">
      <alignment horizontal="center"/>
    </xf>
    <xf numFmtId="0" fontId="37" fillId="0" borderId="15" xfId="12" applyFont="1" applyBorder="1" applyAlignment="1">
      <alignment horizontal="center"/>
    </xf>
    <xf numFmtId="0" fontId="11" fillId="0" borderId="5" xfId="12" applyBorder="1"/>
    <xf numFmtId="0" fontId="11" fillId="0" borderId="15" xfId="12" applyBorder="1" applyAlignment="1">
      <alignment horizontal="center"/>
    </xf>
    <xf numFmtId="0" fontId="11" fillId="0" borderId="12" xfId="12" applyBorder="1" applyAlignment="1">
      <alignment horizontal="center"/>
    </xf>
    <xf numFmtId="0" fontId="35" fillId="0" borderId="0" xfId="12" applyFont="1"/>
    <xf numFmtId="0" fontId="37" fillId="0" borderId="0" xfId="12" applyFont="1"/>
    <xf numFmtId="0" fontId="34" fillId="0" borderId="0" xfId="12" applyFont="1"/>
    <xf numFmtId="0" fontId="36" fillId="0" borderId="0" xfId="12" applyFont="1"/>
    <xf numFmtId="0" fontId="34" fillId="0" borderId="14" xfId="12" applyFont="1" applyBorder="1" applyAlignment="1">
      <alignment horizontal="center"/>
    </xf>
    <xf numFmtId="0" fontId="38" fillId="0" borderId="0" xfId="12" applyFont="1"/>
    <xf numFmtId="0" fontId="11" fillId="0" borderId="5" xfId="12" applyBorder="1" applyAlignment="1">
      <alignment horizontal="center" textRotation="90"/>
    </xf>
    <xf numFmtId="0" fontId="11" fillId="0" borderId="4" xfId="12" applyBorder="1" applyAlignment="1">
      <alignment horizontal="center" textRotation="90"/>
    </xf>
    <xf numFmtId="0" fontId="11" fillId="0" borderId="0" xfId="12" applyAlignment="1">
      <alignment horizontal="center" textRotation="90"/>
    </xf>
    <xf numFmtId="0" fontId="19" fillId="0" borderId="0" xfId="0" applyFont="1"/>
    <xf numFmtId="0" fontId="10" fillId="0" borderId="5" xfId="12" applyFont="1" applyBorder="1" applyAlignment="1">
      <alignment horizontal="center" textRotation="90"/>
    </xf>
    <xf numFmtId="167" fontId="16" fillId="0" borderId="0" xfId="2" applyNumberFormat="1" applyFont="1"/>
    <xf numFmtId="0" fontId="41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9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1" fillId="0" borderId="0" xfId="19" applyBorder="1"/>
    <xf numFmtId="0" fontId="0" fillId="0" borderId="1" xfId="0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2" fontId="0" fillId="0" borderId="2" xfId="0" applyNumberFormat="1" applyBorder="1"/>
    <xf numFmtId="0" fontId="19" fillId="0" borderId="2" xfId="0" applyFont="1" applyBorder="1"/>
    <xf numFmtId="0" fontId="0" fillId="0" borderId="13" xfId="0" applyBorder="1"/>
    <xf numFmtId="0" fontId="0" fillId="0" borderId="11" xfId="0" applyBorder="1"/>
    <xf numFmtId="0" fontId="19" fillId="0" borderId="11" xfId="0" applyFont="1" applyBorder="1"/>
    <xf numFmtId="0" fontId="0" fillId="0" borderId="12" xfId="0" applyBorder="1"/>
    <xf numFmtId="2" fontId="16" fillId="0" borderId="0" xfId="0" applyNumberFormat="1" applyFont="1"/>
    <xf numFmtId="0" fontId="25" fillId="0" borderId="0" xfId="2" applyFont="1" applyFill="1" applyAlignment="1">
      <alignment wrapText="1"/>
    </xf>
    <xf numFmtId="168" fontId="0" fillId="0" borderId="3" xfId="18" applyNumberFormat="1" applyFont="1" applyBorder="1"/>
    <xf numFmtId="0" fontId="16" fillId="0" borderId="0" xfId="2" applyFont="1" applyFill="1" applyAlignment="1">
      <alignment wrapText="1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44" fillId="5" borderId="16" xfId="22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9" fillId="0" borderId="5" xfId="12" applyFont="1" applyBorder="1" applyAlignment="1">
      <alignment horizontal="center" textRotation="90"/>
    </xf>
    <xf numFmtId="0" fontId="42" fillId="0" borderId="19" xfId="20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1" fillId="0" borderId="13" xfId="12" applyBorder="1" applyAlignment="1">
      <alignment horizontal="center"/>
    </xf>
    <xf numFmtId="165" fontId="19" fillId="0" borderId="5" xfId="0" applyNumberFormat="1" applyFont="1" applyBorder="1"/>
    <xf numFmtId="165" fontId="19" fillId="0" borderId="2" xfId="0" applyNumberFormat="1" applyFont="1" applyBorder="1"/>
    <xf numFmtId="2" fontId="19" fillId="0" borderId="11" xfId="0" applyNumberFormat="1" applyFont="1" applyBorder="1"/>
    <xf numFmtId="0" fontId="19" fillId="0" borderId="3" xfId="0" applyFont="1" applyBorder="1"/>
    <xf numFmtId="0" fontId="7" fillId="0" borderId="5" xfId="12" applyFont="1" applyBorder="1" applyAlignment="1">
      <alignment horizontal="center" textRotation="90"/>
    </xf>
    <xf numFmtId="2" fontId="19" fillId="0" borderId="2" xfId="0" applyNumberFormat="1" applyFont="1" applyBorder="1"/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9" fillId="0" borderId="13" xfId="0" applyFont="1" applyBorder="1"/>
    <xf numFmtId="2" fontId="43" fillId="4" borderId="11" xfId="21" applyNumberFormat="1" applyBorder="1"/>
    <xf numFmtId="0" fontId="0" fillId="0" borderId="0" xfId="0" applyFill="1" applyBorder="1"/>
    <xf numFmtId="0" fontId="25" fillId="0" borderId="0" xfId="1" applyFont="1"/>
    <xf numFmtId="0" fontId="5" fillId="0" borderId="5" xfId="12" applyFont="1" applyBorder="1" applyAlignment="1">
      <alignment horizontal="center" textRotation="90"/>
    </xf>
    <xf numFmtId="0" fontId="4" fillId="0" borderId="5" xfId="12" applyFont="1" applyBorder="1" applyAlignment="1">
      <alignment horizontal="center" textRotation="90"/>
    </xf>
    <xf numFmtId="0" fontId="4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43" fillId="4" borderId="0" xfId="21" applyAlignment="1">
      <alignment horizontal="center"/>
    </xf>
    <xf numFmtId="0" fontId="43" fillId="4" borderId="0" xfId="21"/>
    <xf numFmtId="0" fontId="3" fillId="0" borderId="9" xfId="12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19" fillId="0" borderId="4" xfId="0" applyFont="1" applyBorder="1"/>
    <xf numFmtId="0" fontId="45" fillId="0" borderId="4" xfId="23" applyBorder="1"/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19" fillId="0" borderId="0" xfId="0" applyFont="1" applyFill="1" applyBorder="1"/>
    <xf numFmtId="0" fontId="48" fillId="0" borderId="0" xfId="0" applyFont="1"/>
    <xf numFmtId="165" fontId="0" fillId="0" borderId="0" xfId="0" applyNumberFormat="1"/>
    <xf numFmtId="0" fontId="50" fillId="0" borderId="7" xfId="24" applyFont="1" applyBorder="1"/>
    <xf numFmtId="0" fontId="1" fillId="0" borderId="7" xfId="24" applyBorder="1"/>
    <xf numFmtId="0" fontId="1" fillId="0" borderId="0" xfId="24"/>
    <xf numFmtId="0" fontId="28" fillId="0" borderId="0" xfId="24" applyFont="1"/>
    <xf numFmtId="9" fontId="1" fillId="0" borderId="0" xfId="24" applyNumberFormat="1"/>
    <xf numFmtId="0" fontId="51" fillId="0" borderId="0" xfId="25"/>
    <xf numFmtId="0" fontId="1" fillId="0" borderId="1" xfId="24" applyBorder="1"/>
    <xf numFmtId="0" fontId="1" fillId="0" borderId="2" xfId="24" applyBorder="1"/>
    <xf numFmtId="0" fontId="1" fillId="0" borderId="3" xfId="24" applyBorder="1"/>
    <xf numFmtId="0" fontId="1" fillId="0" borderId="4" xfId="24" applyBorder="1"/>
    <xf numFmtId="0" fontId="1" fillId="0" borderId="5" xfId="24" applyBorder="1"/>
    <xf numFmtId="0" fontId="1" fillId="6" borderId="0" xfId="24" applyFill="1"/>
    <xf numFmtId="1" fontId="1" fillId="6" borderId="0" xfId="24" applyNumberFormat="1" applyFill="1"/>
    <xf numFmtId="169" fontId="0" fillId="6" borderId="0" xfId="26" applyNumberFormat="1" applyFont="1" applyFill="1" applyBorder="1"/>
    <xf numFmtId="0" fontId="49" fillId="7" borderId="0" xfId="27"/>
    <xf numFmtId="0" fontId="1" fillId="8" borderId="0" xfId="24" applyFill="1"/>
    <xf numFmtId="0" fontId="1" fillId="9" borderId="0" xfId="24" applyFill="1"/>
    <xf numFmtId="43" fontId="1" fillId="0" borderId="0" xfId="24" applyNumberFormat="1"/>
    <xf numFmtId="169" fontId="1" fillId="0" borderId="0" xfId="24" applyNumberFormat="1"/>
    <xf numFmtId="0" fontId="1" fillId="0" borderId="6" xfId="24" applyBorder="1"/>
    <xf numFmtId="0" fontId="1" fillId="0" borderId="8" xfId="24" applyBorder="1"/>
    <xf numFmtId="0" fontId="1" fillId="3" borderId="0" xfId="24" applyFill="1"/>
    <xf numFmtId="169" fontId="1" fillId="3" borderId="0" xfId="24" applyNumberFormat="1" applyFill="1"/>
    <xf numFmtId="170" fontId="1" fillId="0" borderId="0" xfId="24" applyNumberFormat="1"/>
    <xf numFmtId="0" fontId="54" fillId="10" borderId="0" xfId="24" applyFont="1" applyFill="1"/>
    <xf numFmtId="169" fontId="0" fillId="0" borderId="0" xfId="26" applyNumberFormat="1" applyFont="1"/>
    <xf numFmtId="169" fontId="0" fillId="3" borderId="0" xfId="26" applyNumberFormat="1" applyFont="1" applyFill="1"/>
    <xf numFmtId="0" fontId="54" fillId="10" borderId="10" xfId="24" applyFont="1" applyFill="1" applyBorder="1"/>
    <xf numFmtId="171" fontId="1" fillId="0" borderId="0" xfId="24" applyNumberFormat="1"/>
    <xf numFmtId="172" fontId="55" fillId="0" borderId="20" xfId="24" applyNumberFormat="1" applyFont="1" applyBorder="1"/>
    <xf numFmtId="165" fontId="1" fillId="0" borderId="0" xfId="24" applyNumberFormat="1"/>
    <xf numFmtId="173" fontId="55" fillId="0" borderId="20" xfId="24" applyNumberFormat="1" applyFont="1" applyBorder="1"/>
    <xf numFmtId="0" fontId="54" fillId="10" borderId="14" xfId="24" applyFont="1" applyFill="1" applyBorder="1"/>
    <xf numFmtId="172" fontId="1" fillId="0" borderId="0" xfId="24" applyNumberFormat="1"/>
    <xf numFmtId="0" fontId="56" fillId="0" borderId="21" xfId="24" applyFont="1" applyBorder="1" applyAlignment="1">
      <alignment horizontal="justify" vertical="center" wrapText="1"/>
    </xf>
    <xf numFmtId="0" fontId="56" fillId="0" borderId="22" xfId="24" applyFont="1" applyBorder="1" applyAlignment="1">
      <alignment horizontal="center" vertical="center" wrapText="1"/>
    </xf>
    <xf numFmtId="0" fontId="56" fillId="0" borderId="23" xfId="24" applyFont="1" applyBorder="1" applyAlignment="1">
      <alignment horizontal="justify" vertical="center" wrapText="1"/>
    </xf>
    <xf numFmtId="0" fontId="56" fillId="0" borderId="24" xfId="24" applyFont="1" applyBorder="1" applyAlignment="1">
      <alignment horizontal="right" vertical="center" wrapText="1"/>
    </xf>
    <xf numFmtId="0" fontId="28" fillId="11" borderId="10" xfId="24" applyFont="1" applyFill="1" applyBorder="1" applyAlignment="1">
      <alignment wrapText="1"/>
    </xf>
    <xf numFmtId="0" fontId="58" fillId="12" borderId="10" xfId="24" applyFont="1" applyFill="1" applyBorder="1" applyAlignment="1">
      <alignment wrapText="1"/>
    </xf>
    <xf numFmtId="0" fontId="58" fillId="13" borderId="10" xfId="24" applyFont="1" applyFill="1" applyBorder="1" applyAlignment="1">
      <alignment wrapText="1"/>
    </xf>
    <xf numFmtId="0" fontId="59" fillId="14" borderId="10" xfId="24" applyFont="1" applyFill="1" applyBorder="1" applyAlignment="1">
      <alignment wrapText="1"/>
    </xf>
    <xf numFmtId="0" fontId="28" fillId="11" borderId="10" xfId="24" applyFont="1" applyFill="1" applyBorder="1"/>
    <xf numFmtId="3" fontId="58" fillId="12" borderId="10" xfId="24" applyNumberFormat="1" applyFont="1" applyFill="1" applyBorder="1"/>
    <xf numFmtId="3" fontId="58" fillId="13" borderId="10" xfId="24" applyNumberFormat="1" applyFont="1" applyFill="1" applyBorder="1"/>
    <xf numFmtId="174" fontId="59" fillId="14" borderId="10" xfId="24" applyNumberFormat="1" applyFont="1" applyFill="1" applyBorder="1"/>
    <xf numFmtId="0" fontId="54" fillId="15" borderId="4" xfId="24" applyFont="1" applyFill="1" applyBorder="1"/>
    <xf numFmtId="0" fontId="54" fillId="15" borderId="5" xfId="24" applyFont="1" applyFill="1" applyBorder="1"/>
    <xf numFmtId="0" fontId="54" fillId="11" borderId="4" xfId="24" applyFont="1" applyFill="1" applyBorder="1"/>
    <xf numFmtId="0" fontId="54" fillId="11" borderId="5" xfId="24" applyFont="1" applyFill="1" applyBorder="1"/>
    <xf numFmtId="0" fontId="60" fillId="0" borderId="0" xfId="24" applyFont="1"/>
    <xf numFmtId="0" fontId="54" fillId="0" borderId="0" xfId="24" applyFont="1"/>
    <xf numFmtId="3" fontId="54" fillId="3" borderId="0" xfId="24" applyNumberFormat="1" applyFont="1" applyFill="1"/>
    <xf numFmtId="0" fontId="58" fillId="16" borderId="0" xfId="24" applyFont="1" applyFill="1"/>
    <xf numFmtId="0" fontId="59" fillId="0" borderId="0" xfId="24" applyFont="1"/>
    <xf numFmtId="0" fontId="59" fillId="10" borderId="10" xfId="24" applyFont="1" applyFill="1" applyBorder="1"/>
    <xf numFmtId="0" fontId="59" fillId="10" borderId="0" xfId="24" applyFont="1" applyFill="1"/>
    <xf numFmtId="3" fontId="54" fillId="17" borderId="10" xfId="24" applyNumberFormat="1" applyFont="1" applyFill="1" applyBorder="1"/>
    <xf numFmtId="3" fontId="59" fillId="18" borderId="0" xfId="24" applyNumberFormat="1" applyFont="1" applyFill="1"/>
    <xf numFmtId="3" fontId="58" fillId="19" borderId="0" xfId="24" applyNumberFormat="1" applyFont="1" applyFill="1"/>
  </cellXfs>
  <cellStyles count="28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6" xr:uid="{1FA051D0-D2C7-445A-B731-C3BCB267FBC5}"/>
    <cellStyle name="Heading 2" xfId="19" builtinId="17"/>
    <cellStyle name="Heading 3" xfId="20" builtinId="18"/>
    <cellStyle name="Hyperlink" xfId="23" builtinId="8"/>
    <cellStyle name="Hyperlink 2" xfId="11" xr:uid="{00000000-0005-0000-0000-000003000000}"/>
    <cellStyle name="Hyperlink 3" xfId="25" xr:uid="{E4E7201E-7345-4575-B8D9-D8B42CF80FD2}"/>
    <cellStyle name="Input" xfId="22" builtinId="20"/>
    <cellStyle name="IPCC" xfId="27" xr:uid="{B1135A68-761A-4395-B6F2-BE5E41B7C3F1}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4" xr:uid="{05B487BF-8CD5-4BE3-AEC0-AE80C5906963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7" Type="http://schemas.openxmlformats.org/officeDocument/2006/relationships/image" Target="../media/image49.emf"/><Relationship Id="rId2" Type="http://schemas.openxmlformats.org/officeDocument/2006/relationships/image" Target="../media/image44.emf"/><Relationship Id="rId1" Type="http://schemas.openxmlformats.org/officeDocument/2006/relationships/image" Target="../media/image43.emf"/><Relationship Id="rId6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46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52.emf"/><Relationship Id="rId7" Type="http://schemas.openxmlformats.org/officeDocument/2006/relationships/image" Target="../media/image56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4" Type="http://schemas.openxmlformats.org/officeDocument/2006/relationships/image" Target="../media/image6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65.emf"/><Relationship Id="rId7" Type="http://schemas.openxmlformats.org/officeDocument/2006/relationships/image" Target="../media/image69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6" Type="http://schemas.openxmlformats.org/officeDocument/2006/relationships/image" Target="../media/image68.emf"/><Relationship Id="rId5" Type="http://schemas.openxmlformats.org/officeDocument/2006/relationships/image" Target="../media/image67.emf"/><Relationship Id="rId10" Type="http://schemas.openxmlformats.org/officeDocument/2006/relationships/image" Target="../media/image62.emf"/><Relationship Id="rId4" Type="http://schemas.openxmlformats.org/officeDocument/2006/relationships/image" Target="../media/image66.emf"/><Relationship Id="rId9" Type="http://schemas.openxmlformats.org/officeDocument/2006/relationships/image" Target="../media/image71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10" Type="http://schemas.openxmlformats.org/officeDocument/2006/relationships/image" Target="../media/image80.emf"/><Relationship Id="rId4" Type="http://schemas.openxmlformats.org/officeDocument/2006/relationships/image" Target="../media/image84.emf"/><Relationship Id="rId9" Type="http://schemas.openxmlformats.org/officeDocument/2006/relationships/image" Target="../media/image8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93.emf"/><Relationship Id="rId7" Type="http://schemas.openxmlformats.org/officeDocument/2006/relationships/image" Target="../media/image97.emf"/><Relationship Id="rId2" Type="http://schemas.openxmlformats.org/officeDocument/2006/relationships/image" Target="../media/image92.emf"/><Relationship Id="rId1" Type="http://schemas.openxmlformats.org/officeDocument/2006/relationships/image" Target="../media/image91.emf"/><Relationship Id="rId6" Type="http://schemas.openxmlformats.org/officeDocument/2006/relationships/image" Target="../media/image96.emf"/><Relationship Id="rId5" Type="http://schemas.openxmlformats.org/officeDocument/2006/relationships/image" Target="../media/image95.emf"/><Relationship Id="rId10" Type="http://schemas.openxmlformats.org/officeDocument/2006/relationships/image" Target="../media/image90.emf"/><Relationship Id="rId4" Type="http://schemas.openxmlformats.org/officeDocument/2006/relationships/image" Target="../media/image94.emf"/><Relationship Id="rId9" Type="http://schemas.openxmlformats.org/officeDocument/2006/relationships/image" Target="../media/image9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emf"/><Relationship Id="rId3" Type="http://schemas.openxmlformats.org/officeDocument/2006/relationships/image" Target="../media/image102.emf"/><Relationship Id="rId7" Type="http://schemas.openxmlformats.org/officeDocument/2006/relationships/image" Target="../media/image106.emf"/><Relationship Id="rId2" Type="http://schemas.openxmlformats.org/officeDocument/2006/relationships/image" Target="../media/image101.emf"/><Relationship Id="rId1" Type="http://schemas.openxmlformats.org/officeDocument/2006/relationships/image" Target="../media/image100.emf"/><Relationship Id="rId6" Type="http://schemas.openxmlformats.org/officeDocument/2006/relationships/image" Target="../media/image105.emf"/><Relationship Id="rId5" Type="http://schemas.openxmlformats.org/officeDocument/2006/relationships/image" Target="../media/image104.emf"/><Relationship Id="rId4" Type="http://schemas.openxmlformats.org/officeDocument/2006/relationships/image" Target="../media/image10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10" Type="http://schemas.openxmlformats.org/officeDocument/2006/relationships/image" Target="../media/image108.emf"/><Relationship Id="rId4" Type="http://schemas.openxmlformats.org/officeDocument/2006/relationships/image" Target="../media/image112.emf"/><Relationship Id="rId9" Type="http://schemas.openxmlformats.org/officeDocument/2006/relationships/image" Target="../media/image117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Relationship Id="rId5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28575</xdr:rowOff>
    </xdr:from>
    <xdr:to>
      <xdr:col>17</xdr:col>
      <xdr:colOff>72390</xdr:colOff>
      <xdr:row>24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D61C2A-BE84-453B-9F7B-5A7571FABE6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1678" t="28543" r="61310" b="13091"/>
        <a:stretch/>
      </xdr:blipFill>
      <xdr:spPr bwMode="auto">
        <a:xfrm>
          <a:off x="7639050" y="600075"/>
          <a:ext cx="7086600" cy="402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0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0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0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0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10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11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11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11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12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19050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12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12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12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12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12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12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13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13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13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13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13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13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13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19050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19050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19050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857250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1</xdr:col>
          <xdr:colOff>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66675</xdr:rowOff>
    </xdr:from>
    <xdr:to>
      <xdr:col>13</xdr:col>
      <xdr:colOff>182880</xdr:colOff>
      <xdr:row>31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ACD7A-81BB-4FEC-86B6-62DCC4827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38175"/>
          <a:ext cx="8067675" cy="536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29</xdr:col>
      <xdr:colOff>411480</xdr:colOff>
      <xdr:row>37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A8D8B-9DDA-4409-828B-4CF9487EA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571500"/>
          <a:ext cx="8334375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19050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123825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5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85725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5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85725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5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581025</xdr:colOff>
          <xdr:row>17</xdr:row>
          <xdr:rowOff>9525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5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152400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5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A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A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B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B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B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C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561975</xdr:colOff>
          <xdr:row>3</xdr:row>
          <xdr:rowOff>19050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C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C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D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D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D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E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E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581025</xdr:colOff>
          <xdr:row>5</xdr:row>
          <xdr:rowOff>19050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E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F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F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F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F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F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Google%20Drive/Work/Projects%20Current/SATIM%20maintenance/Industry%20work/SATIM%20-%20Industry%20-%20Alumin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and Capacities"/>
      <sheetName val="Emissions"/>
      <sheetName val="Energy intensity"/>
      <sheetName val="DOE project"/>
      <sheetName val="AL roadmap "/>
    </sheetNames>
    <sheetDataSet>
      <sheetData sheetId="0">
        <row r="20">
          <cell r="D20">
            <v>720</v>
          </cell>
        </row>
      </sheetData>
      <sheetData sheetId="1">
        <row r="35">
          <cell r="F35">
            <v>1640.7688481217385</v>
          </cell>
        </row>
        <row r="41">
          <cell r="F41">
            <v>0.41016760505000449</v>
          </cell>
        </row>
        <row r="42">
          <cell r="F42">
            <v>4.1062898593307487E-2</v>
          </cell>
        </row>
      </sheetData>
      <sheetData sheetId="2">
        <row r="10">
          <cell r="K10">
            <v>46.36797395678547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news.co.za/print-version/ownership-of-richards-bay-casthouse-changes-hands-2015-09-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0KpDmoA9O87WGOo18fFJIXSv5nsPmBRlRpkID3fPM4/edit?usp=sharing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7.xml"/><Relationship Id="rId5" Type="http://schemas.openxmlformats.org/officeDocument/2006/relationships/image" Target="../media/image9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9.xml"/><Relationship Id="rId5" Type="http://schemas.openxmlformats.org/officeDocument/2006/relationships/image" Target="../media/image11.emf"/><Relationship Id="rId4" Type="http://schemas.openxmlformats.org/officeDocument/2006/relationships/control" Target="../activeX/activeX8.xml"/><Relationship Id="rId9" Type="http://schemas.openxmlformats.org/officeDocument/2006/relationships/image" Target="../media/image1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2.xml"/><Relationship Id="rId5" Type="http://schemas.openxmlformats.org/officeDocument/2006/relationships/image" Target="../media/image14.emf"/><Relationship Id="rId4" Type="http://schemas.openxmlformats.org/officeDocument/2006/relationships/control" Target="../activeX/activeX11.xml"/><Relationship Id="rId9" Type="http://schemas.openxmlformats.org/officeDocument/2006/relationships/image" Target="../media/image16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5.xml"/><Relationship Id="rId5" Type="http://schemas.openxmlformats.org/officeDocument/2006/relationships/image" Target="../media/image17.emf"/><Relationship Id="rId4" Type="http://schemas.openxmlformats.org/officeDocument/2006/relationships/control" Target="../activeX/activeX14.xml"/><Relationship Id="rId9" Type="http://schemas.openxmlformats.org/officeDocument/2006/relationships/image" Target="../media/image19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8.xml"/><Relationship Id="rId5" Type="http://schemas.openxmlformats.org/officeDocument/2006/relationships/image" Target="../media/image20.emf"/><Relationship Id="rId4" Type="http://schemas.openxmlformats.org/officeDocument/2006/relationships/control" Target="../activeX/activeX17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4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1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9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26.xml"/><Relationship Id="rId11" Type="http://schemas.openxmlformats.org/officeDocument/2006/relationships/image" Target="../media/image31.emf"/><Relationship Id="rId5" Type="http://schemas.openxmlformats.org/officeDocument/2006/relationships/image" Target="../media/image28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30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1.xml"/><Relationship Id="rId5" Type="http://schemas.openxmlformats.org/officeDocument/2006/relationships/image" Target="../media/image33.emf"/><Relationship Id="rId4" Type="http://schemas.openxmlformats.org/officeDocument/2006/relationships/control" Target="../activeX/activeX30.xml"/><Relationship Id="rId9" Type="http://schemas.openxmlformats.org/officeDocument/2006/relationships/image" Target="../media/image35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40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7.emf"/><Relationship Id="rId12" Type="http://schemas.openxmlformats.org/officeDocument/2006/relationships/control" Target="../activeX/activeX37.xml"/><Relationship Id="rId17" Type="http://schemas.openxmlformats.org/officeDocument/2006/relationships/image" Target="../media/image42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34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8.emf"/><Relationship Id="rId14" Type="http://schemas.openxmlformats.org/officeDocument/2006/relationships/control" Target="../activeX/activeX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44.xml"/><Relationship Id="rId17" Type="http://schemas.openxmlformats.org/officeDocument/2006/relationships/image" Target="../media/image49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41.xml"/><Relationship Id="rId11" Type="http://schemas.openxmlformats.org/officeDocument/2006/relationships/image" Target="../media/image46.emf"/><Relationship Id="rId5" Type="http://schemas.openxmlformats.org/officeDocument/2006/relationships/image" Target="../media/image43.emf"/><Relationship Id="rId15" Type="http://schemas.openxmlformats.org/officeDocument/2006/relationships/image" Target="../media/image48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5.emf"/><Relationship Id="rId14" Type="http://schemas.openxmlformats.org/officeDocument/2006/relationships/control" Target="../activeX/activeX45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4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1.emf"/><Relationship Id="rId12" Type="http://schemas.openxmlformats.org/officeDocument/2006/relationships/control" Target="../activeX/activeX51.xml"/><Relationship Id="rId17" Type="http://schemas.openxmlformats.org/officeDocument/2006/relationships/image" Target="../media/image56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3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48.xml"/><Relationship Id="rId11" Type="http://schemas.openxmlformats.org/officeDocument/2006/relationships/image" Target="../media/image53.emf"/><Relationship Id="rId5" Type="http://schemas.openxmlformats.org/officeDocument/2006/relationships/image" Target="../media/image50.emf"/><Relationship Id="rId15" Type="http://schemas.openxmlformats.org/officeDocument/2006/relationships/image" Target="../media/image55.emf"/><Relationship Id="rId10" Type="http://schemas.openxmlformats.org/officeDocument/2006/relationships/control" Target="../activeX/activeX50.xml"/><Relationship Id="rId19" Type="http://schemas.openxmlformats.org/officeDocument/2006/relationships/image" Target="../media/image57.emf"/><Relationship Id="rId4" Type="http://schemas.openxmlformats.org/officeDocument/2006/relationships/control" Target="../activeX/activeX47.xml"/><Relationship Id="rId9" Type="http://schemas.openxmlformats.org/officeDocument/2006/relationships/image" Target="../media/image52.emf"/><Relationship Id="rId14" Type="http://schemas.openxmlformats.org/officeDocument/2006/relationships/control" Target="../activeX/activeX5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9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6.xml"/><Relationship Id="rId11" Type="http://schemas.openxmlformats.org/officeDocument/2006/relationships/image" Target="../media/image61.emf"/><Relationship Id="rId5" Type="http://schemas.openxmlformats.org/officeDocument/2006/relationships/image" Target="../media/image58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60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66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70.emf"/><Relationship Id="rId7" Type="http://schemas.openxmlformats.org/officeDocument/2006/relationships/image" Target="../media/image63.emf"/><Relationship Id="rId12" Type="http://schemas.openxmlformats.org/officeDocument/2006/relationships/control" Target="../activeX/activeX63.xml"/><Relationship Id="rId17" Type="http://schemas.openxmlformats.org/officeDocument/2006/relationships/image" Target="../media/image68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0.xml"/><Relationship Id="rId11" Type="http://schemas.openxmlformats.org/officeDocument/2006/relationships/image" Target="../media/image65.emf"/><Relationship Id="rId5" Type="http://schemas.openxmlformats.org/officeDocument/2006/relationships/image" Target="../media/image62.emf"/><Relationship Id="rId15" Type="http://schemas.openxmlformats.org/officeDocument/2006/relationships/image" Target="../media/image67.emf"/><Relationship Id="rId23" Type="http://schemas.openxmlformats.org/officeDocument/2006/relationships/image" Target="../media/image71.emf"/><Relationship Id="rId10" Type="http://schemas.openxmlformats.org/officeDocument/2006/relationships/control" Target="../activeX/activeX62.xml"/><Relationship Id="rId19" Type="http://schemas.openxmlformats.org/officeDocument/2006/relationships/image" Target="../media/image69.emf"/><Relationship Id="rId4" Type="http://schemas.openxmlformats.org/officeDocument/2006/relationships/control" Target="../activeX/activeX59.xml"/><Relationship Id="rId9" Type="http://schemas.openxmlformats.org/officeDocument/2006/relationships/image" Target="../media/image64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76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3.emf"/><Relationship Id="rId12" Type="http://schemas.openxmlformats.org/officeDocument/2006/relationships/control" Target="../activeX/activeX73.xml"/><Relationship Id="rId17" Type="http://schemas.openxmlformats.org/officeDocument/2006/relationships/image" Target="../media/image7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0.xml"/><Relationship Id="rId11" Type="http://schemas.openxmlformats.org/officeDocument/2006/relationships/image" Target="../media/image75.emf"/><Relationship Id="rId5" Type="http://schemas.openxmlformats.org/officeDocument/2006/relationships/image" Target="../media/image72.emf"/><Relationship Id="rId15" Type="http://schemas.openxmlformats.org/officeDocument/2006/relationships/image" Target="../media/image77.emf"/><Relationship Id="rId10" Type="http://schemas.openxmlformats.org/officeDocument/2006/relationships/control" Target="../activeX/activeX72.xml"/><Relationship Id="rId19" Type="http://schemas.openxmlformats.org/officeDocument/2006/relationships/image" Target="../media/image79.emf"/><Relationship Id="rId4" Type="http://schemas.openxmlformats.org/officeDocument/2006/relationships/control" Target="../activeX/activeX69.xml"/><Relationship Id="rId9" Type="http://schemas.openxmlformats.org/officeDocument/2006/relationships/image" Target="../media/image74.emf"/><Relationship Id="rId14" Type="http://schemas.openxmlformats.org/officeDocument/2006/relationships/control" Target="../activeX/activeX74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13" Type="http://schemas.openxmlformats.org/officeDocument/2006/relationships/control" Target="../activeX/activeX82.xml"/><Relationship Id="rId18" Type="http://schemas.openxmlformats.org/officeDocument/2006/relationships/image" Target="../media/image87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84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86.emf"/><Relationship Id="rId20" Type="http://schemas.openxmlformats.org/officeDocument/2006/relationships/image" Target="../media/image88.emf"/><Relationship Id="rId1" Type="http://schemas.openxmlformats.org/officeDocument/2006/relationships/drawing" Target="../drawings/drawing18.xml"/><Relationship Id="rId6" Type="http://schemas.openxmlformats.org/officeDocument/2006/relationships/image" Target="../media/image81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83.emf"/><Relationship Id="rId19" Type="http://schemas.openxmlformats.org/officeDocument/2006/relationships/control" Target="../activeX/activeX85.xml"/><Relationship Id="rId4" Type="http://schemas.openxmlformats.org/officeDocument/2006/relationships/image" Target="../media/image80.emf"/><Relationship Id="rId9" Type="http://schemas.openxmlformats.org/officeDocument/2006/relationships/control" Target="../activeX/activeX80.xml"/><Relationship Id="rId14" Type="http://schemas.openxmlformats.org/officeDocument/2006/relationships/image" Target="../media/image85.emf"/><Relationship Id="rId22" Type="http://schemas.openxmlformats.org/officeDocument/2006/relationships/image" Target="../media/image89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13" Type="http://schemas.openxmlformats.org/officeDocument/2006/relationships/control" Target="../activeX/activeX92.xml"/><Relationship Id="rId18" Type="http://schemas.openxmlformats.org/officeDocument/2006/relationships/image" Target="../media/image97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94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96.emf"/><Relationship Id="rId20" Type="http://schemas.openxmlformats.org/officeDocument/2006/relationships/image" Target="../media/image98.emf"/><Relationship Id="rId1" Type="http://schemas.openxmlformats.org/officeDocument/2006/relationships/drawing" Target="../drawings/drawing19.xml"/><Relationship Id="rId6" Type="http://schemas.openxmlformats.org/officeDocument/2006/relationships/image" Target="../media/image91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93.emf"/><Relationship Id="rId19" Type="http://schemas.openxmlformats.org/officeDocument/2006/relationships/control" Target="../activeX/activeX95.xml"/><Relationship Id="rId4" Type="http://schemas.openxmlformats.org/officeDocument/2006/relationships/image" Target="../media/image90.emf"/><Relationship Id="rId9" Type="http://schemas.openxmlformats.org/officeDocument/2006/relationships/control" Target="../activeX/activeX90.xml"/><Relationship Id="rId14" Type="http://schemas.openxmlformats.org/officeDocument/2006/relationships/image" Target="../media/image95.emf"/><Relationship Id="rId22" Type="http://schemas.openxmlformats.org/officeDocument/2006/relationships/image" Target="../media/image99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04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101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06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98.xml"/><Relationship Id="rId11" Type="http://schemas.openxmlformats.org/officeDocument/2006/relationships/image" Target="../media/image103.emf"/><Relationship Id="rId5" Type="http://schemas.openxmlformats.org/officeDocument/2006/relationships/image" Target="../media/image100.emf"/><Relationship Id="rId15" Type="http://schemas.openxmlformats.org/officeDocument/2006/relationships/image" Target="../media/image105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07.emf"/><Relationship Id="rId4" Type="http://schemas.openxmlformats.org/officeDocument/2006/relationships/control" Target="../activeX/activeX97.xml"/><Relationship Id="rId9" Type="http://schemas.openxmlformats.org/officeDocument/2006/relationships/image" Target="../media/image102.emf"/><Relationship Id="rId1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12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16.emf"/><Relationship Id="rId7" Type="http://schemas.openxmlformats.org/officeDocument/2006/relationships/image" Target="../media/image109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1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6.xml"/><Relationship Id="rId11" Type="http://schemas.openxmlformats.org/officeDocument/2006/relationships/image" Target="../media/image111.emf"/><Relationship Id="rId5" Type="http://schemas.openxmlformats.org/officeDocument/2006/relationships/image" Target="../media/image108.emf"/><Relationship Id="rId15" Type="http://schemas.openxmlformats.org/officeDocument/2006/relationships/image" Target="../media/image113.emf"/><Relationship Id="rId23" Type="http://schemas.openxmlformats.org/officeDocument/2006/relationships/image" Target="../media/image117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15.emf"/><Relationship Id="rId4" Type="http://schemas.openxmlformats.org/officeDocument/2006/relationships/control" Target="../activeX/activeX105.xml"/><Relationship Id="rId9" Type="http://schemas.openxmlformats.org/officeDocument/2006/relationships/image" Target="../media/image110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6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5273-DA95-4561-8875-302058B83763}">
  <dimension ref="A3:N29"/>
  <sheetViews>
    <sheetView workbookViewId="0">
      <selection activeCell="F51" sqref="F51"/>
    </sheetView>
  </sheetViews>
  <sheetFormatPr defaultRowHeight="15" x14ac:dyDescent="0.25"/>
  <cols>
    <col min="1" max="1" width="9.140625" style="167"/>
    <col min="2" max="2" width="20.5703125" style="167" customWidth="1"/>
    <col min="3" max="3" width="9.140625" style="167"/>
    <col min="4" max="4" width="11" style="167" bestFit="1" customWidth="1"/>
    <col min="5" max="16384" width="9.140625" style="167"/>
  </cols>
  <sheetData>
    <row r="3" spans="1:14" ht="21" x14ac:dyDescent="0.35">
      <c r="A3" s="165" t="s">
        <v>239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7" spans="1:14" x14ac:dyDescent="0.25">
      <c r="B7" s="168" t="s">
        <v>240</v>
      </c>
      <c r="D7" s="168">
        <v>2015</v>
      </c>
      <c r="E7" s="168">
        <v>2016</v>
      </c>
      <c r="F7" s="168">
        <v>2017</v>
      </c>
    </row>
    <row r="8" spans="1:14" x14ac:dyDescent="0.25">
      <c r="B8" s="167" t="s">
        <v>241</v>
      </c>
      <c r="D8" s="167">
        <f>'AL roadmap '!D37</f>
        <v>720</v>
      </c>
      <c r="F8" s="167">
        <f>'DOE project'!E6</f>
        <v>714</v>
      </c>
    </row>
    <row r="9" spans="1:14" x14ac:dyDescent="0.25">
      <c r="B9" s="167" t="s">
        <v>242</v>
      </c>
      <c r="D9" s="167">
        <f>'AL roadmap '!D41</f>
        <v>289</v>
      </c>
    </row>
    <row r="11" spans="1:14" x14ac:dyDescent="0.25">
      <c r="B11" s="168" t="s">
        <v>243</v>
      </c>
    </row>
    <row r="12" spans="1:14" x14ac:dyDescent="0.25">
      <c r="B12" s="167" t="s">
        <v>242</v>
      </c>
      <c r="D12" s="167">
        <f>'AL roadmap '!D42</f>
        <v>155</v>
      </c>
    </row>
    <row r="14" spans="1:14" x14ac:dyDescent="0.25">
      <c r="B14" s="168" t="s">
        <v>244</v>
      </c>
    </row>
    <row r="15" spans="1:14" x14ac:dyDescent="0.25">
      <c r="B15" s="167" t="s">
        <v>241</v>
      </c>
      <c r="E15" s="167">
        <f>'AL roadmap '!T44</f>
        <v>517</v>
      </c>
    </row>
    <row r="16" spans="1:14" x14ac:dyDescent="0.25">
      <c r="B16" s="167" t="s">
        <v>242</v>
      </c>
      <c r="E16" s="167">
        <f>'AL roadmap '!T45</f>
        <v>129</v>
      </c>
    </row>
    <row r="17" spans="1:14" x14ac:dyDescent="0.25">
      <c r="B17" s="167" t="s">
        <v>227</v>
      </c>
      <c r="D17" s="167">
        <f>D8</f>
        <v>720</v>
      </c>
      <c r="F17" s="167">
        <f>F8</f>
        <v>714</v>
      </c>
    </row>
    <row r="20" spans="1:14" x14ac:dyDescent="0.25">
      <c r="D20" s="167">
        <f>D17</f>
        <v>720</v>
      </c>
      <c r="F20" s="167">
        <f>'Energy intensity'!F9/1000</f>
        <v>806</v>
      </c>
      <c r="I20" s="167" t="s">
        <v>245</v>
      </c>
      <c r="J20" s="167" t="s">
        <v>246</v>
      </c>
    </row>
    <row r="21" spans="1:14" x14ac:dyDescent="0.25">
      <c r="B21" s="167" t="s">
        <v>247</v>
      </c>
      <c r="C21" s="169">
        <v>0.85</v>
      </c>
      <c r="J21" s="167" t="s">
        <v>248</v>
      </c>
    </row>
    <row r="22" spans="1:14" x14ac:dyDescent="0.25">
      <c r="B22" s="167" t="s">
        <v>249</v>
      </c>
      <c r="D22" s="167">
        <f>D20/($C$21+1%)</f>
        <v>837.20930232558146</v>
      </c>
      <c r="F22" s="167">
        <f>F20/($C$21+1%)</f>
        <v>937.20930232558146</v>
      </c>
    </row>
    <row r="25" spans="1:14" ht="21" x14ac:dyDescent="0.35">
      <c r="A25" s="165" t="s">
        <v>209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9" spans="1:14" x14ac:dyDescent="0.25">
      <c r="B29" s="167" t="s">
        <v>250</v>
      </c>
      <c r="C29" s="167">
        <v>720</v>
      </c>
      <c r="D29" s="167" t="s">
        <v>251</v>
      </c>
      <c r="F29" s="170" t="s">
        <v>252</v>
      </c>
    </row>
  </sheetData>
  <hyperlinks>
    <hyperlink ref="F29" r:id="rId1" xr:uid="{97006678-A087-4909-AF2C-F28E2E90E54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1692-BBF7-49AA-9736-56F4A2E09C0E}">
  <dimension ref="A2:P37"/>
  <sheetViews>
    <sheetView workbookViewId="0">
      <selection activeCell="G25" sqref="G25"/>
    </sheetView>
  </sheetViews>
  <sheetFormatPr defaultRowHeight="12.75" x14ac:dyDescent="0.2"/>
  <cols>
    <col min="2" max="2" width="16.5703125" customWidth="1"/>
    <col min="15" max="15" width="17.28515625" customWidth="1"/>
  </cols>
  <sheetData>
    <row r="2" spans="1:16" x14ac:dyDescent="0.2">
      <c r="A2" s="1" t="s">
        <v>236</v>
      </c>
      <c r="D2">
        <f>D5</f>
        <v>0.72</v>
      </c>
      <c r="L2" s="158" t="s">
        <v>215</v>
      </c>
    </row>
    <row r="3" spans="1:16" x14ac:dyDescent="0.2">
      <c r="A3" s="1" t="s">
        <v>212</v>
      </c>
      <c r="L3" s="159" t="s">
        <v>217</v>
      </c>
    </row>
    <row r="4" spans="1:16" x14ac:dyDescent="0.2">
      <c r="L4" s="98"/>
    </row>
    <row r="5" spans="1:16" x14ac:dyDescent="0.2">
      <c r="B5" s="94" t="s">
        <v>209</v>
      </c>
      <c r="D5">
        <f>L5/1000</f>
        <v>0.72</v>
      </c>
      <c r="L5" s="98">
        <v>720</v>
      </c>
      <c r="M5" s="94" t="s">
        <v>237</v>
      </c>
    </row>
    <row r="6" spans="1:16" x14ac:dyDescent="0.2">
      <c r="L6" s="98"/>
    </row>
    <row r="7" spans="1:16" x14ac:dyDescent="0.2">
      <c r="B7" s="94" t="s">
        <v>213</v>
      </c>
      <c r="D7">
        <f>L8</f>
        <v>22875</v>
      </c>
      <c r="E7" s="94" t="s">
        <v>214</v>
      </c>
      <c r="L7" s="98">
        <v>1830</v>
      </c>
      <c r="M7" s="94" t="s">
        <v>210</v>
      </c>
    </row>
    <row r="8" spans="1:16" x14ac:dyDescent="0.2">
      <c r="L8" s="98">
        <f>L7*O8</f>
        <v>22875</v>
      </c>
      <c r="M8" s="94" t="s">
        <v>211</v>
      </c>
      <c r="O8">
        <v>12.5</v>
      </c>
      <c r="P8" s="94" t="s">
        <v>216</v>
      </c>
    </row>
    <row r="9" spans="1:16" x14ac:dyDescent="0.2">
      <c r="B9" s="94" t="s">
        <v>219</v>
      </c>
      <c r="L9" s="98"/>
    </row>
    <row r="10" spans="1:16" x14ac:dyDescent="0.2">
      <c r="L10" s="98"/>
    </row>
    <row r="11" spans="1:16" x14ac:dyDescent="0.2">
      <c r="B11" s="94" t="s">
        <v>220</v>
      </c>
      <c r="D11">
        <f>O20</f>
        <v>46.37</v>
      </c>
      <c r="E11" s="94" t="s">
        <v>223</v>
      </c>
      <c r="L11" s="98"/>
    </row>
    <row r="12" spans="1:16" x14ac:dyDescent="0.2">
      <c r="B12" s="94" t="s">
        <v>221</v>
      </c>
      <c r="D12">
        <f>O18</f>
        <v>2.2000000000000002</v>
      </c>
      <c r="E12" s="94" t="s">
        <v>223</v>
      </c>
      <c r="L12" s="98"/>
    </row>
    <row r="13" spans="1:16" x14ac:dyDescent="0.2">
      <c r="B13" s="94" t="s">
        <v>222</v>
      </c>
      <c r="D13">
        <f>O19</f>
        <v>3.26</v>
      </c>
      <c r="E13" s="94" t="s">
        <v>223</v>
      </c>
      <c r="L13" s="98"/>
    </row>
    <row r="14" spans="1:16" x14ac:dyDescent="0.2">
      <c r="L14" s="98"/>
    </row>
    <row r="15" spans="1:16" ht="28.5" x14ac:dyDescent="0.2">
      <c r="B15" s="94" t="s">
        <v>232</v>
      </c>
      <c r="L15" s="98"/>
      <c r="O15" s="160" t="s">
        <v>224</v>
      </c>
    </row>
    <row r="16" spans="1:16" ht="14.25" x14ac:dyDescent="0.2">
      <c r="E16" s="163" t="s">
        <v>230</v>
      </c>
      <c r="L16" s="98"/>
      <c r="O16" s="160" t="s">
        <v>225</v>
      </c>
    </row>
    <row r="17" spans="1:15" ht="15" x14ac:dyDescent="0.2">
      <c r="B17" s="163" t="s">
        <v>231</v>
      </c>
      <c r="E17">
        <f>[1]Emissions!$F$35</f>
        <v>1640.7688481217385</v>
      </c>
      <c r="L17" s="98"/>
      <c r="N17" s="161" t="s">
        <v>227</v>
      </c>
      <c r="O17" s="161">
        <v>51.83</v>
      </c>
    </row>
    <row r="18" spans="1:15" ht="14.25" x14ac:dyDescent="0.2">
      <c r="B18" s="163" t="s">
        <v>228</v>
      </c>
      <c r="E18" s="164">
        <f>[1]Emissions!$F$41</f>
        <v>0.41016760505000449</v>
      </c>
      <c r="L18" s="98"/>
      <c r="N18" s="160" t="s">
        <v>221</v>
      </c>
      <c r="O18" s="160">
        <v>2.2000000000000002</v>
      </c>
    </row>
    <row r="19" spans="1:15" ht="14.25" x14ac:dyDescent="0.2">
      <c r="B19" s="163" t="s">
        <v>229</v>
      </c>
      <c r="E19" s="164">
        <f>[1]Emissions!$F$42</f>
        <v>4.1062898593307487E-2</v>
      </c>
      <c r="L19" s="98"/>
      <c r="N19" s="160" t="s">
        <v>222</v>
      </c>
      <c r="O19" s="160">
        <v>3.26</v>
      </c>
    </row>
    <row r="20" spans="1:15" ht="14.25" x14ac:dyDescent="0.2">
      <c r="L20" s="98"/>
      <c r="N20" s="160" t="s">
        <v>220</v>
      </c>
      <c r="O20" s="160">
        <v>46.37</v>
      </c>
    </row>
    <row r="21" spans="1:15" x14ac:dyDescent="0.2">
      <c r="L21" s="98"/>
    </row>
    <row r="22" spans="1:15" x14ac:dyDescent="0.2">
      <c r="L22" s="98"/>
    </row>
    <row r="23" spans="1:15" x14ac:dyDescent="0.2">
      <c r="L23" s="98"/>
    </row>
    <row r="24" spans="1:15" x14ac:dyDescent="0.2">
      <c r="L24" s="98"/>
    </row>
    <row r="25" spans="1:15" x14ac:dyDescent="0.2">
      <c r="L25" s="98"/>
    </row>
    <row r="26" spans="1:15" x14ac:dyDescent="0.2">
      <c r="A26" s="1" t="s">
        <v>218</v>
      </c>
      <c r="L26" s="98"/>
    </row>
    <row r="27" spans="1:15" x14ac:dyDescent="0.2">
      <c r="L27" s="98">
        <v>2350</v>
      </c>
    </row>
    <row r="28" spans="1:15" x14ac:dyDescent="0.2">
      <c r="L28" s="98">
        <f>L27*O8</f>
        <v>29375</v>
      </c>
      <c r="M28" s="94" t="s">
        <v>235</v>
      </c>
    </row>
    <row r="29" spans="1:15" ht="28.5" x14ac:dyDescent="0.2">
      <c r="L29" s="98"/>
      <c r="O29" s="160" t="s">
        <v>226</v>
      </c>
    </row>
    <row r="30" spans="1:15" ht="14.25" x14ac:dyDescent="0.2">
      <c r="L30" s="98"/>
      <c r="O30" s="160" t="s">
        <v>225</v>
      </c>
    </row>
    <row r="31" spans="1:15" ht="15" x14ac:dyDescent="0.2">
      <c r="L31" s="98"/>
      <c r="N31" s="161" t="s">
        <v>227</v>
      </c>
      <c r="O31" s="161">
        <v>62.03</v>
      </c>
    </row>
    <row r="32" spans="1:15" ht="14.25" x14ac:dyDescent="0.2">
      <c r="L32" s="98"/>
      <c r="N32" s="160" t="s">
        <v>221</v>
      </c>
      <c r="O32" s="160">
        <v>2.2000000000000002</v>
      </c>
    </row>
    <row r="33" spans="12:15" ht="14.25" x14ac:dyDescent="0.2">
      <c r="L33" s="98"/>
      <c r="N33" s="160" t="s">
        <v>222</v>
      </c>
      <c r="O33" s="160">
        <v>3.26</v>
      </c>
    </row>
    <row r="34" spans="12:15" ht="14.25" x14ac:dyDescent="0.2">
      <c r="L34" s="98"/>
      <c r="N34" s="160" t="s">
        <v>220</v>
      </c>
      <c r="O34" s="160">
        <v>56.57</v>
      </c>
    </row>
    <row r="35" spans="12:15" x14ac:dyDescent="0.2">
      <c r="L35" s="98"/>
    </row>
    <row r="36" spans="12:15" x14ac:dyDescent="0.2">
      <c r="L36" s="98"/>
    </row>
    <row r="37" spans="12:15" x14ac:dyDescent="0.2">
      <c r="L37" s="98"/>
    </row>
  </sheetData>
  <hyperlinks>
    <hyperlink ref="L3" r:id="rId1" xr:uid="{1965335E-3FBC-4362-AD24-200F20987CD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C23" sqref="C2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129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INDGAS</v>
      </c>
      <c r="C9" s="48" t="str">
        <f>RES!D3</f>
        <v>Industry - South Africa gas</v>
      </c>
      <c r="D9" s="54" t="s">
        <v>117</v>
      </c>
      <c r="E9" s="31" t="s">
        <v>119</v>
      </c>
    </row>
    <row r="10" spans="1:6" s="18" customFormat="1" ht="12.75" x14ac:dyDescent="0.2">
      <c r="A10" s="48"/>
      <c r="B10" s="48" t="str">
        <f>RES!E2</f>
        <v>INDOLP</v>
      </c>
      <c r="C10" s="48" t="str">
        <f>RES!E3</f>
        <v>Industry - Oil LPG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INFELC</v>
      </c>
      <c r="C11" s="48" t="str">
        <f>RES!F3</f>
        <v>Industry-NF-Electricity</v>
      </c>
      <c r="D11" s="54" t="s">
        <v>117</v>
      </c>
      <c r="E11" s="31" t="s">
        <v>118</v>
      </c>
    </row>
    <row r="12" spans="1:6" s="18" customFormat="1" ht="12.75" x14ac:dyDescent="0.2">
      <c r="A12" s="48"/>
      <c r="B12" t="s">
        <v>200</v>
      </c>
      <c r="C12" t="s">
        <v>201</v>
      </c>
      <c r="D12" t="s">
        <v>133</v>
      </c>
      <c r="E12" t="s">
        <v>202</v>
      </c>
    </row>
    <row r="13" spans="1:6" ht="12.75" x14ac:dyDescent="0.2">
      <c r="A13" s="55" t="s">
        <v>116</v>
      </c>
      <c r="B13" s="48"/>
      <c r="C13" s="48"/>
      <c r="D13" s="54"/>
    </row>
    <row r="14" spans="1:6" ht="12.75" x14ac:dyDescent="0.2">
      <c r="A14" s="48"/>
      <c r="B14" s="48" t="s">
        <v>175</v>
      </c>
      <c r="C14" s="48" t="s">
        <v>176</v>
      </c>
      <c r="D14" s="54" t="s">
        <v>120</v>
      </c>
      <c r="E14" s="31" t="s">
        <v>121</v>
      </c>
    </row>
    <row r="15" spans="1:6" ht="12.75" x14ac:dyDescent="0.2">
      <c r="A15" s="48"/>
      <c r="B15" s="48" t="s">
        <v>228</v>
      </c>
      <c r="C15" s="48" t="s">
        <v>233</v>
      </c>
      <c r="D15" s="54" t="s">
        <v>120</v>
      </c>
      <c r="E15" s="31" t="s">
        <v>121</v>
      </c>
    </row>
    <row r="16" spans="1:6" ht="12.75" x14ac:dyDescent="0.2">
      <c r="A16" s="48"/>
      <c r="B16" s="48" t="s">
        <v>229</v>
      </c>
      <c r="C16" s="48" t="s">
        <v>234</v>
      </c>
      <c r="D16" s="54" t="s">
        <v>120</v>
      </c>
      <c r="E16" s="31" t="s">
        <v>121</v>
      </c>
    </row>
    <row r="21" spans="2:2" ht="12.75" x14ac:dyDescent="0.2">
      <c r="B2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561975</xdr:colOff>
                <xdr:row>3</xdr:row>
                <xdr:rowOff>19050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H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7" sqref="G7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8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8" ht="12.75" x14ac:dyDescent="0.2">
      <c r="A2" t="str">
        <f ca="1">MID(CELL("filename",A2),FIND("]",CELL("filename",A2))+1,255)</f>
        <v>CommData_BASE</v>
      </c>
      <c r="F2" s="53"/>
    </row>
    <row r="3" spans="1:8" ht="15" customHeight="1" x14ac:dyDescent="0.2">
      <c r="F3" s="53"/>
    </row>
    <row r="4" spans="1:8" ht="20.25" customHeight="1" x14ac:dyDescent="0.2">
      <c r="E4" s="26" t="s">
        <v>134</v>
      </c>
      <c r="F4" s="26" t="s">
        <v>134</v>
      </c>
      <c r="G4" s="26" t="s">
        <v>134</v>
      </c>
      <c r="H4" s="26"/>
    </row>
    <row r="5" spans="1:8" ht="19.5" customHeight="1" x14ac:dyDescent="0.2">
      <c r="E5" s="64"/>
      <c r="F5" s="53"/>
    </row>
    <row r="6" spans="1:8" ht="19.5" customHeight="1" x14ac:dyDescent="0.2">
      <c r="E6" s="64"/>
      <c r="F6" s="53"/>
    </row>
    <row r="7" spans="1:8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  <c r="G7" s="12">
        <v>2050</v>
      </c>
    </row>
    <row r="8" spans="1:8" s="53" customFormat="1" x14ac:dyDescent="0.2">
      <c r="B8" s="50" t="str">
        <f>RES!O2</f>
        <v>IALM</v>
      </c>
      <c r="C8" s="50" t="str">
        <f>RES!O3</f>
        <v>Industry - Aluminium Metal</v>
      </c>
      <c r="D8" s="50" t="str">
        <f>EB_Exist!J4</f>
        <v>mt</v>
      </c>
      <c r="E8" s="96">
        <f>'Aluminium Data'!D2</f>
        <v>0.72</v>
      </c>
      <c r="F8" s="96">
        <f>E8</f>
        <v>0.72</v>
      </c>
      <c r="G8" s="96">
        <f>F8</f>
        <v>0.72</v>
      </c>
      <c r="H8" s="96"/>
    </row>
    <row r="9" spans="1:8" s="53" customFormat="1" x14ac:dyDescent="0.2">
      <c r="B9" s="50"/>
    </row>
    <row r="10" spans="1:8" s="53" customFormat="1" x14ac:dyDescent="0.2"/>
    <row r="11" spans="1:8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29" sqref="E29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x14ac:dyDescent="0.2">
      <c r="A9" s="50" t="s">
        <v>92</v>
      </c>
      <c r="B9" s="53" t="s">
        <v>193</v>
      </c>
      <c r="C9" s="53" t="s">
        <v>191</v>
      </c>
      <c r="D9" s="29" t="s">
        <v>122</v>
      </c>
      <c r="E9" s="146" t="s">
        <v>131</v>
      </c>
    </row>
    <row r="10" spans="1:6" s="53" customFormat="1" ht="12.75" x14ac:dyDescent="0.2">
      <c r="A10" s="50"/>
      <c r="B10" t="s">
        <v>195</v>
      </c>
      <c r="C10" t="s">
        <v>196</v>
      </c>
      <c r="D10" t="s">
        <v>199</v>
      </c>
      <c r="E10" t="s">
        <v>131</v>
      </c>
    </row>
    <row r="11" spans="1:6" s="53" customFormat="1" ht="12.75" x14ac:dyDescent="0.2">
      <c r="A11" s="50"/>
      <c r="B11" t="s">
        <v>197</v>
      </c>
      <c r="C11" t="s">
        <v>198</v>
      </c>
      <c r="D11" t="s">
        <v>199</v>
      </c>
      <c r="E11" t="s">
        <v>131</v>
      </c>
    </row>
    <row r="12" spans="1:6" s="53" customFormat="1" ht="12" x14ac:dyDescent="0.2">
      <c r="A12" s="59"/>
      <c r="B12" s="50"/>
      <c r="C12" s="50"/>
      <c r="D12" s="29"/>
      <c r="E12" s="31"/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D96-001A-4573-AA7D-DCB9D670F099}">
  <dimension ref="A1:O45"/>
  <sheetViews>
    <sheetView topLeftCell="A10" workbookViewId="0">
      <selection activeCell="F51" sqref="F51"/>
    </sheetView>
  </sheetViews>
  <sheetFormatPr defaultRowHeight="15" x14ac:dyDescent="0.25"/>
  <cols>
    <col min="1" max="1" width="9.140625" style="167"/>
    <col min="2" max="2" width="47.28515625" style="167" customWidth="1"/>
    <col min="3" max="3" width="13.7109375" style="167" customWidth="1"/>
    <col min="4" max="4" width="13" style="167" customWidth="1"/>
    <col min="5" max="5" width="9.140625" style="167"/>
    <col min="6" max="6" width="13.28515625" style="167" bestFit="1" customWidth="1"/>
    <col min="7" max="8" width="9.140625" style="167"/>
    <col min="9" max="9" width="12.7109375" style="167" bestFit="1" customWidth="1"/>
    <col min="10" max="16384" width="9.140625" style="167"/>
  </cols>
  <sheetData>
    <row r="1" spans="1:15" x14ac:dyDescent="0.25">
      <c r="A1" s="167" t="s">
        <v>253</v>
      </c>
    </row>
    <row r="2" spans="1:15" x14ac:dyDescent="0.25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x14ac:dyDescent="0.25">
      <c r="A3" s="174"/>
      <c r="O3" s="175"/>
    </row>
    <row r="4" spans="1:15" x14ac:dyDescent="0.25">
      <c r="A4" s="174"/>
      <c r="B4" s="168" t="s">
        <v>254</v>
      </c>
      <c r="E4" s="168">
        <v>2012</v>
      </c>
      <c r="F4" s="168">
        <v>2017</v>
      </c>
      <c r="O4" s="175"/>
    </row>
    <row r="5" spans="1:15" x14ac:dyDescent="0.25">
      <c r="A5" s="174"/>
      <c r="B5" s="167" t="s">
        <v>255</v>
      </c>
      <c r="E5" s="176">
        <v>666790</v>
      </c>
      <c r="F5" s="177">
        <v>826537.30724132585</v>
      </c>
      <c r="O5" s="175"/>
    </row>
    <row r="6" spans="1:15" x14ac:dyDescent="0.25">
      <c r="A6" s="174"/>
      <c r="B6" s="167" t="s">
        <v>256</v>
      </c>
      <c r="E6" s="176">
        <v>0</v>
      </c>
      <c r="F6" s="176">
        <v>0</v>
      </c>
      <c r="O6" s="175"/>
    </row>
    <row r="7" spans="1:15" x14ac:dyDescent="0.25">
      <c r="A7" s="174"/>
      <c r="B7" s="167" t="s">
        <v>257</v>
      </c>
      <c r="E7" s="176">
        <v>666790</v>
      </c>
      <c r="F7" s="178">
        <v>826537.30724132585</v>
      </c>
      <c r="O7" s="175"/>
    </row>
    <row r="8" spans="1:15" x14ac:dyDescent="0.25">
      <c r="A8" s="174"/>
      <c r="B8" s="167" t="s">
        <v>258</v>
      </c>
      <c r="E8" s="176">
        <v>0</v>
      </c>
      <c r="F8" s="176">
        <v>0</v>
      </c>
      <c r="O8" s="175"/>
    </row>
    <row r="9" spans="1:15" x14ac:dyDescent="0.25">
      <c r="A9" s="174"/>
      <c r="B9" s="167" t="s">
        <v>259</v>
      </c>
      <c r="E9" s="176">
        <v>0</v>
      </c>
      <c r="F9" s="176">
        <v>0</v>
      </c>
      <c r="O9" s="175"/>
    </row>
    <row r="10" spans="1:15" x14ac:dyDescent="0.25">
      <c r="A10" s="174"/>
      <c r="B10" s="167" t="s">
        <v>260</v>
      </c>
      <c r="E10" s="176"/>
      <c r="F10" s="176"/>
      <c r="O10" s="175"/>
    </row>
    <row r="11" spans="1:15" x14ac:dyDescent="0.25">
      <c r="A11" s="174"/>
      <c r="O11" s="175"/>
    </row>
    <row r="12" spans="1:15" x14ac:dyDescent="0.25">
      <c r="A12" s="174"/>
      <c r="O12" s="175"/>
    </row>
    <row r="13" spans="1:15" x14ac:dyDescent="0.25">
      <c r="A13" s="174"/>
      <c r="O13" s="175"/>
    </row>
    <row r="14" spans="1:15" x14ac:dyDescent="0.25">
      <c r="A14" s="174" t="s">
        <v>261</v>
      </c>
      <c r="L14" s="167" t="s">
        <v>262</v>
      </c>
      <c r="O14" s="175"/>
    </row>
    <row r="15" spans="1:15" x14ac:dyDescent="0.25">
      <c r="A15" s="174"/>
      <c r="C15" s="167" t="s">
        <v>221</v>
      </c>
      <c r="D15" s="167" t="s">
        <v>263</v>
      </c>
      <c r="E15" s="167">
        <v>2012</v>
      </c>
      <c r="F15" s="167">
        <v>2017</v>
      </c>
      <c r="H15" s="167" t="s">
        <v>264</v>
      </c>
      <c r="M15" s="167" t="s">
        <v>265</v>
      </c>
      <c r="O15" s="175"/>
    </row>
    <row r="16" spans="1:15" x14ac:dyDescent="0.25">
      <c r="A16" s="174"/>
      <c r="B16" s="167" t="s">
        <v>255</v>
      </c>
      <c r="C16" s="167" t="s">
        <v>266</v>
      </c>
      <c r="D16" s="167" t="s">
        <v>267</v>
      </c>
      <c r="E16" s="179">
        <v>1.6</v>
      </c>
      <c r="F16" s="179">
        <v>1.6</v>
      </c>
      <c r="L16" s="167" t="s">
        <v>228</v>
      </c>
      <c r="M16" s="167">
        <v>6500</v>
      </c>
      <c r="O16" s="175"/>
    </row>
    <row r="17" spans="1:15" x14ac:dyDescent="0.25">
      <c r="A17" s="174"/>
      <c r="B17" s="167" t="s">
        <v>256</v>
      </c>
      <c r="C17" s="167" t="s">
        <v>266</v>
      </c>
      <c r="D17" s="167" t="s">
        <v>267</v>
      </c>
      <c r="E17" s="179">
        <v>1.7</v>
      </c>
      <c r="F17" s="179">
        <v>1.7</v>
      </c>
      <c r="L17" s="167" t="s">
        <v>268</v>
      </c>
      <c r="M17" s="167">
        <v>9200</v>
      </c>
      <c r="O17" s="175"/>
    </row>
    <row r="18" spans="1:15" x14ac:dyDescent="0.25">
      <c r="A18" s="174"/>
      <c r="B18" s="167" t="s">
        <v>257</v>
      </c>
      <c r="C18" s="167" t="s">
        <v>228</v>
      </c>
      <c r="D18" s="167" t="s">
        <v>269</v>
      </c>
      <c r="E18" s="180">
        <v>3.999760044391787E-4</v>
      </c>
      <c r="F18" s="181">
        <v>3.9997600443917903E-4</v>
      </c>
      <c r="O18" s="175"/>
    </row>
    <row r="19" spans="1:15" x14ac:dyDescent="0.25">
      <c r="A19" s="174"/>
      <c r="B19" s="167" t="s">
        <v>258</v>
      </c>
      <c r="C19" s="167" t="s">
        <v>228</v>
      </c>
      <c r="D19" s="167" t="s">
        <v>269</v>
      </c>
      <c r="E19" s="180">
        <v>0</v>
      </c>
      <c r="F19" s="181">
        <v>0</v>
      </c>
      <c r="O19" s="175"/>
    </row>
    <row r="20" spans="1:15" x14ac:dyDescent="0.25">
      <c r="A20" s="174"/>
      <c r="B20" s="167" t="s">
        <v>259</v>
      </c>
      <c r="C20" s="167" t="s">
        <v>228</v>
      </c>
      <c r="D20" s="167" t="s">
        <v>269</v>
      </c>
      <c r="E20" s="180">
        <v>0</v>
      </c>
      <c r="F20" s="181">
        <v>0</v>
      </c>
      <c r="O20" s="175"/>
    </row>
    <row r="21" spans="1:15" x14ac:dyDescent="0.25">
      <c r="A21" s="174"/>
      <c r="B21" s="167" t="s">
        <v>260</v>
      </c>
      <c r="C21" s="167" t="s">
        <v>228</v>
      </c>
      <c r="D21" s="167" t="s">
        <v>269</v>
      </c>
      <c r="E21" s="180">
        <v>0</v>
      </c>
      <c r="F21" s="181">
        <v>0</v>
      </c>
      <c r="O21" s="175"/>
    </row>
    <row r="22" spans="1:15" x14ac:dyDescent="0.25">
      <c r="A22" s="174"/>
      <c r="B22" s="167" t="s">
        <v>257</v>
      </c>
      <c r="C22" s="167" t="s">
        <v>268</v>
      </c>
      <c r="D22" s="167" t="s">
        <v>270</v>
      </c>
      <c r="E22" s="180">
        <v>4.0042592120457721E-5</v>
      </c>
      <c r="F22" s="181">
        <v>4.0042592120457701E-5</v>
      </c>
      <c r="O22" s="175"/>
    </row>
    <row r="23" spans="1:15" x14ac:dyDescent="0.25">
      <c r="A23" s="174"/>
      <c r="B23" s="167" t="s">
        <v>258</v>
      </c>
      <c r="C23" s="167" t="s">
        <v>268</v>
      </c>
      <c r="D23" s="167" t="s">
        <v>270</v>
      </c>
      <c r="E23" s="180">
        <v>0</v>
      </c>
      <c r="F23" s="181">
        <v>0</v>
      </c>
      <c r="O23" s="175"/>
    </row>
    <row r="24" spans="1:15" x14ac:dyDescent="0.25">
      <c r="A24" s="174"/>
      <c r="B24" s="167" t="s">
        <v>259</v>
      </c>
      <c r="C24" s="167" t="s">
        <v>268</v>
      </c>
      <c r="D24" s="167" t="s">
        <v>270</v>
      </c>
      <c r="E24" s="180">
        <v>0</v>
      </c>
      <c r="F24" s="181">
        <v>0</v>
      </c>
      <c r="O24" s="175"/>
    </row>
    <row r="25" spans="1:15" x14ac:dyDescent="0.25">
      <c r="A25" s="174"/>
      <c r="B25" s="167" t="s">
        <v>260</v>
      </c>
      <c r="C25" s="167" t="s">
        <v>268</v>
      </c>
      <c r="D25" s="167" t="s">
        <v>270</v>
      </c>
      <c r="E25" s="180">
        <v>0</v>
      </c>
      <c r="F25" s="181">
        <v>0</v>
      </c>
      <c r="O25" s="175"/>
    </row>
    <row r="26" spans="1:15" x14ac:dyDescent="0.25">
      <c r="A26" s="174"/>
      <c r="O26" s="175"/>
    </row>
    <row r="27" spans="1:15" x14ac:dyDescent="0.25">
      <c r="A27" s="174"/>
      <c r="C27" s="167" t="s">
        <v>228</v>
      </c>
      <c r="D27" s="167" t="s">
        <v>271</v>
      </c>
      <c r="F27" s="182">
        <f>F18*F7</f>
        <v>330.59508967030365</v>
      </c>
      <c r="I27" s="182">
        <f>F27*M16</f>
        <v>2148868.0828569736</v>
      </c>
      <c r="O27" s="175"/>
    </row>
    <row r="28" spans="1:15" x14ac:dyDescent="0.25">
      <c r="A28" s="174"/>
      <c r="C28" s="167" t="s">
        <v>229</v>
      </c>
      <c r="D28" s="167" t="s">
        <v>271</v>
      </c>
      <c r="F28" s="182">
        <f>F22*F7</f>
        <v>33.096696266205839</v>
      </c>
      <c r="I28" s="182">
        <f>F28*M17</f>
        <v>304489.60564909375</v>
      </c>
      <c r="O28" s="175"/>
    </row>
    <row r="29" spans="1:15" x14ac:dyDescent="0.25">
      <c r="A29" s="174"/>
      <c r="C29" s="167" t="s">
        <v>272</v>
      </c>
      <c r="D29" s="167" t="s">
        <v>273</v>
      </c>
      <c r="F29" s="183">
        <f>F27*M16+F28*M17</f>
        <v>2453357.6885060673</v>
      </c>
      <c r="O29" s="175"/>
    </row>
    <row r="30" spans="1:15" x14ac:dyDescent="0.25">
      <c r="A30" s="174"/>
      <c r="C30" s="167" t="s">
        <v>266</v>
      </c>
      <c r="D30" s="167" t="s">
        <v>273</v>
      </c>
      <c r="F30" s="183">
        <f>F16*F5</f>
        <v>1322459.6915861215</v>
      </c>
      <c r="O30" s="175"/>
    </row>
    <row r="31" spans="1:15" x14ac:dyDescent="0.25">
      <c r="A31" s="174"/>
      <c r="O31" s="175"/>
    </row>
    <row r="32" spans="1:15" x14ac:dyDescent="0.25">
      <c r="A32" s="184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85"/>
    </row>
    <row r="34" spans="2:13" x14ac:dyDescent="0.25">
      <c r="B34" s="167" t="s">
        <v>274</v>
      </c>
      <c r="F34" s="167">
        <f>'Energy intensity'!F9/1000</f>
        <v>806</v>
      </c>
      <c r="H34" s="167" t="s">
        <v>275</v>
      </c>
      <c r="L34" s="167" t="s">
        <v>276</v>
      </c>
      <c r="M34" s="167" t="s">
        <v>277</v>
      </c>
    </row>
    <row r="35" spans="2:13" x14ac:dyDescent="0.25">
      <c r="B35" s="186" t="s">
        <v>278</v>
      </c>
      <c r="C35" s="186" t="s">
        <v>279</v>
      </c>
      <c r="D35" s="186"/>
      <c r="E35" s="186"/>
      <c r="F35" s="187">
        <f>(F30/1000)/($F$34/1000)</f>
        <v>1640.7688481217385</v>
      </c>
      <c r="H35" s="167" t="s">
        <v>280</v>
      </c>
      <c r="L35" s="167" t="s">
        <v>266</v>
      </c>
      <c r="M35" s="167">
        <v>1641</v>
      </c>
    </row>
    <row r="36" spans="2:13" x14ac:dyDescent="0.25">
      <c r="C36" s="167" t="s">
        <v>281</v>
      </c>
      <c r="F36" s="187">
        <f>(F29/1000)/($F$34/1000)</f>
        <v>3043.8680998834584</v>
      </c>
      <c r="H36" s="167" t="s">
        <v>280</v>
      </c>
      <c r="L36" s="167" t="s">
        <v>228</v>
      </c>
      <c r="M36" s="188">
        <f>F41</f>
        <v>0.41016760505000449</v>
      </c>
    </row>
    <row r="37" spans="2:13" x14ac:dyDescent="0.25">
      <c r="L37" s="167" t="s">
        <v>229</v>
      </c>
      <c r="M37" s="188">
        <f>F42</f>
        <v>4.1062898593307487E-2</v>
      </c>
    </row>
    <row r="38" spans="2:13" x14ac:dyDescent="0.25">
      <c r="F38" s="187">
        <f>(I27/1000)/($F$34/1000)</f>
        <v>2666.0894328250292</v>
      </c>
      <c r="H38" s="167" t="s">
        <v>280</v>
      </c>
    </row>
    <row r="39" spans="2:13" x14ac:dyDescent="0.25">
      <c r="F39" s="187">
        <f>(I28/1000)/($F$34/1000)</f>
        <v>377.77866705842894</v>
      </c>
      <c r="H39" s="167" t="s">
        <v>280</v>
      </c>
    </row>
    <row r="41" spans="2:13" x14ac:dyDescent="0.25">
      <c r="C41" s="167" t="s">
        <v>228</v>
      </c>
      <c r="F41" s="188">
        <f>(F27/1000)/(F34/1000)</f>
        <v>0.41016760505000449</v>
      </c>
      <c r="G41" s="167" t="s">
        <v>282</v>
      </c>
      <c r="H41" s="167" t="s">
        <v>280</v>
      </c>
      <c r="I41" s="167" t="s">
        <v>283</v>
      </c>
    </row>
    <row r="42" spans="2:13" x14ac:dyDescent="0.25">
      <c r="C42" s="167" t="s">
        <v>229</v>
      </c>
      <c r="F42" s="188">
        <f>(F28/1000)/(F34/1000)</f>
        <v>4.1062898593307487E-2</v>
      </c>
      <c r="G42" s="167" t="s">
        <v>282</v>
      </c>
      <c r="H42" s="167" t="s">
        <v>280</v>
      </c>
    </row>
    <row r="45" spans="2:13" x14ac:dyDescent="0.25">
      <c r="F45" s="18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E21"/>
  <sheetViews>
    <sheetView tabSelected="1" zoomScale="115" zoomScaleNormal="115" workbookViewId="0">
      <pane xSplit="7" ySplit="7" topLeftCell="W8" activePane="bottomRight" state="frozen"/>
      <selection pane="topRight" activeCell="J1" sqref="J1"/>
      <selection pane="bottomLeft" activeCell="A8" sqref="A8"/>
      <selection pane="bottomRight" activeCell="AE14" sqref="AE1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7" width="9.140625" style="12"/>
    <col min="28" max="28" width="7.85546875" style="12" customWidth="1"/>
    <col min="29" max="29" width="7.5703125" style="12" customWidth="1"/>
    <col min="30" max="30" width="7.85546875" style="12" customWidth="1"/>
    <col min="31" max="16384" width="9.140625" style="12"/>
  </cols>
  <sheetData>
    <row r="1" spans="1:3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1" ht="11.25" customHeight="1" x14ac:dyDescent="0.2">
      <c r="A2" t="str">
        <f ca="1">MID(CELL("filename",A2),FIND("]",CELL("filename",A2))+1,255)</f>
        <v>ProcData_ALM</v>
      </c>
      <c r="H2" s="50"/>
      <c r="I2" s="53" t="s">
        <v>177</v>
      </c>
      <c r="J2" s="53"/>
      <c r="K2" s="53"/>
      <c r="L2" s="53"/>
      <c r="M2" s="53"/>
      <c r="N2" s="53"/>
      <c r="O2" s="53"/>
    </row>
    <row r="3" spans="1:31" ht="34.5" customHeight="1" x14ac:dyDescent="0.2">
      <c r="A3" s="22"/>
      <c r="H3" s="121" t="s">
        <v>153</v>
      </c>
      <c r="I3" s="121" t="s">
        <v>148</v>
      </c>
      <c r="J3" s="121" t="s">
        <v>148</v>
      </c>
      <c r="K3" s="121" t="s">
        <v>148</v>
      </c>
      <c r="L3" s="121" t="s">
        <v>148</v>
      </c>
      <c r="M3" s="121" t="s">
        <v>148</v>
      </c>
      <c r="N3" s="121" t="s">
        <v>165</v>
      </c>
      <c r="O3" s="121" t="s">
        <v>165</v>
      </c>
      <c r="P3" s="121" t="s">
        <v>155</v>
      </c>
      <c r="Q3" s="121" t="s">
        <v>182</v>
      </c>
      <c r="R3" s="121"/>
      <c r="S3" s="121" t="s">
        <v>184</v>
      </c>
      <c r="T3" s="121" t="s">
        <v>184</v>
      </c>
      <c r="U3" s="121" t="s">
        <v>184</v>
      </c>
      <c r="V3" s="121" t="s">
        <v>152</v>
      </c>
      <c r="W3" s="12" t="s">
        <v>151</v>
      </c>
      <c r="X3" s="12" t="s">
        <v>151</v>
      </c>
      <c r="Y3" s="121" t="s">
        <v>163</v>
      </c>
      <c r="Z3" s="121" t="s">
        <v>164</v>
      </c>
      <c r="AA3" s="12" t="s">
        <v>149</v>
      </c>
      <c r="AB3" s="12" t="s">
        <v>150</v>
      </c>
    </row>
    <row r="4" spans="1:31" ht="21.75" customHeight="1" x14ac:dyDescent="0.2">
      <c r="A4" s="22"/>
      <c r="E4" s="46"/>
      <c r="F4" s="46"/>
      <c r="G4" s="46"/>
      <c r="H4" s="63" t="s">
        <v>124</v>
      </c>
      <c r="I4" s="63" t="s">
        <v>154</v>
      </c>
      <c r="J4" s="63" t="s">
        <v>154</v>
      </c>
      <c r="K4" s="63" t="s">
        <v>154</v>
      </c>
      <c r="L4" s="63" t="s">
        <v>154</v>
      </c>
      <c r="M4" s="63" t="s">
        <v>154</v>
      </c>
      <c r="N4" s="119" t="s">
        <v>166</v>
      </c>
      <c r="O4" s="119" t="s">
        <v>166</v>
      </c>
      <c r="P4" s="63" t="s">
        <v>156</v>
      </c>
      <c r="Q4" s="63" t="s">
        <v>183</v>
      </c>
      <c r="R4" s="63" t="s">
        <v>238</v>
      </c>
      <c r="S4" s="63" t="s">
        <v>185</v>
      </c>
      <c r="T4" s="63" t="s">
        <v>185</v>
      </c>
      <c r="U4" s="63" t="s">
        <v>185</v>
      </c>
      <c r="V4" s="63" t="s">
        <v>123</v>
      </c>
      <c r="W4" s="119" t="s">
        <v>145</v>
      </c>
      <c r="X4" s="119" t="s">
        <v>145</v>
      </c>
      <c r="Y4" s="119" t="s">
        <v>147</v>
      </c>
      <c r="Z4" s="119" t="s">
        <v>147</v>
      </c>
      <c r="AA4" s="26" t="s">
        <v>132</v>
      </c>
      <c r="AB4" s="119" t="s">
        <v>146</v>
      </c>
      <c r="AC4" s="119" t="s">
        <v>146</v>
      </c>
      <c r="AD4" s="119" t="s">
        <v>146</v>
      </c>
      <c r="AE4" s="12" t="s">
        <v>194</v>
      </c>
    </row>
    <row r="5" spans="1:31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S5" s="12" t="str">
        <f>EB_Exist!A9</f>
        <v>CO2SP</v>
      </c>
      <c r="T5" s="12" t="str">
        <f>EB_Exist!A10</f>
        <v>CF4</v>
      </c>
      <c r="U5" s="12" t="str">
        <f>EB_Exist!A11</f>
        <v>CF6</v>
      </c>
      <c r="V5" s="57"/>
      <c r="W5" s="12" t="s">
        <v>125</v>
      </c>
      <c r="X5" s="12" t="s">
        <v>125</v>
      </c>
      <c r="Y5" s="12" t="s">
        <v>125</v>
      </c>
      <c r="Z5" s="12" t="s">
        <v>125</v>
      </c>
      <c r="AA5" s="26" t="str">
        <f>F12</f>
        <v>IALM</v>
      </c>
      <c r="AB5" s="12" t="str">
        <f>E9</f>
        <v>INDGAS</v>
      </c>
      <c r="AC5" s="12" t="str">
        <f>E10</f>
        <v>INDOLP</v>
      </c>
      <c r="AD5" s="12" t="str">
        <f>E11</f>
        <v>INFELC</v>
      </c>
    </row>
    <row r="6" spans="1:31" ht="17.25" customHeight="1" x14ac:dyDescent="0.2">
      <c r="A6" s="22"/>
      <c r="H6" s="63" t="s">
        <v>125</v>
      </c>
      <c r="I6" s="63"/>
      <c r="J6" s="63"/>
      <c r="K6" s="63"/>
      <c r="L6" s="63"/>
      <c r="M6" s="63"/>
      <c r="S6" s="12" t="s">
        <v>125</v>
      </c>
      <c r="T6" s="12" t="s">
        <v>125</v>
      </c>
      <c r="U6" s="12" t="s">
        <v>125</v>
      </c>
      <c r="V6" s="57"/>
    </row>
    <row r="7" spans="1:31" ht="21.75" customHeight="1" x14ac:dyDescent="0.2">
      <c r="A7" s="22"/>
      <c r="B7" s="11" t="s">
        <v>56</v>
      </c>
      <c r="C7" s="11" t="s">
        <v>57</v>
      </c>
      <c r="D7" s="15" t="s">
        <v>93</v>
      </c>
      <c r="E7" s="126" t="s">
        <v>80</v>
      </c>
      <c r="F7" s="126" t="s">
        <v>81</v>
      </c>
      <c r="G7" s="15" t="s">
        <v>94</v>
      </c>
      <c r="H7" s="49"/>
      <c r="I7" s="49">
        <v>2012</v>
      </c>
      <c r="J7" s="49">
        <v>2027</v>
      </c>
      <c r="K7" s="49">
        <v>2028</v>
      </c>
      <c r="L7" s="49">
        <v>2040</v>
      </c>
      <c r="M7" s="49">
        <v>2050</v>
      </c>
      <c r="N7" s="49"/>
      <c r="O7" s="49">
        <v>0</v>
      </c>
      <c r="V7" s="61" t="s">
        <v>44</v>
      </c>
      <c r="W7" s="45">
        <v>0</v>
      </c>
      <c r="Y7" s="45">
        <v>0</v>
      </c>
      <c r="AA7" s="61" t="s">
        <v>44</v>
      </c>
      <c r="AE7" s="12" t="s">
        <v>44</v>
      </c>
    </row>
    <row r="8" spans="1:31" ht="11.25" customHeight="1" x14ac:dyDescent="0.2">
      <c r="A8" s="58" t="str">
        <f>Processes_BASE!A8</f>
        <v>* Conversion technologies</v>
      </c>
      <c r="B8" s="50"/>
      <c r="E8" s="128"/>
      <c r="F8" s="127"/>
      <c r="H8" s="122"/>
      <c r="I8" s="122"/>
      <c r="J8" s="122"/>
      <c r="K8" s="122"/>
      <c r="L8" s="122"/>
      <c r="M8" s="122"/>
      <c r="N8" s="122"/>
      <c r="O8" s="122"/>
    </row>
    <row r="9" spans="1:31" s="45" customFormat="1" ht="11.25" customHeight="1" x14ac:dyDescent="0.2">
      <c r="A9" s="12"/>
      <c r="B9" s="50" t="str">
        <f>Processes_BASE!B10</f>
        <v>IALPOT</v>
      </c>
      <c r="C9" s="50" t="str">
        <f>Processes_BASE!C10</f>
        <v>Aluminium smelters - potlines</v>
      </c>
      <c r="D9" s="50" t="str">
        <f>Processes_BASE!D10</f>
        <v>PJ,mt/a</v>
      </c>
      <c r="E9" s="128" t="str">
        <f>RES!D2</f>
        <v>INDGAS</v>
      </c>
      <c r="F9" s="128"/>
      <c r="H9" s="122"/>
      <c r="O9" s="122"/>
      <c r="P9" s="118"/>
      <c r="Q9" s="118"/>
      <c r="R9" s="118"/>
      <c r="W9" s="12"/>
      <c r="X9" s="12"/>
      <c r="Y9" s="12"/>
      <c r="Z9" s="12"/>
      <c r="AB9" s="123">
        <f>EB_Exist!K6</f>
        <v>2.2000000000000002</v>
      </c>
      <c r="AC9" s="12"/>
    </row>
    <row r="10" spans="1:31" s="45" customFormat="1" ht="11.25" customHeight="1" x14ac:dyDescent="0.2">
      <c r="A10" s="12"/>
      <c r="E10" s="128" t="str">
        <f>RES!E2</f>
        <v>INDOLP</v>
      </c>
      <c r="F10" s="128"/>
      <c r="H10" s="122"/>
      <c r="I10" s="122"/>
      <c r="J10" s="122"/>
      <c r="K10" s="122"/>
      <c r="L10" s="122"/>
      <c r="M10" s="122"/>
      <c r="N10" s="122"/>
      <c r="O10" s="122"/>
      <c r="P10" s="12"/>
      <c r="Q10" s="12"/>
      <c r="R10" s="12"/>
      <c r="S10" s="12"/>
      <c r="T10" s="12"/>
      <c r="U10" s="12"/>
      <c r="W10" s="12"/>
      <c r="X10" s="12"/>
      <c r="Y10" s="12"/>
      <c r="Z10" s="12"/>
      <c r="AC10" s="155">
        <f>EB_Exist!K7</f>
        <v>3.26</v>
      </c>
    </row>
    <row r="11" spans="1:31" s="45" customFormat="1" ht="11.25" customHeight="1" x14ac:dyDescent="0.2">
      <c r="A11" s="12"/>
      <c r="E11" s="127" t="str">
        <f>RES!F2</f>
        <v>INFELC</v>
      </c>
      <c r="H11" s="122"/>
      <c r="I11" s="122"/>
      <c r="J11" s="122"/>
      <c r="K11" s="122"/>
      <c r="L11" s="122"/>
      <c r="M11" s="122"/>
      <c r="N11" s="122"/>
      <c r="O11" s="122"/>
      <c r="P11" s="12"/>
      <c r="Q11" s="12"/>
      <c r="R11" s="12"/>
      <c r="S11" s="12"/>
      <c r="T11" s="12"/>
      <c r="U11" s="12"/>
      <c r="W11" s="12"/>
      <c r="X11" s="12"/>
      <c r="Y11" s="12"/>
      <c r="Z11" s="12"/>
      <c r="AD11" s="155">
        <f>EB_Exist!K8</f>
        <v>46.37</v>
      </c>
    </row>
    <row r="12" spans="1:31" s="45" customFormat="1" ht="11.25" customHeight="1" x14ac:dyDescent="0.25">
      <c r="A12" s="12"/>
      <c r="B12" s="12"/>
      <c r="C12" s="12"/>
      <c r="D12" s="12"/>
      <c r="E12" s="128"/>
      <c r="F12" s="127" t="str">
        <f>RES!O2</f>
        <v>IALM</v>
      </c>
      <c r="H12" s="122"/>
      <c r="I12" s="122">
        <f>EB_Exist!K4/0.9</f>
        <v>0.79999999999999993</v>
      </c>
      <c r="J12" s="122">
        <f>I12</f>
        <v>0.79999999999999993</v>
      </c>
      <c r="K12" s="122">
        <v>0</v>
      </c>
      <c r="L12" s="122"/>
      <c r="M12" s="122"/>
      <c r="N12" s="122"/>
      <c r="O12" s="129"/>
      <c r="P12" s="153">
        <f>2%*Q12</f>
        <v>457.5</v>
      </c>
      <c r="Q12" s="12">
        <f>'Aluminium Data'!D7</f>
        <v>22875</v>
      </c>
      <c r="R12" s="12">
        <v>6</v>
      </c>
      <c r="S12" s="118">
        <f>EB_Exist!F9</f>
        <v>1640.7688481217385</v>
      </c>
      <c r="T12" s="118">
        <f>EB_Exist!F10</f>
        <v>0.41016760505000449</v>
      </c>
      <c r="U12" s="118">
        <f>EB_Exist!F11</f>
        <v>4.1062898593307487E-2</v>
      </c>
      <c r="V12" s="12">
        <v>1</v>
      </c>
      <c r="W12" s="12"/>
      <c r="X12" s="12"/>
      <c r="Y12" s="12"/>
      <c r="Z12" s="12"/>
      <c r="AA12" s="45">
        <v>1</v>
      </c>
    </row>
    <row r="13" spans="1:31" s="45" customFormat="1" ht="11.25" customHeight="1" x14ac:dyDescent="0.25">
      <c r="A13" s="12"/>
      <c r="B13" s="50" t="str">
        <f>RES!M15</f>
        <v>IALPOTINERT</v>
      </c>
      <c r="C13" s="50" t="str">
        <f>RES!M12</f>
        <v>Aluminium smelters - potlines - inert anodes</v>
      </c>
      <c r="D13" s="50" t="str">
        <f>Processes_BASE!D11</f>
        <v>PJ,mt/a</v>
      </c>
      <c r="E13" s="128" t="str">
        <f>RES!D2</f>
        <v>INDGAS</v>
      </c>
      <c r="F13" s="127"/>
      <c r="H13" s="122"/>
      <c r="I13" s="122"/>
      <c r="J13" s="122"/>
      <c r="K13" s="122"/>
      <c r="L13" s="122"/>
      <c r="M13" s="122"/>
      <c r="N13" s="130"/>
      <c r="P13" s="12"/>
      <c r="Q13" s="12"/>
      <c r="R13" s="12"/>
      <c r="U13" s="12"/>
      <c r="V13" s="12"/>
      <c r="W13" s="12"/>
      <c r="X13" s="12"/>
      <c r="Y13" s="12"/>
      <c r="Z13" s="12"/>
      <c r="AB13" s="152">
        <f>'Aluminium Data'!O32</f>
        <v>2.2000000000000002</v>
      </c>
      <c r="AC13" s="152"/>
      <c r="AD13" s="152"/>
      <c r="AE13" s="45">
        <v>2035</v>
      </c>
    </row>
    <row r="14" spans="1:31" s="45" customFormat="1" ht="11.25" customHeight="1" x14ac:dyDescent="0.25">
      <c r="A14" s="12"/>
      <c r="B14" s="12"/>
      <c r="C14" s="12"/>
      <c r="D14" s="12"/>
      <c r="E14" s="128" t="str">
        <f>RES!E2</f>
        <v>INDOLP</v>
      </c>
      <c r="F14" s="127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T14" s="12"/>
      <c r="U14" s="12"/>
      <c r="W14" s="12"/>
      <c r="X14" s="12"/>
      <c r="Y14" s="12"/>
      <c r="Z14" s="12"/>
      <c r="AB14" s="152"/>
      <c r="AC14" s="152">
        <f>'Aluminium Data'!O33</f>
        <v>3.26</v>
      </c>
      <c r="AD14" s="152"/>
    </row>
    <row r="15" spans="1:31" s="45" customFormat="1" ht="11.25" customHeight="1" x14ac:dyDescent="0.25">
      <c r="A15" s="12"/>
      <c r="B15" s="12"/>
      <c r="C15" s="12"/>
      <c r="D15" s="12"/>
      <c r="E15" s="128" t="str">
        <f>RES!F2</f>
        <v>INFELC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52"/>
      <c r="AC15" s="152"/>
      <c r="AD15" s="152">
        <f>'Aluminium Data'!O34</f>
        <v>56.57</v>
      </c>
    </row>
    <row r="16" spans="1:31" ht="11.25" customHeight="1" x14ac:dyDescent="0.25">
      <c r="F16" s="128" t="str">
        <f>RES!O2</f>
        <v>IALM</v>
      </c>
      <c r="P16" s="153">
        <f>2%*Q16</f>
        <v>587.5</v>
      </c>
      <c r="Q16" s="153">
        <f>'Aluminium Data'!L28</f>
        <v>29375</v>
      </c>
      <c r="R16" s="153">
        <v>6</v>
      </c>
      <c r="S16" s="153">
        <v>0</v>
      </c>
      <c r="T16" s="153">
        <v>0</v>
      </c>
      <c r="U16" s="153">
        <v>0</v>
      </c>
      <c r="V16" s="12">
        <v>1</v>
      </c>
      <c r="AA16" s="45">
        <v>1</v>
      </c>
    </row>
    <row r="17" spans="2:30" ht="11.25" customHeight="1" x14ac:dyDescent="0.2">
      <c r="B17" s="50"/>
      <c r="C17" s="50"/>
      <c r="D17" s="50"/>
      <c r="E17" s="128"/>
      <c r="F17" s="127"/>
      <c r="H17" s="122"/>
      <c r="I17" s="122"/>
      <c r="J17" s="122"/>
      <c r="K17" s="122"/>
      <c r="L17" s="122"/>
      <c r="M17" s="122"/>
      <c r="N17" s="130"/>
      <c r="O17" s="45"/>
      <c r="AA17" s="45"/>
      <c r="AB17" s="45"/>
      <c r="AC17" s="45"/>
      <c r="AD17" s="45"/>
    </row>
    <row r="18" spans="2:30" ht="11.25" customHeight="1" x14ac:dyDescent="0.2">
      <c r="E18" s="128"/>
      <c r="F18" s="127"/>
      <c r="V18" s="45"/>
      <c r="AA18" s="45"/>
      <c r="AB18" s="45"/>
      <c r="AC18" s="45"/>
      <c r="AD18" s="45"/>
    </row>
    <row r="19" spans="2:30" ht="11.25" customHeight="1" x14ac:dyDescent="0.2">
      <c r="E19" s="128"/>
      <c r="F19" s="45"/>
      <c r="AA19" s="45"/>
      <c r="AB19" s="45"/>
      <c r="AC19" s="45"/>
      <c r="AD19" s="45"/>
    </row>
    <row r="20" spans="2:30" ht="11.25" customHeight="1" x14ac:dyDescent="0.2">
      <c r="E20" s="128"/>
      <c r="F20" s="62"/>
      <c r="AA20" s="45"/>
      <c r="AB20" s="45"/>
      <c r="AC20" s="45"/>
      <c r="AD20" s="45"/>
    </row>
    <row r="21" spans="2:30" ht="11.25" customHeight="1" x14ac:dyDescent="0.2">
      <c r="F21" s="128"/>
      <c r="AA21" s="45"/>
      <c r="AB21" s="45"/>
      <c r="AC21" s="45"/>
      <c r="AD21" s="45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D6B6-3145-4425-82DB-7C350E1F21E9}">
  <dimension ref="B6:M26"/>
  <sheetViews>
    <sheetView workbookViewId="0">
      <selection activeCell="J20" sqref="J20"/>
    </sheetView>
  </sheetViews>
  <sheetFormatPr defaultRowHeight="15" x14ac:dyDescent="0.25"/>
  <cols>
    <col min="1" max="2" width="9.140625" style="167"/>
    <col min="3" max="3" width="18.85546875" style="167" customWidth="1"/>
    <col min="4" max="4" width="12" style="167" bestFit="1" customWidth="1"/>
    <col min="5" max="5" width="10.28515625" style="167" bestFit="1" customWidth="1"/>
    <col min="6" max="6" width="15" style="167" customWidth="1"/>
    <col min="7" max="8" width="9.140625" style="167"/>
    <col min="9" max="9" width="12.28515625" style="167" customWidth="1"/>
    <col min="10" max="10" width="11.28515625" style="167" bestFit="1" customWidth="1"/>
    <col min="11" max="11" width="16.42578125" style="167" customWidth="1"/>
    <col min="12" max="12" width="15" style="167" bestFit="1" customWidth="1"/>
    <col min="13" max="13" width="11.42578125" style="167" bestFit="1" customWidth="1"/>
    <col min="14" max="16384" width="9.140625" style="167"/>
  </cols>
  <sheetData>
    <row r="6" spans="2:13" x14ac:dyDescent="0.25">
      <c r="B6" s="167" t="s">
        <v>284</v>
      </c>
    </row>
    <row r="7" spans="2:13" x14ac:dyDescent="0.25">
      <c r="C7" s="167" t="s">
        <v>285</v>
      </c>
    </row>
    <row r="8" spans="2:13" x14ac:dyDescent="0.25">
      <c r="D8" s="167" t="s">
        <v>241</v>
      </c>
      <c r="E8" s="167" t="s">
        <v>286</v>
      </c>
      <c r="F8" s="167" t="s">
        <v>227</v>
      </c>
      <c r="H8" s="167" t="s">
        <v>287</v>
      </c>
    </row>
    <row r="9" spans="2:13" ht="15.75" x14ac:dyDescent="0.25">
      <c r="C9" s="189" t="s">
        <v>288</v>
      </c>
      <c r="D9" s="190">
        <f>'DOE project'!C53</f>
        <v>724271</v>
      </c>
      <c r="E9" s="190">
        <f>'DOE project'!C69</f>
        <v>81729</v>
      </c>
      <c r="F9" s="191">
        <f>SUM(D9:E9)</f>
        <v>806000</v>
      </c>
      <c r="H9" s="167" t="s">
        <v>289</v>
      </c>
      <c r="K9" s="167" t="s">
        <v>225</v>
      </c>
      <c r="L9" s="167" t="s">
        <v>290</v>
      </c>
    </row>
    <row r="10" spans="2:13" ht="15.75" x14ac:dyDescent="0.25">
      <c r="C10" s="192" t="s">
        <v>291</v>
      </c>
      <c r="D10" s="190">
        <f>'DOE project'!J58</f>
        <v>37024362.564384595</v>
      </c>
      <c r="E10" s="190">
        <f>'DOE project'!J74</f>
        <v>348224.44478449132</v>
      </c>
      <c r="F10" s="190">
        <f>SUM(D10:E10)</f>
        <v>37372587.009169087</v>
      </c>
      <c r="H10" s="193">
        <f>F10/$F$9</f>
        <v>46.36797395678547</v>
      </c>
      <c r="K10" s="194">
        <f>H10</f>
        <v>46.36797395678547</v>
      </c>
      <c r="L10" s="195">
        <f>K10/$K$16</f>
        <v>0.89464464809287403</v>
      </c>
      <c r="M10" s="183"/>
    </row>
    <row r="11" spans="2:13" ht="15.75" x14ac:dyDescent="0.25">
      <c r="C11" s="192" t="s">
        <v>292</v>
      </c>
      <c r="D11" s="190">
        <f>'DOE project'!J59</f>
        <v>1652197.7803461917</v>
      </c>
      <c r="E11" s="190">
        <f>'DOE project'!J75</f>
        <v>0</v>
      </c>
      <c r="F11" s="190">
        <f t="shared" ref="F11:F15" si="0">SUM(D11:E11)</f>
        <v>1652197.7803461917</v>
      </c>
      <c r="H11" s="193">
        <f t="shared" ref="H11:H15" si="1">F11/$F$9</f>
        <v>2.0498731766081781</v>
      </c>
      <c r="I11" s="193">
        <f>SUM(H11:H12)</f>
        <v>2.2003907613985811</v>
      </c>
      <c r="K11" s="196">
        <f>I11</f>
        <v>2.2003907613985811</v>
      </c>
      <c r="L11" s="195">
        <f t="shared" ref="L11:L13" si="2">K11/$K$16</f>
        <v>4.2455333938742547E-2</v>
      </c>
      <c r="M11" s="183"/>
    </row>
    <row r="12" spans="2:13" ht="15.75" x14ac:dyDescent="0.25">
      <c r="C12" s="192" t="s">
        <v>293</v>
      </c>
      <c r="D12" s="190">
        <f>'DOE project'!J60</f>
        <v>95546.344448955235</v>
      </c>
      <c r="E12" s="190">
        <f>'DOE project'!J76</f>
        <v>25770.828892109672</v>
      </c>
      <c r="F12" s="190">
        <f t="shared" si="0"/>
        <v>121317.1733410649</v>
      </c>
      <c r="H12" s="193">
        <f t="shared" si="1"/>
        <v>0.15051758479040311</v>
      </c>
      <c r="L12" s="195"/>
    </row>
    <row r="13" spans="2:13" ht="15.75" x14ac:dyDescent="0.25">
      <c r="C13" s="192" t="s">
        <v>222</v>
      </c>
      <c r="D13" s="190">
        <f>'DOE project'!J61</f>
        <v>1464070.4036241656</v>
      </c>
      <c r="E13" s="190">
        <f>'DOE project'!J77</f>
        <v>1163493.9588440037</v>
      </c>
      <c r="F13" s="190">
        <f t="shared" si="0"/>
        <v>2627564.3624681691</v>
      </c>
      <c r="H13" s="193">
        <f t="shared" si="1"/>
        <v>3.260005412491525</v>
      </c>
      <c r="K13" s="193">
        <f>H13</f>
        <v>3.260005412491525</v>
      </c>
      <c r="L13" s="195">
        <f t="shared" si="2"/>
        <v>6.2900017968383515E-2</v>
      </c>
    </row>
    <row r="14" spans="2:13" ht="15.75" x14ac:dyDescent="0.25">
      <c r="C14" s="192" t="s">
        <v>294</v>
      </c>
      <c r="D14" s="190">
        <f>'DOE project'!J62</f>
        <v>61703.499560287702</v>
      </c>
      <c r="E14" s="190">
        <f>'DOE project'!J78</f>
        <v>4387.9118539734109</v>
      </c>
      <c r="F14" s="190">
        <f t="shared" si="0"/>
        <v>66091.411414261107</v>
      </c>
      <c r="H14" s="193">
        <f t="shared" si="1"/>
        <v>8.1999269744740824E-2</v>
      </c>
    </row>
    <row r="15" spans="2:13" ht="15.75" x14ac:dyDescent="0.25">
      <c r="C15" s="192" t="s">
        <v>295</v>
      </c>
      <c r="D15" s="190">
        <f>'DOE project'!J63</f>
        <v>290726.58302189002</v>
      </c>
      <c r="E15" s="190">
        <f>'DOE project'!J79</f>
        <v>272260.60331019753</v>
      </c>
      <c r="F15" s="190">
        <f t="shared" si="0"/>
        <v>562987.1863320875</v>
      </c>
      <c r="H15" s="193">
        <f t="shared" si="1"/>
        <v>0.69849526840209364</v>
      </c>
    </row>
    <row r="16" spans="2:13" ht="15.75" x14ac:dyDescent="0.25">
      <c r="C16" s="197" t="s">
        <v>296</v>
      </c>
      <c r="D16" s="190">
        <f>SUM(D10:D15)</f>
        <v>40588607.175386079</v>
      </c>
      <c r="E16" s="190">
        <f t="shared" ref="E16:F16" si="3">SUM(E10:E15)</f>
        <v>1814137.7476847759</v>
      </c>
      <c r="F16" s="190">
        <f t="shared" si="3"/>
        <v>42402744.923070855</v>
      </c>
      <c r="H16" s="193">
        <f>SUM(H10:H15)</f>
        <v>52.608864668822406</v>
      </c>
      <c r="K16" s="198">
        <f>SUM(K10:K15)</f>
        <v>51.828370130675573</v>
      </c>
    </row>
    <row r="17" spans="3:8" ht="15.75" x14ac:dyDescent="0.25">
      <c r="C17" s="197" t="s">
        <v>289</v>
      </c>
      <c r="D17" s="190">
        <f>D16/D9</f>
        <v>56.04063558445123</v>
      </c>
      <c r="E17" s="190">
        <f t="shared" ref="E17:F17" si="4">E16/E9</f>
        <v>22.196989412384536</v>
      </c>
      <c r="F17" s="190">
        <f t="shared" si="4"/>
        <v>52.608864668822399</v>
      </c>
      <c r="H17" s="193"/>
    </row>
    <row r="25" spans="3:8" x14ac:dyDescent="0.25">
      <c r="E25" s="182"/>
    </row>
    <row r="26" spans="3:8" x14ac:dyDescent="0.25">
      <c r="E26" s="1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1A6-4819-4F5E-AF5C-33E2E6037ADB}">
  <dimension ref="A1:M80"/>
  <sheetViews>
    <sheetView topLeftCell="A34" workbookViewId="0">
      <selection activeCell="F51" sqref="F51"/>
    </sheetView>
  </sheetViews>
  <sheetFormatPr defaultRowHeight="15" x14ac:dyDescent="0.25"/>
  <cols>
    <col min="1" max="1" width="9.140625" style="167"/>
    <col min="2" max="2" width="21.140625" style="167" customWidth="1"/>
    <col min="3" max="3" width="17.5703125" style="167" customWidth="1"/>
    <col min="4" max="4" width="19.28515625" style="167" customWidth="1"/>
    <col min="5" max="5" width="14.28515625" style="167" customWidth="1"/>
    <col min="6" max="6" width="14.85546875" style="167" customWidth="1"/>
    <col min="7" max="9" width="9.140625" style="167"/>
    <col min="10" max="10" width="14" style="167" customWidth="1"/>
    <col min="11" max="11" width="17.42578125" style="167" customWidth="1"/>
    <col min="12" max="12" width="13.5703125" style="167" customWidth="1"/>
    <col min="13" max="13" width="14.5703125" style="167" customWidth="1"/>
    <col min="14" max="16384" width="9.140625" style="167"/>
  </cols>
  <sheetData>
    <row r="1" spans="2:12" x14ac:dyDescent="0.25">
      <c r="B1" s="167" t="s">
        <v>297</v>
      </c>
    </row>
    <row r="3" spans="2:12" x14ac:dyDescent="0.25">
      <c r="L3" s="167" t="s">
        <v>298</v>
      </c>
    </row>
    <row r="4" spans="2:12" x14ac:dyDescent="0.25">
      <c r="B4" s="167" t="s">
        <v>240</v>
      </c>
    </row>
    <row r="5" spans="2:12" x14ac:dyDescent="0.25">
      <c r="E5" s="167">
        <v>2017</v>
      </c>
    </row>
    <row r="6" spans="2:12" x14ac:dyDescent="0.25">
      <c r="C6" s="167" t="s">
        <v>299</v>
      </c>
      <c r="D6" s="167" t="s">
        <v>300</v>
      </c>
      <c r="E6" s="167">
        <v>714</v>
      </c>
    </row>
    <row r="11" spans="2:12" x14ac:dyDescent="0.25">
      <c r="C11" s="168" t="s">
        <v>301</v>
      </c>
      <c r="D11" s="168" t="s">
        <v>302</v>
      </c>
      <c r="E11" s="168" t="s">
        <v>303</v>
      </c>
    </row>
    <row r="12" spans="2:12" x14ac:dyDescent="0.25">
      <c r="C12" s="167" t="s">
        <v>304</v>
      </c>
      <c r="D12" s="167" t="s">
        <v>305</v>
      </c>
      <c r="E12" s="167" t="s">
        <v>306</v>
      </c>
    </row>
    <row r="13" spans="2:12" x14ac:dyDescent="0.25">
      <c r="C13" s="167" t="s">
        <v>307</v>
      </c>
      <c r="D13" s="167" t="s">
        <v>299</v>
      </c>
      <c r="E13" s="167" t="s">
        <v>308</v>
      </c>
    </row>
    <row r="26" spans="11:13" ht="15.75" thickBot="1" x14ac:dyDescent="0.3">
      <c r="K26" s="167" t="s">
        <v>298</v>
      </c>
    </row>
    <row r="27" spans="11:13" ht="15.75" thickBot="1" x14ac:dyDescent="0.3">
      <c r="K27" s="199" t="s">
        <v>309</v>
      </c>
      <c r="L27" s="200" t="s">
        <v>310</v>
      </c>
      <c r="M27" s="200" t="s">
        <v>311</v>
      </c>
    </row>
    <row r="28" spans="11:13" ht="15.75" thickBot="1" x14ac:dyDescent="0.3">
      <c r="K28" s="201" t="s">
        <v>291</v>
      </c>
      <c r="L28" s="202" t="s">
        <v>312</v>
      </c>
      <c r="M28" s="202" t="s">
        <v>313</v>
      </c>
    </row>
    <row r="29" spans="11:13" ht="15.75" thickBot="1" x14ac:dyDescent="0.3">
      <c r="K29" s="201" t="s">
        <v>314</v>
      </c>
      <c r="L29" s="202" t="s">
        <v>315</v>
      </c>
      <c r="M29" s="202" t="s">
        <v>316</v>
      </c>
    </row>
    <row r="30" spans="11:13" ht="15.75" thickBot="1" x14ac:dyDescent="0.3">
      <c r="K30" s="201" t="s">
        <v>222</v>
      </c>
      <c r="L30" s="202" t="s">
        <v>317</v>
      </c>
      <c r="M30" s="202" t="s">
        <v>318</v>
      </c>
    </row>
    <row r="31" spans="11:13" ht="26.25" thickBot="1" x14ac:dyDescent="0.3">
      <c r="K31" s="201" t="s">
        <v>319</v>
      </c>
      <c r="L31" s="202" t="s">
        <v>320</v>
      </c>
      <c r="M31" s="202" t="s">
        <v>321</v>
      </c>
    </row>
    <row r="32" spans="11:13" ht="26.25" thickBot="1" x14ac:dyDescent="0.3">
      <c r="K32" s="201" t="s">
        <v>322</v>
      </c>
      <c r="L32" s="202" t="s">
        <v>323</v>
      </c>
      <c r="M32" s="202" t="s">
        <v>324</v>
      </c>
    </row>
    <row r="33" spans="9:13" ht="15.75" thickBot="1" x14ac:dyDescent="0.3">
      <c r="K33" s="201" t="s">
        <v>294</v>
      </c>
      <c r="L33" s="202" t="s">
        <v>325</v>
      </c>
      <c r="M33" s="202" t="s">
        <v>326</v>
      </c>
    </row>
    <row r="37" spans="9:13" ht="47.25" x14ac:dyDescent="0.25">
      <c r="I37" s="203"/>
      <c r="J37" s="204" t="s">
        <v>327</v>
      </c>
      <c r="K37" s="205" t="s">
        <v>328</v>
      </c>
      <c r="L37" s="206" t="s">
        <v>329</v>
      </c>
    </row>
    <row r="38" spans="9:13" ht="15.75" x14ac:dyDescent="0.25">
      <c r="I38" s="207" t="s">
        <v>241</v>
      </c>
      <c r="J38" s="208">
        <v>724271</v>
      </c>
      <c r="K38" s="209">
        <v>40588607.175386079</v>
      </c>
      <c r="L38" s="210">
        <v>56.04063558445123</v>
      </c>
    </row>
    <row r="39" spans="9:13" ht="15.75" x14ac:dyDescent="0.25">
      <c r="I39" s="207" t="s">
        <v>286</v>
      </c>
      <c r="J39" s="208">
        <v>81729</v>
      </c>
      <c r="K39" s="209">
        <v>1814137.7476847756</v>
      </c>
      <c r="L39" s="210">
        <v>22.196989412384536</v>
      </c>
    </row>
    <row r="40" spans="9:13" ht="15.75" x14ac:dyDescent="0.25">
      <c r="I40" s="207" t="s">
        <v>227</v>
      </c>
      <c r="J40" s="208">
        <v>806000</v>
      </c>
      <c r="K40" s="209">
        <v>42402744.923070855</v>
      </c>
      <c r="L40" s="210">
        <v>52.608864668822399</v>
      </c>
    </row>
    <row r="43" spans="9:13" ht="15.75" x14ac:dyDescent="0.25">
      <c r="I43" s="211" t="s">
        <v>330</v>
      </c>
      <c r="J43" s="212" t="s">
        <v>331</v>
      </c>
    </row>
    <row r="44" spans="9:13" ht="15.75" x14ac:dyDescent="0.25">
      <c r="I44" s="213" t="s">
        <v>332</v>
      </c>
      <c r="J44" s="214" t="s">
        <v>333</v>
      </c>
    </row>
    <row r="45" spans="9:13" ht="15.75" x14ac:dyDescent="0.25">
      <c r="I45" s="211" t="s">
        <v>334</v>
      </c>
      <c r="J45" s="212" t="s">
        <v>335</v>
      </c>
    </row>
    <row r="46" spans="9:13" ht="15.75" x14ac:dyDescent="0.25">
      <c r="I46" s="213" t="s">
        <v>336</v>
      </c>
      <c r="J46" s="214" t="s">
        <v>337</v>
      </c>
    </row>
    <row r="47" spans="9:13" ht="15.75" x14ac:dyDescent="0.25">
      <c r="I47" s="211" t="s">
        <v>338</v>
      </c>
      <c r="J47" s="212" t="s">
        <v>339</v>
      </c>
    </row>
    <row r="48" spans="9:13" ht="15.75" x14ac:dyDescent="0.25">
      <c r="I48" s="213" t="s">
        <v>340</v>
      </c>
      <c r="J48" s="214" t="s">
        <v>341</v>
      </c>
    </row>
    <row r="52" spans="1:10" ht="18.75" x14ac:dyDescent="0.3">
      <c r="A52" s="215" t="s">
        <v>342</v>
      </c>
      <c r="B52" s="216"/>
      <c r="C52" s="216"/>
      <c r="D52" s="216"/>
      <c r="E52" s="216"/>
      <c r="F52" s="216"/>
      <c r="G52" s="216"/>
      <c r="H52" s="216"/>
      <c r="I52" s="216"/>
      <c r="J52" s="216"/>
    </row>
    <row r="53" spans="1:10" ht="15.75" x14ac:dyDescent="0.25">
      <c r="A53" s="216"/>
      <c r="B53" s="216" t="s">
        <v>343</v>
      </c>
      <c r="C53" s="217">
        <v>724271</v>
      </c>
      <c r="D53" s="216"/>
      <c r="E53" s="216"/>
      <c r="F53" s="216"/>
      <c r="G53" s="216"/>
      <c r="H53" s="216"/>
      <c r="I53" s="216"/>
      <c r="J53" s="216"/>
    </row>
    <row r="54" spans="1:10" ht="15.75" x14ac:dyDescent="0.25">
      <c r="A54" s="216"/>
      <c r="B54" s="216"/>
      <c r="C54" s="216"/>
      <c r="D54" s="216"/>
      <c r="E54" s="216"/>
      <c r="F54" s="216"/>
      <c r="G54" s="216"/>
      <c r="H54" s="216"/>
      <c r="I54" s="216"/>
      <c r="J54" s="216"/>
    </row>
    <row r="55" spans="1:10" ht="15.75" x14ac:dyDescent="0.25">
      <c r="A55" s="218" t="s">
        <v>227</v>
      </c>
      <c r="B55" s="219"/>
      <c r="C55" s="216"/>
      <c r="D55" s="216"/>
      <c r="E55" s="216"/>
      <c r="F55" s="216"/>
      <c r="G55" s="216"/>
      <c r="H55" s="216"/>
      <c r="I55" s="216"/>
      <c r="J55" s="216"/>
    </row>
    <row r="56" spans="1:10" ht="15.75" x14ac:dyDescent="0.25">
      <c r="A56" s="219"/>
      <c r="B56" s="218" t="s">
        <v>344</v>
      </c>
      <c r="C56" s="216"/>
      <c r="D56" s="216"/>
      <c r="E56" s="216"/>
      <c r="F56" s="216"/>
      <c r="G56" s="216"/>
      <c r="H56" s="216"/>
      <c r="I56" s="216"/>
      <c r="J56" s="216"/>
    </row>
    <row r="57" spans="1:10" ht="15.75" x14ac:dyDescent="0.25">
      <c r="A57" s="216"/>
      <c r="B57" s="220"/>
      <c r="C57" s="220" t="s">
        <v>345</v>
      </c>
      <c r="D57" s="220" t="s">
        <v>346</v>
      </c>
      <c r="E57" s="220" t="s">
        <v>347</v>
      </c>
      <c r="F57" s="220" t="s">
        <v>348</v>
      </c>
      <c r="G57" s="220" t="s">
        <v>349</v>
      </c>
      <c r="H57" s="220" t="s">
        <v>350</v>
      </c>
      <c r="I57" s="220" t="s">
        <v>351</v>
      </c>
      <c r="J57" s="221" t="s">
        <v>227</v>
      </c>
    </row>
    <row r="58" spans="1:10" ht="15.75" x14ac:dyDescent="0.25">
      <c r="A58" s="216"/>
      <c r="B58" s="192" t="s">
        <v>291</v>
      </c>
      <c r="C58" s="222">
        <v>17143839.951220233</v>
      </c>
      <c r="D58" s="222">
        <v>364940.03444977355</v>
      </c>
      <c r="E58" s="222">
        <v>17056354.34756187</v>
      </c>
      <c r="F58" s="222">
        <v>2135330.2822517208</v>
      </c>
      <c r="G58" s="222">
        <v>64156.60834079417</v>
      </c>
      <c r="H58" s="222">
        <v>193067.82527751397</v>
      </c>
      <c r="I58" s="222">
        <v>66673.515282684646</v>
      </c>
      <c r="J58" s="223">
        <v>37024362.564384595</v>
      </c>
    </row>
    <row r="59" spans="1:10" ht="15.75" x14ac:dyDescent="0.25">
      <c r="A59" s="216"/>
      <c r="B59" s="192" t="s">
        <v>292</v>
      </c>
      <c r="C59" s="222">
        <v>1652197.7803461917</v>
      </c>
      <c r="D59" s="222">
        <v>0</v>
      </c>
      <c r="E59" s="222">
        <v>0</v>
      </c>
      <c r="F59" s="222">
        <v>0</v>
      </c>
      <c r="G59" s="222">
        <v>0</v>
      </c>
      <c r="H59" s="222">
        <v>0</v>
      </c>
      <c r="I59" s="222">
        <v>0</v>
      </c>
      <c r="J59" s="223">
        <v>1652197.7803461917</v>
      </c>
    </row>
    <row r="60" spans="1:10" ht="15.75" x14ac:dyDescent="0.25">
      <c r="A60" s="216"/>
      <c r="B60" s="192" t="s">
        <v>293</v>
      </c>
      <c r="C60" s="222">
        <v>95546.344448955235</v>
      </c>
      <c r="D60" s="222">
        <v>0</v>
      </c>
      <c r="E60" s="222">
        <v>0</v>
      </c>
      <c r="F60" s="222">
        <v>0</v>
      </c>
      <c r="G60" s="222">
        <v>0</v>
      </c>
      <c r="H60" s="222">
        <v>0</v>
      </c>
      <c r="I60" s="222">
        <v>0</v>
      </c>
      <c r="J60" s="223">
        <v>95546.344448955235</v>
      </c>
    </row>
    <row r="61" spans="1:10" ht="15.75" x14ac:dyDescent="0.25">
      <c r="A61" s="216"/>
      <c r="B61" s="192" t="s">
        <v>222</v>
      </c>
      <c r="C61" s="222">
        <v>1464070.4036241656</v>
      </c>
      <c r="D61" s="222">
        <v>0</v>
      </c>
      <c r="E61" s="222">
        <v>0</v>
      </c>
      <c r="F61" s="222">
        <v>0</v>
      </c>
      <c r="G61" s="222">
        <v>0</v>
      </c>
      <c r="H61" s="222">
        <v>0</v>
      </c>
      <c r="I61" s="222">
        <v>0</v>
      </c>
      <c r="J61" s="223">
        <v>1464070.4036241656</v>
      </c>
    </row>
    <row r="62" spans="1:10" ht="15.75" x14ac:dyDescent="0.25">
      <c r="A62" s="216"/>
      <c r="B62" s="192" t="s">
        <v>294</v>
      </c>
      <c r="C62" s="222">
        <v>0</v>
      </c>
      <c r="D62" s="222">
        <v>0</v>
      </c>
      <c r="E62" s="222">
        <v>0</v>
      </c>
      <c r="F62" s="222">
        <v>155.11945392491467</v>
      </c>
      <c r="G62" s="222">
        <v>8134.1764202966697</v>
      </c>
      <c r="H62" s="222">
        <v>0</v>
      </c>
      <c r="I62" s="222">
        <v>53414.203686066117</v>
      </c>
      <c r="J62" s="223">
        <v>61703.499560287702</v>
      </c>
    </row>
    <row r="63" spans="1:10" ht="15.75" x14ac:dyDescent="0.25">
      <c r="A63" s="216"/>
      <c r="B63" s="192" t="s">
        <v>295</v>
      </c>
      <c r="C63" s="222">
        <v>290726.58302189002</v>
      </c>
      <c r="D63" s="222">
        <v>0</v>
      </c>
      <c r="E63" s="222">
        <v>0</v>
      </c>
      <c r="F63" s="222">
        <v>0</v>
      </c>
      <c r="G63" s="222">
        <v>0</v>
      </c>
      <c r="H63" s="222">
        <v>0</v>
      </c>
      <c r="I63" s="222">
        <v>0</v>
      </c>
      <c r="J63" s="223">
        <v>290726.58302189002</v>
      </c>
    </row>
    <row r="64" spans="1:10" ht="15.75" x14ac:dyDescent="0.25">
      <c r="A64" s="216"/>
      <c r="B64" s="221" t="s">
        <v>227</v>
      </c>
      <c r="C64" s="223">
        <v>20646381.062661435</v>
      </c>
      <c r="D64" s="223">
        <v>364940.03444977355</v>
      </c>
      <c r="E64" s="223">
        <v>17056354.34756187</v>
      </c>
      <c r="F64" s="223">
        <v>2135485.4017056455</v>
      </c>
      <c r="G64" s="223">
        <v>72290.784761090836</v>
      </c>
      <c r="H64" s="223">
        <v>193067.82527751397</v>
      </c>
      <c r="I64" s="223">
        <v>120087.71896875076</v>
      </c>
      <c r="J64" s="224">
        <v>40588607.175386079</v>
      </c>
    </row>
    <row r="65" spans="1:10" ht="15.75" x14ac:dyDescent="0.25">
      <c r="A65" s="216"/>
      <c r="B65" s="216"/>
      <c r="C65" s="216"/>
      <c r="D65" s="216"/>
      <c r="E65" s="216"/>
      <c r="F65" s="216"/>
      <c r="G65" s="216"/>
      <c r="H65" s="216"/>
      <c r="I65" s="216"/>
      <c r="J65" s="216"/>
    </row>
    <row r="66" spans="1:10" ht="15.75" x14ac:dyDescent="0.25">
      <c r="A66" s="216"/>
      <c r="B66" s="216"/>
      <c r="C66" s="216"/>
      <c r="D66" s="216"/>
      <c r="E66" s="216"/>
      <c r="F66" s="216"/>
      <c r="G66" s="216"/>
      <c r="H66" s="216"/>
      <c r="I66" s="216"/>
      <c r="J66" s="216"/>
    </row>
    <row r="67" spans="1:10" ht="15.75" x14ac:dyDescent="0.25">
      <c r="A67" s="216"/>
      <c r="B67" s="216"/>
      <c r="C67" s="216"/>
      <c r="D67" s="216"/>
      <c r="E67" s="216"/>
      <c r="F67" s="216"/>
      <c r="G67" s="216"/>
      <c r="H67" s="216"/>
      <c r="I67" s="216"/>
      <c r="J67" s="216"/>
    </row>
    <row r="68" spans="1:10" ht="18.75" x14ac:dyDescent="0.3">
      <c r="A68" s="215" t="s">
        <v>352</v>
      </c>
      <c r="B68" s="216"/>
      <c r="C68" s="216"/>
      <c r="D68" s="216"/>
      <c r="E68" s="216"/>
      <c r="F68" s="216"/>
      <c r="G68" s="216"/>
      <c r="H68" s="216"/>
      <c r="I68" s="216"/>
      <c r="J68" s="216"/>
    </row>
    <row r="69" spans="1:10" ht="15.75" x14ac:dyDescent="0.25">
      <c r="A69" s="216"/>
      <c r="B69" s="216" t="s">
        <v>343</v>
      </c>
      <c r="C69" s="217">
        <v>81729</v>
      </c>
      <c r="D69" s="216"/>
      <c r="E69" s="216"/>
      <c r="F69" s="216"/>
      <c r="G69" s="216"/>
      <c r="H69" s="216"/>
      <c r="I69" s="216"/>
      <c r="J69" s="216"/>
    </row>
    <row r="70" spans="1:10" ht="15.75" x14ac:dyDescent="0.25">
      <c r="A70" s="216"/>
      <c r="B70" s="216"/>
      <c r="C70" s="216"/>
      <c r="D70" s="216"/>
      <c r="E70" s="216"/>
      <c r="F70" s="216"/>
      <c r="G70" s="216"/>
      <c r="H70" s="216"/>
      <c r="I70" s="216"/>
      <c r="J70" s="216"/>
    </row>
    <row r="71" spans="1:10" ht="15.75" x14ac:dyDescent="0.25">
      <c r="A71" s="218" t="s">
        <v>227</v>
      </c>
      <c r="B71" s="219"/>
      <c r="C71" s="216"/>
      <c r="D71" s="216"/>
      <c r="E71" s="216"/>
      <c r="F71" s="216"/>
      <c r="G71" s="216"/>
      <c r="H71" s="216"/>
      <c r="I71" s="216"/>
      <c r="J71" s="216"/>
    </row>
    <row r="72" spans="1:10" ht="15.75" x14ac:dyDescent="0.25">
      <c r="A72" s="219"/>
      <c r="B72" s="218" t="s">
        <v>344</v>
      </c>
      <c r="C72" s="216"/>
      <c r="D72" s="216"/>
      <c r="E72" s="216"/>
      <c r="F72" s="216"/>
      <c r="G72" s="216"/>
      <c r="H72" s="216"/>
      <c r="I72" s="216"/>
      <c r="J72" s="216"/>
    </row>
    <row r="73" spans="1:10" ht="15.75" x14ac:dyDescent="0.25">
      <c r="A73" s="216"/>
      <c r="B73" s="220"/>
      <c r="C73" s="220" t="s">
        <v>345</v>
      </c>
      <c r="D73" s="220" t="s">
        <v>346</v>
      </c>
      <c r="E73" s="220" t="s">
        <v>347</v>
      </c>
      <c r="F73" s="220" t="s">
        <v>348</v>
      </c>
      <c r="G73" s="220" t="s">
        <v>349</v>
      </c>
      <c r="H73" s="220" t="s">
        <v>350</v>
      </c>
      <c r="I73" s="220" t="s">
        <v>351</v>
      </c>
      <c r="J73" s="221" t="s">
        <v>227</v>
      </c>
    </row>
    <row r="74" spans="1:10" ht="15.75" x14ac:dyDescent="0.25">
      <c r="A74" s="216"/>
      <c r="B74" s="192" t="s">
        <v>291</v>
      </c>
      <c r="C74" s="222">
        <v>174925.65819147657</v>
      </c>
      <c r="D74" s="222">
        <v>3219.3563290309239</v>
      </c>
      <c r="E74" s="222">
        <v>9023.1371469071946</v>
      </c>
      <c r="F74" s="222">
        <v>102724.67932761092</v>
      </c>
      <c r="G74" s="222">
        <v>18336.54241881632</v>
      </c>
      <c r="H74" s="222">
        <v>20409.03368115189</v>
      </c>
      <c r="I74" s="222">
        <v>19586.037689497549</v>
      </c>
      <c r="J74" s="223">
        <v>348224.44478449132</v>
      </c>
    </row>
    <row r="75" spans="1:10" ht="15.75" x14ac:dyDescent="0.25">
      <c r="A75" s="216"/>
      <c r="B75" s="192" t="s">
        <v>292</v>
      </c>
      <c r="C75" s="222">
        <v>0</v>
      </c>
      <c r="D75" s="222">
        <v>0</v>
      </c>
      <c r="E75" s="222">
        <v>0</v>
      </c>
      <c r="F75" s="222">
        <v>0</v>
      </c>
      <c r="G75" s="222">
        <v>0</v>
      </c>
      <c r="H75" s="222">
        <v>0</v>
      </c>
      <c r="I75" s="222">
        <v>0</v>
      </c>
      <c r="J75" s="223">
        <v>0</v>
      </c>
    </row>
    <row r="76" spans="1:10" ht="15.75" x14ac:dyDescent="0.25">
      <c r="A76" s="216"/>
      <c r="B76" s="192" t="s">
        <v>293</v>
      </c>
      <c r="C76" s="222">
        <v>25770.828892109672</v>
      </c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3">
        <v>25770.828892109672</v>
      </c>
    </row>
    <row r="77" spans="1:10" ht="15.75" x14ac:dyDescent="0.25">
      <c r="A77" s="216"/>
      <c r="B77" s="192" t="s">
        <v>222</v>
      </c>
      <c r="C77" s="222">
        <v>1163493.9588440037</v>
      </c>
      <c r="D77" s="222">
        <v>0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3">
        <v>1163493.9588440037</v>
      </c>
    </row>
    <row r="78" spans="1:10" ht="15.75" x14ac:dyDescent="0.25">
      <c r="A78" s="216"/>
      <c r="B78" s="192" t="s">
        <v>294</v>
      </c>
      <c r="C78" s="222">
        <v>0</v>
      </c>
      <c r="D78" s="222">
        <v>0</v>
      </c>
      <c r="E78" s="222">
        <v>0</v>
      </c>
      <c r="F78" s="222">
        <v>0</v>
      </c>
      <c r="G78" s="222">
        <v>2193.9559269867054</v>
      </c>
      <c r="H78" s="222">
        <v>0</v>
      </c>
      <c r="I78" s="222">
        <v>2193.9559269867054</v>
      </c>
      <c r="J78" s="223">
        <v>4387.9118539734109</v>
      </c>
    </row>
    <row r="79" spans="1:10" ht="15.75" x14ac:dyDescent="0.25">
      <c r="A79" s="216"/>
      <c r="B79" s="192" t="s">
        <v>295</v>
      </c>
      <c r="C79" s="222">
        <v>272260.60331019753</v>
      </c>
      <c r="D79" s="222">
        <v>0</v>
      </c>
      <c r="E79" s="222">
        <v>0</v>
      </c>
      <c r="F79" s="222">
        <v>0</v>
      </c>
      <c r="G79" s="222">
        <v>0</v>
      </c>
      <c r="H79" s="222">
        <v>0</v>
      </c>
      <c r="I79" s="222">
        <v>0</v>
      </c>
      <c r="J79" s="223">
        <v>272260.60331019753</v>
      </c>
    </row>
    <row r="80" spans="1:10" ht="15.75" x14ac:dyDescent="0.25">
      <c r="A80" s="216"/>
      <c r="B80" s="221" t="s">
        <v>227</v>
      </c>
      <c r="C80" s="223">
        <v>1636451.0492377875</v>
      </c>
      <c r="D80" s="223">
        <v>3219.3563290309239</v>
      </c>
      <c r="E80" s="223">
        <v>9023.1371469071946</v>
      </c>
      <c r="F80" s="223">
        <v>102724.67932761092</v>
      </c>
      <c r="G80" s="223">
        <v>20530.498345803026</v>
      </c>
      <c r="H80" s="223">
        <v>20409.03368115189</v>
      </c>
      <c r="I80" s="223">
        <v>21779.993616484255</v>
      </c>
      <c r="J80" s="224">
        <v>1814137.7476847759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4569-1FF1-4F05-8A16-5B9A1F3516D2}">
  <dimension ref="B2:T58"/>
  <sheetViews>
    <sheetView workbookViewId="0">
      <selection activeCell="F51" sqref="F51"/>
    </sheetView>
  </sheetViews>
  <sheetFormatPr defaultRowHeight="15" x14ac:dyDescent="0.25"/>
  <cols>
    <col min="1" max="2" width="9.140625" style="167"/>
    <col min="3" max="3" width="18.140625" style="167" customWidth="1"/>
    <col min="4" max="16384" width="9.140625" style="167"/>
  </cols>
  <sheetData>
    <row r="2" spans="2:2" x14ac:dyDescent="0.25">
      <c r="B2" s="167" t="s">
        <v>353</v>
      </c>
    </row>
    <row r="35" spans="2:20" x14ac:dyDescent="0.25">
      <c r="B35" s="167" t="s">
        <v>354</v>
      </c>
    </row>
    <row r="36" spans="2:20" x14ac:dyDescent="0.25">
      <c r="D36" s="167">
        <v>2015</v>
      </c>
    </row>
    <row r="37" spans="2:20" x14ac:dyDescent="0.25">
      <c r="C37" s="167" t="s">
        <v>250</v>
      </c>
      <c r="D37" s="167">
        <v>720</v>
      </c>
    </row>
    <row r="38" spans="2:20" x14ac:dyDescent="0.25">
      <c r="C38" s="167" t="s">
        <v>304</v>
      </c>
    </row>
    <row r="40" spans="2:20" x14ac:dyDescent="0.25">
      <c r="B40" s="167" t="s">
        <v>355</v>
      </c>
      <c r="T40" s="167">
        <v>2016</v>
      </c>
    </row>
    <row r="41" spans="2:20" x14ac:dyDescent="0.25">
      <c r="C41" s="167" t="s">
        <v>356</v>
      </c>
      <c r="D41" s="167">
        <v>289</v>
      </c>
      <c r="S41" s="167" t="s">
        <v>241</v>
      </c>
      <c r="T41" s="167">
        <v>700</v>
      </c>
    </row>
    <row r="42" spans="2:20" x14ac:dyDescent="0.25">
      <c r="C42" s="167" t="s">
        <v>357</v>
      </c>
      <c r="D42" s="167">
        <v>155</v>
      </c>
      <c r="S42" s="167" t="s">
        <v>358</v>
      </c>
    </row>
    <row r="44" spans="2:20" x14ac:dyDescent="0.25">
      <c r="I44" s="167" t="s">
        <v>359</v>
      </c>
      <c r="S44" s="167" t="s">
        <v>360</v>
      </c>
      <c r="T44" s="167">
        <v>517</v>
      </c>
    </row>
    <row r="45" spans="2:20" x14ac:dyDescent="0.25">
      <c r="S45" s="167" t="s">
        <v>361</v>
      </c>
      <c r="T45" s="167">
        <v>129</v>
      </c>
    </row>
    <row r="46" spans="2:20" x14ac:dyDescent="0.25">
      <c r="I46" s="167" t="s">
        <v>362</v>
      </c>
    </row>
    <row r="53" spans="11:14" x14ac:dyDescent="0.25">
      <c r="L53" s="167" t="s">
        <v>363</v>
      </c>
      <c r="M53" s="167" t="s">
        <v>364</v>
      </c>
    </row>
    <row r="54" spans="11:14" x14ac:dyDescent="0.25">
      <c r="K54" s="167" t="s">
        <v>365</v>
      </c>
      <c r="L54" s="167">
        <v>217</v>
      </c>
      <c r="M54" s="167">
        <v>47</v>
      </c>
      <c r="N54" s="167" t="s">
        <v>366</v>
      </c>
    </row>
    <row r="55" spans="11:14" x14ac:dyDescent="0.25">
      <c r="K55" s="167" t="s">
        <v>367</v>
      </c>
      <c r="L55" s="167">
        <v>62</v>
      </c>
      <c r="M55" s="167">
        <v>70</v>
      </c>
      <c r="N55" s="167" t="s">
        <v>368</v>
      </c>
    </row>
    <row r="56" spans="11:14" x14ac:dyDescent="0.25">
      <c r="L56" s="167">
        <f>SUM(L54:L55)</f>
        <v>279</v>
      </c>
      <c r="M56" s="167">
        <f>SUM(M54:M55)</f>
        <v>117</v>
      </c>
    </row>
    <row r="58" spans="11:14" x14ac:dyDescent="0.25">
      <c r="M58" s="167">
        <f>L56-M56</f>
        <v>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>
      <selection activeCell="H23" sqref="H23"/>
    </sheetView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28" sqref="D28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7" t="s">
        <v>157</v>
      </c>
      <c r="C3" s="97"/>
      <c r="D3" s="97"/>
      <c r="E3" s="94" t="s">
        <v>160</v>
      </c>
    </row>
    <row r="4" spans="2:5" ht="13.5" thickTop="1" x14ac:dyDescent="0.2"/>
    <row r="5" spans="2:5" x14ac:dyDescent="0.2">
      <c r="B5" s="94" t="s">
        <v>158</v>
      </c>
      <c r="C5" s="94" t="s">
        <v>15</v>
      </c>
      <c r="D5" s="94" t="s">
        <v>161</v>
      </c>
    </row>
    <row r="6" spans="2:5" ht="15" x14ac:dyDescent="0.25">
      <c r="B6" s="94" t="s">
        <v>159</v>
      </c>
      <c r="C6" s="94" t="s">
        <v>162</v>
      </c>
      <c r="E6" s="124">
        <v>1</v>
      </c>
    </row>
    <row r="7" spans="2:5" x14ac:dyDescent="0.2">
      <c r="D7" t="str">
        <f ca="1">Commodities_BASE!A2</f>
        <v>Commodities_BASE</v>
      </c>
      <c r="E7" s="125">
        <f t="shared" ref="E7:E11" si="0">$E$6</f>
        <v>1</v>
      </c>
    </row>
    <row r="8" spans="2:5" x14ac:dyDescent="0.2">
      <c r="D8" t="str">
        <f ca="1">CommData_BASE!A2</f>
        <v>CommData_BASE</v>
      </c>
      <c r="E8" s="125">
        <f t="shared" si="0"/>
        <v>1</v>
      </c>
    </row>
    <row r="9" spans="2:5" x14ac:dyDescent="0.2">
      <c r="D9" t="str">
        <f ca="1">Processes_BASE!A2</f>
        <v>Processes_BASE</v>
      </c>
      <c r="E9" s="125">
        <f t="shared" si="0"/>
        <v>1</v>
      </c>
    </row>
    <row r="10" spans="2:5" x14ac:dyDescent="0.2">
      <c r="D10" t="e">
        <f>#REF!</f>
        <v>#REF!</v>
      </c>
      <c r="E10" s="125">
        <f t="shared" si="0"/>
        <v>1</v>
      </c>
    </row>
    <row r="11" spans="2:5" x14ac:dyDescent="0.2">
      <c r="D11" t="str">
        <f ca="1">ProcData_ALM!A2</f>
        <v>ProcData_ALM</v>
      </c>
      <c r="E11" s="125">
        <f t="shared" si="0"/>
        <v>1</v>
      </c>
    </row>
    <row r="12" spans="2:5" x14ac:dyDescent="0.2">
      <c r="E12" s="125"/>
    </row>
    <row r="13" spans="2:5" x14ac:dyDescent="0.2">
      <c r="E13" s="125"/>
    </row>
    <row r="14" spans="2:5" x14ac:dyDescent="0.2">
      <c r="E14" s="125"/>
    </row>
    <row r="15" spans="2:5" x14ac:dyDescent="0.2">
      <c r="E15" s="125"/>
    </row>
    <row r="16" spans="2:5" x14ac:dyDescent="0.2">
      <c r="E16" s="125"/>
    </row>
    <row r="17" spans="5:5" x14ac:dyDescent="0.2">
      <c r="E17" s="125"/>
    </row>
    <row r="18" spans="5:5" x14ac:dyDescent="0.2">
      <c r="E18" s="125"/>
    </row>
    <row r="19" spans="5:5" x14ac:dyDescent="0.2">
      <c r="E19" s="125"/>
    </row>
    <row r="20" spans="5:5" x14ac:dyDescent="0.2">
      <c r="E20" s="125"/>
    </row>
    <row r="21" spans="5:5" x14ac:dyDescent="0.2">
      <c r="E21" s="125"/>
    </row>
    <row r="22" spans="5:5" x14ac:dyDescent="0.2">
      <c r="E22" s="125"/>
    </row>
    <row r="23" spans="5:5" x14ac:dyDescent="0.2">
      <c r="E23" s="125"/>
    </row>
    <row r="24" spans="5:5" x14ac:dyDescent="0.2">
      <c r="E24" s="125"/>
    </row>
    <row r="25" spans="5:5" x14ac:dyDescent="0.2">
      <c r="E25" s="125"/>
    </row>
    <row r="26" spans="5:5" x14ac:dyDescent="0.2">
      <c r="E26" s="125"/>
    </row>
    <row r="27" spans="5:5" x14ac:dyDescent="0.2">
      <c r="E27" s="1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F3" sqref="F3"/>
    </sheetView>
  </sheetViews>
  <sheetFormatPr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 x14ac:dyDescent="0.25">
      <c r="N1" s="65" t="s">
        <v>128</v>
      </c>
      <c r="U1" s="141" t="s">
        <v>170</v>
      </c>
    </row>
    <row r="2" spans="3:31" ht="84" customHeight="1" x14ac:dyDescent="0.25">
      <c r="C2" s="71"/>
      <c r="D2" s="147" t="s">
        <v>203</v>
      </c>
      <c r="E2" s="148" t="s">
        <v>204</v>
      </c>
      <c r="F2" s="147" t="s">
        <v>205</v>
      </c>
      <c r="G2" s="148"/>
      <c r="H2" s="142"/>
      <c r="I2" s="142"/>
      <c r="J2" s="91"/>
      <c r="K2" s="92"/>
      <c r="L2" s="93"/>
      <c r="M2" s="71"/>
      <c r="O2" s="156" t="s">
        <v>200</v>
      </c>
      <c r="P2" s="142"/>
      <c r="U2" s="142"/>
      <c r="V2" s="142"/>
      <c r="W2" s="142"/>
      <c r="X2" s="95"/>
      <c r="Y2" s="91"/>
      <c r="Z2" s="131"/>
      <c r="AA2" s="133"/>
    </row>
    <row r="3" spans="3:31" ht="141" customHeight="1" x14ac:dyDescent="0.25">
      <c r="C3" s="71" t="s">
        <v>127</v>
      </c>
      <c r="D3" s="157" t="s">
        <v>208</v>
      </c>
      <c r="E3" s="157" t="s">
        <v>207</v>
      </c>
      <c r="F3" s="157" t="s">
        <v>206</v>
      </c>
      <c r="G3" s="148"/>
      <c r="H3" s="142"/>
      <c r="I3" s="142"/>
      <c r="J3" s="91"/>
      <c r="K3" s="92"/>
      <c r="L3" s="93"/>
      <c r="M3" s="71" t="s">
        <v>126</v>
      </c>
      <c r="O3" s="148" t="s">
        <v>201</v>
      </c>
      <c r="P3" s="142"/>
      <c r="U3" s="142"/>
      <c r="V3" s="142"/>
      <c r="W3" s="142"/>
      <c r="X3" s="142"/>
      <c r="Y3" s="91"/>
      <c r="Z3" s="133"/>
      <c r="AA3" s="139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196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1"/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4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1"/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4"/>
      <c r="L7" s="84"/>
      <c r="M7" s="149" t="s">
        <v>192</v>
      </c>
      <c r="P7" s="70"/>
      <c r="U7" s="68"/>
      <c r="V7" s="68"/>
      <c r="W7" s="68"/>
      <c r="X7" s="68"/>
      <c r="Y7" s="68"/>
      <c r="Z7" s="68"/>
      <c r="AA7" s="68"/>
      <c r="AD7" s="141"/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1"/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54" t="s">
        <v>195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t="s">
        <v>203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  <c r="AD10" t="s">
        <v>204</v>
      </c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D11" t="s">
        <v>205</v>
      </c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198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  <c r="AD12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4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4"/>
      <c r="L14" s="84"/>
      <c r="M14" s="75"/>
      <c r="P14" s="70"/>
      <c r="U14" s="68"/>
      <c r="V14" s="68"/>
      <c r="W14" s="68"/>
      <c r="X14" s="68"/>
      <c r="Y14" s="68"/>
      <c r="Z14" s="68"/>
      <c r="AA14" s="68"/>
      <c r="AD14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54" t="s">
        <v>197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/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4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4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4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54"/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C25" sqref="C25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9.570312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169</v>
      </c>
      <c r="B1" s="107"/>
    </row>
    <row r="2" spans="1:30" ht="15.75" thickBot="1" x14ac:dyDescent="0.3">
      <c r="A2" s="108"/>
      <c r="B2" s="102"/>
      <c r="C2" s="132" t="s">
        <v>135</v>
      </c>
      <c r="E2" s="102"/>
      <c r="F2" s="102"/>
      <c r="G2" s="103"/>
      <c r="H2" s="132" t="s">
        <v>137</v>
      </c>
      <c r="J2" s="102"/>
      <c r="K2" s="102"/>
      <c r="L2" s="103"/>
    </row>
    <row r="3" spans="1:30" x14ac:dyDescent="0.2">
      <c r="A3" s="109" t="s">
        <v>142</v>
      </c>
      <c r="B3" s="110" t="s">
        <v>130</v>
      </c>
      <c r="C3" s="109" t="s">
        <v>143</v>
      </c>
      <c r="D3" s="110" t="s">
        <v>136</v>
      </c>
      <c r="E3" s="110" t="s">
        <v>138</v>
      </c>
      <c r="F3" s="110" t="s">
        <v>139</v>
      </c>
      <c r="G3" s="111" t="s">
        <v>167</v>
      </c>
      <c r="H3" s="109" t="s">
        <v>143</v>
      </c>
      <c r="I3" s="110" t="s">
        <v>136</v>
      </c>
      <c r="J3" s="110" t="s">
        <v>138</v>
      </c>
      <c r="K3" s="110" t="s">
        <v>139</v>
      </c>
      <c r="L3" s="111" t="s">
        <v>167</v>
      </c>
      <c r="M3" t="s">
        <v>141</v>
      </c>
    </row>
    <row r="4" spans="1:30" x14ac:dyDescent="0.2">
      <c r="A4" s="108" t="str">
        <f>RES!O2</f>
        <v>IALM</v>
      </c>
      <c r="B4" s="102" t="str">
        <f>RES!O3</f>
        <v>Industry - Aluminium Metal</v>
      </c>
      <c r="C4" s="108" t="str">
        <f>RES!M9</f>
        <v>IALPOT</v>
      </c>
      <c r="D4" s="102" t="str">
        <f>RES!M5</f>
        <v>Aluminium smelters - potlines</v>
      </c>
      <c r="E4" s="113" t="s">
        <v>133</v>
      </c>
      <c r="F4" s="136">
        <f>'Aluminium Data'!D5</f>
        <v>0.72</v>
      </c>
      <c r="G4" s="138" t="s">
        <v>168</v>
      </c>
      <c r="H4" s="108">
        <f>RES!T9</f>
        <v>0</v>
      </c>
      <c r="I4" s="102">
        <f>RES!T8</f>
        <v>0</v>
      </c>
      <c r="J4" s="113" t="s">
        <v>133</v>
      </c>
      <c r="K4" s="112">
        <f>F4</f>
        <v>0.72</v>
      </c>
      <c r="L4" s="103"/>
      <c r="Z4" t="s">
        <v>171</v>
      </c>
      <c r="AA4" s="94" t="s">
        <v>172</v>
      </c>
      <c r="AB4">
        <v>18.600000000000001</v>
      </c>
    </row>
    <row r="5" spans="1:30" x14ac:dyDescent="0.2">
      <c r="A5" s="98"/>
      <c r="B5" s="100"/>
      <c r="C5" s="98"/>
      <c r="D5" s="100"/>
      <c r="E5" s="101" t="s">
        <v>117</v>
      </c>
      <c r="F5" s="99"/>
      <c r="G5" s="135"/>
      <c r="I5" s="100"/>
      <c r="J5" s="101" t="s">
        <v>117</v>
      </c>
      <c r="K5" s="99">
        <f>Q19</f>
        <v>0</v>
      </c>
      <c r="AA5" s="94" t="s">
        <v>174</v>
      </c>
      <c r="AB5">
        <f>AB4/3.6*1000</f>
        <v>5166.666666666667</v>
      </c>
    </row>
    <row r="6" spans="1:30" ht="15" x14ac:dyDescent="0.25">
      <c r="A6" s="143" t="str">
        <f>RES!D2</f>
        <v>INDGAS</v>
      </c>
      <c r="B6" s="115" t="str">
        <f>RES!D3</f>
        <v>Industry - South Africa gas</v>
      </c>
      <c r="C6" s="114"/>
      <c r="D6" s="115"/>
      <c r="E6" s="116"/>
      <c r="F6" s="137"/>
      <c r="G6" s="117"/>
      <c r="H6" s="114" t="str">
        <f>C4</f>
        <v>IALPOT</v>
      </c>
      <c r="I6" s="114" t="str">
        <f>D4</f>
        <v>Aluminium smelters - potlines</v>
      </c>
      <c r="J6" s="116" t="s">
        <v>225</v>
      </c>
      <c r="K6" s="144">
        <f>'Aluminium Data'!D12</f>
        <v>2.2000000000000002</v>
      </c>
      <c r="L6" s="117"/>
      <c r="M6" s="94"/>
      <c r="Z6" s="94" t="s">
        <v>173</v>
      </c>
      <c r="AA6" s="94" t="s">
        <v>172</v>
      </c>
      <c r="AB6">
        <v>120</v>
      </c>
    </row>
    <row r="7" spans="1:30" ht="15" x14ac:dyDescent="0.25">
      <c r="A7" s="143" t="str">
        <f>RES!E2</f>
        <v>INDOLP</v>
      </c>
      <c r="B7" s="115" t="str">
        <f>RES!E3</f>
        <v>Industry - Oil LPG</v>
      </c>
      <c r="C7" s="108"/>
      <c r="D7" s="102"/>
      <c r="E7" s="113"/>
      <c r="F7" s="140"/>
      <c r="G7" s="103"/>
      <c r="H7" s="108" t="str">
        <f>RES!M9</f>
        <v>IALPOT</v>
      </c>
      <c r="I7" s="102" t="str">
        <f>RES!M5</f>
        <v>Aluminium smelters - potlines</v>
      </c>
      <c r="J7" s="116" t="s">
        <v>225</v>
      </c>
      <c r="K7" s="144">
        <f>'Aluminium Data'!D13</f>
        <v>3.26</v>
      </c>
      <c r="L7" s="120"/>
      <c r="AB7" s="94" t="s">
        <v>187</v>
      </c>
    </row>
    <row r="8" spans="1:30" ht="15" x14ac:dyDescent="0.25">
      <c r="A8" s="143" t="str">
        <f>RES!F2</f>
        <v>INFELC</v>
      </c>
      <c r="B8" s="115" t="str">
        <f>RES!F3</f>
        <v>Industry-NF-Electricity</v>
      </c>
      <c r="C8" s="104"/>
      <c r="D8" s="105"/>
      <c r="E8" s="105"/>
      <c r="F8" s="105"/>
      <c r="G8" s="106"/>
      <c r="H8" s="104" t="str">
        <f>H6</f>
        <v>IALPOT</v>
      </c>
      <c r="I8" s="105" t="str">
        <f>I6</f>
        <v>Aluminium smelters - potlines</v>
      </c>
      <c r="J8" s="116" t="s">
        <v>225</v>
      </c>
      <c r="K8" s="144">
        <f>'Aluminium Data'!D11</f>
        <v>46.37</v>
      </c>
      <c r="L8" s="106"/>
      <c r="M8" s="94"/>
      <c r="AB8" t="s">
        <v>178</v>
      </c>
      <c r="AC8" t="s">
        <v>179</v>
      </c>
      <c r="AD8">
        <f>X8/1000</f>
        <v>0</v>
      </c>
    </row>
    <row r="9" spans="1:30" x14ac:dyDescent="0.2">
      <c r="A9" t="s">
        <v>175</v>
      </c>
      <c r="B9" t="str">
        <f>Commodities_BASE!C14</f>
        <v>Process Emissions South Africa</v>
      </c>
      <c r="C9" s="102" t="str">
        <f>C4</f>
        <v>IALPOT</v>
      </c>
      <c r="D9" s="102" t="str">
        <f>D4</f>
        <v>Aluminium smelters - potlines</v>
      </c>
      <c r="E9" s="102" t="s">
        <v>140</v>
      </c>
      <c r="F9" s="151">
        <f>'Aluminium Data'!E17</f>
        <v>1640.7688481217385</v>
      </c>
      <c r="G9" s="103"/>
      <c r="H9" s="108"/>
      <c r="I9" s="102"/>
      <c r="K9" s="102"/>
      <c r="L9" s="102"/>
      <c r="M9" s="94"/>
      <c r="AC9" t="s">
        <v>181</v>
      </c>
      <c r="AD9" t="e">
        <f>#REF!/AB4</f>
        <v>#REF!</v>
      </c>
    </row>
    <row r="10" spans="1:30" x14ac:dyDescent="0.2">
      <c r="A10" s="94" t="s">
        <v>228</v>
      </c>
      <c r="B10" t="str">
        <f>Commodities_BASE!C15</f>
        <v>Process Emissions South Africa CF4</v>
      </c>
      <c r="C10" t="str">
        <f>C9</f>
        <v>IALPOT</v>
      </c>
      <c r="D10" t="str">
        <f>D9</f>
        <v>Aluminium smelters - potlines</v>
      </c>
      <c r="E10" s="145" t="s">
        <v>140</v>
      </c>
      <c r="F10">
        <f>'Aluminium Data'!E18</f>
        <v>0.41016760505000449</v>
      </c>
      <c r="M10" s="94"/>
      <c r="AC10" s="94" t="s">
        <v>188</v>
      </c>
      <c r="AD10" t="e">
        <f>1/AD9</f>
        <v>#REF!</v>
      </c>
    </row>
    <row r="11" spans="1:30" x14ac:dyDescent="0.2">
      <c r="A11" s="162" t="s">
        <v>229</v>
      </c>
      <c r="B11" t="str">
        <f>Commodities_BASE!C16</f>
        <v>Process Emissions South Africa CF6</v>
      </c>
      <c r="C11" t="str">
        <f>C10</f>
        <v>IALPOT</v>
      </c>
      <c r="D11" t="str">
        <f>D10</f>
        <v>Aluminium smelters - potlines</v>
      </c>
      <c r="E11" s="145" t="s">
        <v>140</v>
      </c>
      <c r="F11">
        <f>'Aluminium Data'!E19</f>
        <v>4.1062898593307487E-2</v>
      </c>
      <c r="AC11" s="94" t="s">
        <v>190</v>
      </c>
      <c r="AD11">
        <f>X5/3600</f>
        <v>0</v>
      </c>
    </row>
    <row r="12" spans="1:30" x14ac:dyDescent="0.2">
      <c r="A12" s="162"/>
      <c r="M12" s="94"/>
      <c r="AC12" s="94" t="s">
        <v>189</v>
      </c>
      <c r="AD12">
        <f>AD11/AB4</f>
        <v>0</v>
      </c>
    </row>
    <row r="15" spans="1:30" x14ac:dyDescent="0.2">
      <c r="AB15" s="94" t="s">
        <v>186</v>
      </c>
    </row>
    <row r="16" spans="1:30" x14ac:dyDescent="0.2">
      <c r="M16" s="94"/>
      <c r="AB16" t="s">
        <v>178</v>
      </c>
      <c r="AC16" t="s">
        <v>179</v>
      </c>
      <c r="AD16">
        <f>W8/1000</f>
        <v>0</v>
      </c>
    </row>
    <row r="17" spans="13:30" x14ac:dyDescent="0.2">
      <c r="AC17" t="s">
        <v>180</v>
      </c>
      <c r="AD17">
        <f>AD16*AB6</f>
        <v>0</v>
      </c>
    </row>
    <row r="18" spans="13:30" x14ac:dyDescent="0.2">
      <c r="M18" s="94"/>
      <c r="AC18" t="s">
        <v>181</v>
      </c>
      <c r="AD18">
        <f>AD17/AB4</f>
        <v>0</v>
      </c>
    </row>
    <row r="19" spans="13:30" x14ac:dyDescent="0.2">
      <c r="AC19" s="94" t="s">
        <v>188</v>
      </c>
      <c r="AD19" t="e">
        <f>1/AD18</f>
        <v>#DIV/0!</v>
      </c>
    </row>
    <row r="20" spans="13:30" x14ac:dyDescent="0.2">
      <c r="M20" s="94"/>
    </row>
    <row r="21" spans="13:30" ht="15" customHeight="1" x14ac:dyDescent="0.2">
      <c r="M21" s="94"/>
    </row>
    <row r="22" spans="13:30" x14ac:dyDescent="0.2">
      <c r="M22" s="94"/>
    </row>
    <row r="23" spans="13:30" x14ac:dyDescent="0.2">
      <c r="M23" s="94"/>
    </row>
    <row r="24" spans="13:30" x14ac:dyDescent="0.2">
      <c r="M24" s="94"/>
    </row>
    <row r="25" spans="13:30" x14ac:dyDescent="0.2">
      <c r="M25" s="94"/>
    </row>
    <row r="26" spans="13:30" x14ac:dyDescent="0.2">
      <c r="M26" s="94"/>
    </row>
    <row r="27" spans="13:30" x14ac:dyDescent="0.2">
      <c r="M27" s="94"/>
    </row>
    <row r="28" spans="13:30" x14ac:dyDescent="0.2">
      <c r="M28" s="94"/>
    </row>
    <row r="29" spans="13:30" x14ac:dyDescent="0.2">
      <c r="M29" s="94"/>
    </row>
    <row r="30" spans="13:30" x14ac:dyDescent="0.2">
      <c r="M30" s="94"/>
    </row>
    <row r="31" spans="13:30" ht="31.5" customHeight="1" x14ac:dyDescent="0.2">
      <c r="M31" s="94"/>
    </row>
    <row r="32" spans="13:30" x14ac:dyDescent="0.2">
      <c r="M32" s="94"/>
    </row>
    <row r="33" spans="13:13" x14ac:dyDescent="0.2">
      <c r="M33" s="94"/>
    </row>
    <row r="34" spans="13:13" x14ac:dyDescent="0.2">
      <c r="M34" s="94"/>
    </row>
    <row r="35" spans="13:13" x14ac:dyDescent="0.2">
      <c r="M35" s="94"/>
    </row>
    <row r="36" spans="13:13" x14ac:dyDescent="0.2">
      <c r="M36" s="94"/>
    </row>
    <row r="37" spans="13:13" x14ac:dyDescent="0.2">
      <c r="M37" s="94"/>
    </row>
    <row r="38" spans="13:13" x14ac:dyDescent="0.2">
      <c r="M38" s="94"/>
    </row>
    <row r="39" spans="13:13" x14ac:dyDescent="0.2">
      <c r="M39" s="94"/>
    </row>
    <row r="40" spans="13:13" x14ac:dyDescent="0.2">
      <c r="M40" s="94"/>
    </row>
    <row r="41" spans="13:13" x14ac:dyDescent="0.2">
      <c r="M41" s="94"/>
    </row>
    <row r="42" spans="13:13" x14ac:dyDescent="0.2">
      <c r="M42" s="94"/>
    </row>
    <row r="43" spans="13:13" x14ac:dyDescent="0.2">
      <c r="M43" s="94"/>
    </row>
    <row r="44" spans="13:13" x14ac:dyDescent="0.2">
      <c r="M44" s="94"/>
    </row>
    <row r="45" spans="13:13" x14ac:dyDescent="0.2">
      <c r="M45" s="94"/>
    </row>
    <row r="46" spans="13:13" x14ac:dyDescent="0.2">
      <c r="M46" s="94"/>
    </row>
    <row r="47" spans="13:13" x14ac:dyDescent="0.2">
      <c r="M47" s="94"/>
    </row>
    <row r="48" spans="13:13" x14ac:dyDescent="0.2">
      <c r="M48" s="94"/>
    </row>
    <row r="49" spans="6:13" x14ac:dyDescent="0.2">
      <c r="M49" s="94"/>
    </row>
    <row r="50" spans="6:13" x14ac:dyDescent="0.2">
      <c r="M50" s="94"/>
    </row>
    <row r="51" spans="6:13" x14ac:dyDescent="0.2">
      <c r="M51" s="94"/>
    </row>
    <row r="52" spans="6:13" x14ac:dyDescent="0.2">
      <c r="M52" s="94"/>
    </row>
    <row r="53" spans="6:13" x14ac:dyDescent="0.2">
      <c r="M53" s="94"/>
    </row>
    <row r="54" spans="6:13" x14ac:dyDescent="0.2">
      <c r="M54" s="94"/>
    </row>
    <row r="55" spans="6:13" x14ac:dyDescent="0.2">
      <c r="M55" s="94"/>
    </row>
    <row r="56" spans="6:13" x14ac:dyDescent="0.2">
      <c r="F56" s="150"/>
      <c r="I56" s="150"/>
      <c r="J56" s="150"/>
      <c r="K56" s="150"/>
    </row>
    <row r="57" spans="6:13" x14ac:dyDescent="0.2">
      <c r="F57" s="150"/>
      <c r="I57" s="150"/>
      <c r="J57" s="150"/>
      <c r="K57" s="150"/>
    </row>
    <row r="58" spans="6:13" x14ac:dyDescent="0.2">
      <c r="F58" s="150"/>
      <c r="I58" s="150"/>
      <c r="J58" s="150"/>
      <c r="K58" s="150"/>
    </row>
    <row r="59" spans="6:13" x14ac:dyDescent="0.2">
      <c r="F59" s="150"/>
      <c r="I59" s="150"/>
      <c r="J59" s="150"/>
      <c r="K59" s="150"/>
    </row>
    <row r="61" spans="6:13" x14ac:dyDescent="0.2">
      <c r="I61" s="150"/>
      <c r="J61" s="150"/>
      <c r="K61" s="1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Production and Capacities</vt:lpstr>
      <vt:lpstr>Emissions</vt:lpstr>
      <vt:lpstr>Energy intensity</vt:lpstr>
      <vt:lpstr>DOE project</vt:lpstr>
      <vt:lpstr>AL roadmap </vt:lpstr>
      <vt:lpstr>ANSv2-692-Home</vt:lpstr>
      <vt:lpstr>Index</vt:lpstr>
      <vt:lpstr>RES</vt:lpstr>
      <vt:lpstr>EB_Exist</vt:lpstr>
      <vt:lpstr>Aluminium Data</vt:lpstr>
      <vt:lpstr>Commodities_BASE</vt:lpstr>
      <vt:lpstr>CommData_BASE</vt:lpstr>
      <vt:lpstr>Processes_BASE</vt:lpstr>
      <vt:lpstr>ProcData_ALM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2021-07-29T11:58:01Z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