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B396FFEE-38BC-4325-91A5-38689E979534}" xr6:coauthVersionLast="47" xr6:coauthVersionMax="47" xr10:uidLastSave="{00000000-0000-0000-0000-000000000000}"/>
  <bookViews>
    <workbookView xWindow="-120" yWindow="-120" windowWidth="29040" windowHeight="15840" tabRatio="745" activeTab="9" xr2:uid="{4350B4AD-F5B1-48D5-BFE7-4F2C2EB2112D}"/>
  </bookViews>
  <sheets>
    <sheet name="HDRI scenario" sheetId="29" r:id="rId1"/>
    <sheet name="PAMS" sheetId="43" r:id="rId2"/>
    <sheet name="H-DRI literature and calcs" sheetId="35" r:id="rId3"/>
    <sheet name="Summary Hydrogen DRI new" sheetId="34" r:id="rId4"/>
    <sheet name="Summary Hydrogen DRI" sheetId="28" r:id="rId5"/>
    <sheet name="HDRI-Items" sheetId="30" r:id="rId6"/>
    <sheet name="HDRI-TSData" sheetId="31" r:id="rId7"/>
    <sheet name="HDRI-TIDData" sheetId="32" r:id="rId8"/>
    <sheet name="IS-Items" sheetId="39" r:id="rId9"/>
    <sheet name="IS-TSData" sheetId="40" r:id="rId10"/>
    <sheet name="IS-TIDData" sheetId="41" r:id="rId11"/>
    <sheet name="Iron &amp; Steel" sheetId="42" r:id="rId12"/>
    <sheet name="I&amp;S SATIM input" sheetId="13" r:id="rId13"/>
    <sheet name="Energy Intensity" sheetId="10" r:id="rId14"/>
    <sheet name="I&amp;S capacity + production" sheetId="2" r:id="rId15"/>
    <sheet name="Energy and Emissions" sheetId="1" r:id="rId16"/>
    <sheet name="Scrap" sheetId="15" r:id="rId17"/>
    <sheet name="Coke" sheetId="11" r:id="rId18"/>
    <sheet name="TNapp - Opex sheet" sheetId="23" r:id="rId19"/>
    <sheet name="TNapp - Capex sheet" sheetId="37" r:id="rId20"/>
    <sheet name="TNapp - I&amp;S intensity" sheetId="4" r:id="rId21"/>
    <sheet name="AMSA reports" sheetId="9" r:id="rId22"/>
    <sheet name="AcelorMittal sus report data" sheetId="7" r:id="rId23"/>
    <sheet name="AMSA - Saldanha" sheetId="5" r:id="rId24"/>
    <sheet name="AMSA - Vndbjl park" sheetId="17" r:id="rId25"/>
    <sheet name="Blast furnace JPN info" sheetId="8" r:id="rId26"/>
    <sheet name="Evraz Highveld" sheetId="6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7" hidden="1">'HDRI-TIDData'!$A$1:$I$62</definedName>
    <definedName name="_xlnm._FilterDatabase" localSheetId="6" hidden="1">'HDRI-TSData'!$A$1:$J$60</definedName>
    <definedName name="_xlnm._FilterDatabase" localSheetId="10" hidden="1">'IS-TIDData'!$A$1:$I$231</definedName>
    <definedName name="_xlnm._FilterDatabase" localSheetId="9" hidden="1">'IS-TSData'!$B$2:$J$287</definedName>
    <definedName name="ALswitch">[2]IND!$M$13</definedName>
    <definedName name="Cars_12" localSheetId="19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2">'[5]Financial Indicators'!$Y$9</definedName>
    <definedName name="CPI.2011" localSheetId="19">'[6]Financial Indicators'!$Y$9</definedName>
    <definedName name="CPI.2011" localSheetId="18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2">'[5]Financial Indicators'!$C$25:$Z$28</definedName>
    <definedName name="Deflator" localSheetId="19">'[6]Financial Indicators'!$C$25:$Z$28</definedName>
    <definedName name="Deflator" localSheetId="18">'[7]Financial Indicators'!$C$25:$Z$28</definedName>
    <definedName name="Deflator">'[8]Financial Indicators'!$C$25:$Z$28</definedName>
    <definedName name="DISCRATE" localSheetId="19">'[3]TechRep-Doc'!#REF!</definedName>
    <definedName name="DISCRATE">'[3]TechRep-Doc'!#REF!</definedName>
    <definedName name="epp_start">#REF!</definedName>
    <definedName name="eps" localSheetId="0">[2]NameConv!$F$31</definedName>
    <definedName name="eps">[11]NameConv!$F$1</definedName>
    <definedName name="etech_data">#REF!</definedName>
    <definedName name="etech_parameters">#REF!</definedName>
    <definedName name="EXCH" localSheetId="22">'[5]Financial Indicators'!$C$12:$Y$15</definedName>
    <definedName name="EXCH" localSheetId="19">'[6]Financial Indicators'!$C$12:$Y$15</definedName>
    <definedName name="EXCH" localSheetId="18">'[7]Financial Indicators'!$C$12:$Y$15</definedName>
    <definedName name="EXCH">'[8]Financial Indicators'!$C$12:$Y$15</definedName>
    <definedName name="EXCH.year" localSheetId="22">'[5]Financial Indicators'!$D$3:$Y$3</definedName>
    <definedName name="EXCH.year" localSheetId="19">'[6]Financial Indicators'!$D$3:$Y$3</definedName>
    <definedName name="EXCH.year" localSheetId="18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0">[13]Footprint!$AB$132</definedName>
    <definedName name="FP2i_NPE_Emis">[9]Footprint!$A$149</definedName>
    <definedName name="FP2i_NPE_onEmis" localSheetId="0">[13]Footprint!$AB$133</definedName>
    <definedName name="FP2i_NPE_onEmis">[9]Footprint!$A$150</definedName>
    <definedName name="FP2i_OG_Emis" localSheetId="0">[13]Footprint!$T$123</definedName>
    <definedName name="FP2i_OG_Emis">[9]Footprint!$A$160</definedName>
    <definedName name="FP2i_OG_Fuel" localSheetId="0">[13]Footprint!$T$120</definedName>
    <definedName name="FP2i_OG_Fuel">[9]Footprint!$A$157</definedName>
    <definedName name="FP2i_OG_onEmis" localSheetId="0">[13]Footprint!$T$124</definedName>
    <definedName name="FP2i_OG_onEmis">[9]Footprint!$A$161</definedName>
    <definedName name="FP2i_OG_Output">[13]Footprint!$T$121</definedName>
    <definedName name="FP2i_PE_Emis" localSheetId="0">[13]Footprint!$AB$124</definedName>
    <definedName name="FP2i_PE_Emis">[9]Footprint!$A$141</definedName>
    <definedName name="FP2i_PE_onEmis" localSheetId="0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0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0">[13]Footprint!$Z$127</definedName>
    <definedName name="FP2i_TPE">[9]Footprint!$A$136</definedName>
    <definedName name="FPi_A" localSheetId="0">[13]Footprint!$I$87</definedName>
    <definedName name="FPi_A">[9]Footprint!$I$87</definedName>
    <definedName name="FPi_All" localSheetId="0">[13]Footprint!$C$87</definedName>
    <definedName name="FPi_All">[9]Footprint!$C$87</definedName>
    <definedName name="FPi_B" localSheetId="0">[13]Footprint!$I$88</definedName>
    <definedName name="FPi_B">[9]Footprint!$I$88</definedName>
    <definedName name="FPi_bb">[13]Footprint!$I$90</definedName>
    <definedName name="FPi_C" localSheetId="0">[13]Footprint!$M$87</definedName>
    <definedName name="FPi_C">[9]Footprint!$M$87</definedName>
    <definedName name="FPi_D">[9]Footprint!$M$88</definedName>
    <definedName name="FPi_EC_Elec" localSheetId="0">[13]Footprint!$T$73</definedName>
    <definedName name="FPi_EC_Elec">[9]Footprint!$T$73</definedName>
    <definedName name="FPi_EC_Losses" localSheetId="0">[13]Footprint!$T$75</definedName>
    <definedName name="FPi_EC_Losses">[9]Footprint!$T$75</definedName>
    <definedName name="FPi_EC_Steam" localSheetId="0">[13]Footprint!$T$74</definedName>
    <definedName name="FPi_EC_Steam">[9]Footprint!$T$74</definedName>
    <definedName name="FPi_MD_Elec" localSheetId="0">[13]Footprint!$T$79</definedName>
    <definedName name="FPi_MD_Elec">[9]Footprint!$T$79</definedName>
    <definedName name="FPi_MD_Fuel" localSheetId="0">[13]Footprint!$T$78</definedName>
    <definedName name="FPi_MD_fuel">[9]Footprint!$T$78</definedName>
    <definedName name="FPi_MD_Steam" localSheetId="0">[13]Footprint!$T$80</definedName>
    <definedName name="FPi_MD_Steam">[9]Footprint!$T$80</definedName>
    <definedName name="FPi_np_HVAC_Elec" localSheetId="0">[13]Footprint!$AE$53</definedName>
    <definedName name="FPi_np_HVAC_Elec">[9]Footprint!$AE$53</definedName>
    <definedName name="FPi_np_HVAC_Fuel" localSheetId="0">[13]Footprint!$AE$52</definedName>
    <definedName name="FPi_np_HVAC_Fuel">[9]Footprint!$AE$52</definedName>
    <definedName name="FPi_np_HVAC_L" localSheetId="0">[13]Footprint!$AE$55</definedName>
    <definedName name="FPi_np_HVAC_L">[9]Footprint!$AE$55</definedName>
    <definedName name="FPi_np_HVAC_Steam" localSheetId="0">[13]Footprint!$AE$54</definedName>
    <definedName name="FPi_np_HVAC_Steam">[9]Footprint!$AE$54</definedName>
    <definedName name="FPi_np_Lit_Elec" localSheetId="0">[13]Footprint!$AE$59</definedName>
    <definedName name="FPi_np_Lit_Elec">[9]Footprint!$AE$59</definedName>
    <definedName name="FPi_np_Lit_L" localSheetId="0">[13]Footprint!$AE$60</definedName>
    <definedName name="FPi_np_Lit_L">[9]Footprint!$AE$60</definedName>
    <definedName name="FPi_np_Oemis" localSheetId="0">[13]Footprint!$AJ$84</definedName>
    <definedName name="FPi_np_Oemis">[9]Footprint!$AJ$84</definedName>
    <definedName name="FPi_np_Ofs_Elec" localSheetId="0">[13]Footprint!$AE$65</definedName>
    <definedName name="FPi_np_Ofs_Elec">[9]Footprint!$AE$65</definedName>
    <definedName name="FPi_np_Ofs_Fuel" localSheetId="0">[13]Footprint!$AE$64</definedName>
    <definedName name="FPi_np_Ofs_Fuel">[9]Footprint!$AE$64</definedName>
    <definedName name="FPi_np_Ofs_L" localSheetId="0">[13]Footprint!$AE$66</definedName>
    <definedName name="FPi_np_Ofs_L">[9]Footprint!$AE$66</definedName>
    <definedName name="FPi_np_Onp_Elec" localSheetId="0">[13]Footprint!$AE$77</definedName>
    <definedName name="FPi_np_Onp_Elec">[9]Footprint!$AE$77</definedName>
    <definedName name="FPi_np_Onp_Fuel" localSheetId="0">[13]Footprint!$AE$76</definedName>
    <definedName name="FPi_np_Onp_Fuel">[9]Footprint!$AE$76</definedName>
    <definedName name="FPi_np_Onp_L" localSheetId="0">[13]Footprint!$AE$79</definedName>
    <definedName name="FPi_np_Onp_L">[9]Footprint!$AE$79</definedName>
    <definedName name="FPi_np_Onp_Steam" localSheetId="0">[13]Footprint!$AE$78</definedName>
    <definedName name="FPi_np_Onp_Steam">[9]Footprint!$AE$78</definedName>
    <definedName name="FPi_np_Tran_Elec" localSheetId="0">[13]Footprint!$AE$71</definedName>
    <definedName name="FPi_np_Tran_Elec">[9]Footprint!$AE$71</definedName>
    <definedName name="FPi_np_Tran_Fuel" localSheetId="0">[13]Footprint!$AE$70</definedName>
    <definedName name="FPi_np_Tran_Fuel">[9]Footprint!$AE$70</definedName>
    <definedName name="FPi_np_Tran_L" localSheetId="0">[13]Footprint!$AE$72</definedName>
    <definedName name="FPi_np_Tran_L">[9]Footprint!$AE$72</definedName>
    <definedName name="FPi_OG_B_Elec" localSheetId="0">[13]Footprint!$C$53</definedName>
    <definedName name="FPi_OG_B_Elec">[9]Footprint!$C$53</definedName>
    <definedName name="FPi_OG_B_Fuel" localSheetId="0">[13]Footprint!$C$52</definedName>
    <definedName name="FPi_OG_B_Fuel">[9]Footprint!$C$52</definedName>
    <definedName name="FPi_OG_B_Steam" localSheetId="0">[13]Footprint!$C$54</definedName>
    <definedName name="FPi_OG_B_Steam">[9]Footprint!$C$54</definedName>
    <definedName name="FPi_OG_C_Elec">[13]Footprint!$C$61</definedName>
    <definedName name="FPi_OG_C_Fuel" localSheetId="0">[13]Footprint!$C$60</definedName>
    <definedName name="FPi_OG_C_Fuel">[9]Footprint!$C$60</definedName>
    <definedName name="FPi_OG_C_Steam" localSheetId="0">[13]Footprint!$C$62</definedName>
    <definedName name="FPi_OG_C_Steam">[9]Footprint!$C$62</definedName>
    <definedName name="FPi_OG_E_Elec" localSheetId="0">[13]Footprint!$C$69</definedName>
    <definedName name="FPi_OG_E_Elec">[9]Footprint!$C$69</definedName>
    <definedName name="FPi_OG_E_Fuel" localSheetId="0">[13]Footprint!$C$68</definedName>
    <definedName name="FPi_OG_E_Fuel">[9]Footprint!$C$68</definedName>
    <definedName name="FPi_OG_Oemis" localSheetId="0">[13]Footprint!$H$74</definedName>
    <definedName name="FPi_OG_Oemis">[9]Footprint!$H$74</definedName>
    <definedName name="FPi_P_Oemis" localSheetId="0">[13]Footprint!$AJ$82</definedName>
    <definedName name="FPi_P_Oemis">[9]Footprint!$AJ$82</definedName>
    <definedName name="FPi_PC_Elec" localSheetId="0">[13]Footprint!$T$59</definedName>
    <definedName name="FPi_PC_Elec">[9]Footprint!$T$59</definedName>
    <definedName name="FPi_PC_Fuel" localSheetId="0">[13]Footprint!$T$58</definedName>
    <definedName name="FPi_PC_Fuel">[9]Footprint!$T$58</definedName>
    <definedName name="FPi_PC_Losses" localSheetId="0">[13]Footprint!$T$61</definedName>
    <definedName name="FPi_PC_Losses">[9]Footprint!$T$61</definedName>
    <definedName name="FPi_PC_Steam" localSheetId="0">[13]Footprint!$T$60</definedName>
    <definedName name="FPi_PC_Steam">[9]Footprint!$T$60</definedName>
    <definedName name="FPi_PH_Elec" localSheetId="0">[13]Footprint!$T$52</definedName>
    <definedName name="FPi_PH_Elec">[9]Footprint!$T$52</definedName>
    <definedName name="FPi_PH_Fuel" localSheetId="0">[13]Footprint!$T$51</definedName>
    <definedName name="FPi_PH_Fuel">[9]Footprint!$T$51</definedName>
    <definedName name="FPi_PH_Losses" localSheetId="0">[13]Footprint!$T$54</definedName>
    <definedName name="FPi_PH_Losses">[9]Footprint!$T$54</definedName>
    <definedName name="FPi_PH_Steam" localSheetId="0">[13]Footprint!$T$53</definedName>
    <definedName name="FPi_PH_Steam">[9]Footprint!$T$53</definedName>
    <definedName name="FPi_PO_Elec" localSheetId="0">[13]Footprint!$T$66</definedName>
    <definedName name="FPi_PO_Elec">[9]Footprint!$T$66</definedName>
    <definedName name="FPi_PO_Fuel" localSheetId="0">[13]Footprint!$T$65</definedName>
    <definedName name="FPi_PO_Fuel">[9]Footprint!$T$65</definedName>
    <definedName name="FPi_PO_Losses" localSheetId="0">[13]Footprint!$T$68</definedName>
    <definedName name="FPi_PO_Losses">[9]Footprint!$T$68</definedName>
    <definedName name="FPi_PO_Steam" localSheetId="0">[13]Footprint!$T$67</definedName>
    <definedName name="FPi_PO_Steam">[9]Footprint!$T$67</definedName>
    <definedName name="FPi_Sloss">[13]Footprint!$O$84</definedName>
    <definedName name="fuel_types">#REF!</definedName>
    <definedName name="GROWTH" localSheetId="19">'[3]TechRep-Doc'!#REF!</definedName>
    <definedName name="GROWTH">'[3]TechRep-Doc'!#REF!</definedName>
    <definedName name="GROWTH_TID" localSheetId="19">'[3]TechRep-Doc'!#REF!</definedName>
    <definedName name="GROWTH_TID">'[3]TechRep-Doc'!#REF!</definedName>
    <definedName name="Hist_data_eff">'[14]Historical data'!#REF!</definedName>
    <definedName name="Hist_data_fuels" localSheetId="0">'[13]Historical data'!$B$111:$B$159</definedName>
    <definedName name="Hist_data_fuels">'[14]Historical data'!#REF!</definedName>
    <definedName name="Hist_data_intens" localSheetId="0">'[13]Historical data'!$E$111:$S$159</definedName>
    <definedName name="Hist_data_intens">'[14]Historical data'!#REF!</definedName>
    <definedName name="Hist_data_procs" localSheetId="0">'[13]Historical data'!$E$110:$S$110</definedName>
    <definedName name="Hist_data_procs">'[14]Historical data'!#REF!</definedName>
    <definedName name="Hist_data_techs" localSheetId="0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0">[13]Data!$J$33:$AC$782</definedName>
    <definedName name="IntensityTable_ex">[9]Data!$J$33:$AC$782</definedName>
    <definedName name="IntensityTable_nw" localSheetId="0">[13]Data!$J$798:$AC$1397</definedName>
    <definedName name="IntensityTable_nw">[9]Data!$J$798:$AC$1397</definedName>
    <definedName name="Interv_nw_FuelIDs" localSheetId="0">[13]Interventions!$AR$18:$AR$557</definedName>
    <definedName name="Interv_nw_FuelIDs">[9]Interventions!$AR$18:$AR$557</definedName>
    <definedName name="Interv_nw_ProcIDs" localSheetId="0">[13]Interventions!$AQ$18:$AQ$557</definedName>
    <definedName name="Interv_nw_ProcIDs">[9]Interventions!$AQ$18:$AQ$557</definedName>
    <definedName name="Interv_nw_TechIDs" localSheetId="0">[13]Interventions!$AP$18:$AP$557</definedName>
    <definedName name="Interv_nw_TechIDs">[9]Interventions!$AP$18:$AP$557</definedName>
    <definedName name="Interventions_ex" localSheetId="0">[13]Interventions!$K$18:$AD$467</definedName>
    <definedName name="Interventions_ex">[9]Interventions!$K$18:$AD$467</definedName>
    <definedName name="Interventions_nw" localSheetId="0">[13]Interventions!$AZ$18:$BS$557</definedName>
    <definedName name="Interventions_nw">[9]Interventions!$AZ$18:$BS$557</definedName>
    <definedName name="INVCOST" localSheetId="19">'[3]TechRep-Doc'!#REF!</definedName>
    <definedName name="INVCOST">'[3]TechRep-Doc'!#REF!</definedName>
    <definedName name="IS_EE_switch">[2]IND!#REF!</definedName>
    <definedName name="LIFE" localSheetId="19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19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0" hidden="1">"E2D7SR7Q3BDXUD24G1M1SK63"</definedName>
    <definedName name="Pal_Workbook_GUID" hidden="1">"15EKZRKTEJMR3UQGNDW1WF6V"</definedName>
    <definedName name="pamsindex">[2]PAMS!$B$3</definedName>
    <definedName name="PAMSlevel">[2]IND!$AS$48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2">#REF!</definedName>
    <definedName name="SASApp_GDPDATA_DISCREPANCY_TABLE" localSheetId="19">#REF!</definedName>
    <definedName name="SASApp_GDPDATA_DISCREPANCY_TABLE" localSheetId="20">#REF!</definedName>
    <definedName name="SASApp_GDPDATA_DISCREPANCY_TABLE" localSheetId="18">#REF!</definedName>
    <definedName name="SASApp_GDPDATA_DISCREPANCY_TABLE">#REF!</definedName>
    <definedName name="SASApp_GDPDATA_SUPPLY_TABLE_FIRST" localSheetId="22">#REF!</definedName>
    <definedName name="SASApp_GDPDATA_SUPPLY_TABLE_FIRST" localSheetId="19">#REF!</definedName>
    <definedName name="SASApp_GDPDATA_SUPPLY_TABLE_FIRST" localSheetId="20">#REF!</definedName>
    <definedName name="SASApp_GDPDATA_SUPPLY_TABLE_FIRST" localSheetId="18">#REF!</definedName>
    <definedName name="SASApp_GDPDATA_SUPPLY_TABLE_FIRST">#REF!</definedName>
    <definedName name="SASApp_GDPDATA_SUPPLY_TABLE_SECOND" localSheetId="22">#REF!</definedName>
    <definedName name="SASApp_GDPDATA_SUPPLY_TABLE_SECOND" localSheetId="19">#REF!</definedName>
    <definedName name="SASApp_GDPDATA_SUPPLY_TABLE_SECOND" localSheetId="20">#REF!</definedName>
    <definedName name="SASApp_GDPDATA_SUPPLY_TABLE_SECOND" localSheetId="18">#REF!</definedName>
    <definedName name="SASApp_GDPDATA_SUPPLY_TABLE_SECOND">#REF!</definedName>
    <definedName name="SASApp_GDPDATA_USE_TABLE_FIRST" localSheetId="22">#REF!</definedName>
    <definedName name="SASApp_GDPDATA_USE_TABLE_FIRST" localSheetId="19">#REF!</definedName>
    <definedName name="SASApp_GDPDATA_USE_TABLE_FIRST" localSheetId="20">#REF!</definedName>
    <definedName name="SASApp_GDPDATA_USE_TABLE_FIRST" localSheetId="18">#REF!</definedName>
    <definedName name="SASApp_GDPDATA_USE_TABLE_FIRST">#REF!</definedName>
    <definedName name="SASApp_GDPDATA_USE_TABLE_SECOND" localSheetId="22">#REF!</definedName>
    <definedName name="SASApp_GDPDATA_USE_TABLE_SECOND" localSheetId="19">#REF!</definedName>
    <definedName name="SASApp_GDPDATA_USE_TABLE_SECOND" localSheetId="20">#REF!</definedName>
    <definedName name="SASApp_GDPDATA_USE_TABLE_SECOND" localSheetId="18">#REF!</definedName>
    <definedName name="SASApp_GDPDATA_USE_TABLE_SECOND">#REF!</definedName>
    <definedName name="SETS" localSheetId="19">'[3]TechRep-Doc'!#REF!</definedName>
    <definedName name="SETS">'[3]TechRep-Doc'!#REF!</definedName>
    <definedName name="TRTGAB005" localSheetId="19">'[3]TechRep-Doc'!#REF!</definedName>
    <definedName name="TRTGAB005">'[3]TechRep-Doc'!#REF!</definedName>
    <definedName name="TRTGAC005" localSheetId="19">'[3]TechRep-Doc'!#REF!</definedName>
    <definedName name="TRTGAC005">'[3]TechRep-Doc'!#REF!</definedName>
    <definedName name="Trucks_15" localSheetId="19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2">'[5]Unit conversion'!$E$7</definedName>
    <definedName name="Unit.GJ" localSheetId="19">'[6]Unit conversion'!$E$7</definedName>
    <definedName name="Unit.GJ" localSheetId="18">'[7]Unit conversion'!$E$7</definedName>
    <definedName name="Unit.GJ">'[8]Unit conversion'!$E$7</definedName>
    <definedName name="Unit.GWh" localSheetId="22">'[5]Unit conversion'!$E$13</definedName>
    <definedName name="Unit.GWh" localSheetId="19">'[6]Unit conversion'!$E$13</definedName>
    <definedName name="Unit.GWh" localSheetId="18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2">'[5]Unit conversion'!$E$22</definedName>
    <definedName name="Unit.kgce" localSheetId="19">'[6]Unit conversion'!$E$22</definedName>
    <definedName name="Unit.kgce" localSheetId="18">'[7]Unit conversion'!$E$22</definedName>
    <definedName name="Unit.kgce">'[8]Unit conversion'!$E$22</definedName>
    <definedName name="Unit.minute">'[4]Unit conversion'!$F$45</definedName>
    <definedName name="Unit.TJ" localSheetId="22">'[5]Unit conversion'!$E$6</definedName>
    <definedName name="Unit.TJ" localSheetId="19">'[6]Unit conversion'!$E$6</definedName>
    <definedName name="Unit.TJ" localSheetId="18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[2]IND!$AS$56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3" i="43" l="1"/>
  <c r="K23" i="43" s="1"/>
  <c r="L23" i="43" s="1"/>
  <c r="M23" i="43" s="1"/>
  <c r="N23" i="43" s="1"/>
  <c r="O23" i="43" s="1"/>
  <c r="P23" i="43" s="1"/>
  <c r="Q23" i="43" s="1"/>
  <c r="J24" i="43"/>
  <c r="K24" i="43" s="1"/>
  <c r="L24" i="43" s="1"/>
  <c r="M24" i="43" s="1"/>
  <c r="N24" i="43" s="1"/>
  <c r="O24" i="43" s="1"/>
  <c r="P24" i="43" s="1"/>
  <c r="Q24" i="43" s="1"/>
  <c r="J25" i="43"/>
  <c r="K25" i="43"/>
  <c r="L25" i="43" s="1"/>
  <c r="M25" i="43" s="1"/>
  <c r="N25" i="43" s="1"/>
  <c r="O25" i="43" s="1"/>
  <c r="P25" i="43" s="1"/>
  <c r="Q25" i="43" s="1"/>
  <c r="J26" i="43"/>
  <c r="K26" i="43" s="1"/>
  <c r="L26" i="43" s="1"/>
  <c r="M26" i="43" s="1"/>
  <c r="N26" i="43" s="1"/>
  <c r="O26" i="43" s="1"/>
  <c r="P26" i="43" s="1"/>
  <c r="Q26" i="43" s="1"/>
  <c r="J27" i="43"/>
  <c r="K27" i="43" s="1"/>
  <c r="L27" i="43" s="1"/>
  <c r="M27" i="43" s="1"/>
  <c r="N27" i="43" s="1"/>
  <c r="O27" i="43" s="1"/>
  <c r="P27" i="43" s="1"/>
  <c r="Q27" i="43" s="1"/>
  <c r="J28" i="43"/>
  <c r="K28" i="43" s="1"/>
  <c r="L28" i="43" s="1"/>
  <c r="M28" i="43" s="1"/>
  <c r="N28" i="43" s="1"/>
  <c r="O28" i="43" s="1"/>
  <c r="P28" i="43" s="1"/>
  <c r="Q28" i="43" s="1"/>
  <c r="J29" i="43"/>
  <c r="K29" i="43" s="1"/>
  <c r="L29" i="43" s="1"/>
  <c r="M29" i="43" s="1"/>
  <c r="N29" i="43" s="1"/>
  <c r="O29" i="43" s="1"/>
  <c r="P29" i="43" s="1"/>
  <c r="Q29" i="43" s="1"/>
  <c r="J30" i="43"/>
  <c r="K30" i="43"/>
  <c r="L30" i="43"/>
  <c r="M30" i="43" s="1"/>
  <c r="N30" i="43" s="1"/>
  <c r="O30" i="43" s="1"/>
  <c r="P30" i="43" s="1"/>
  <c r="Q30" i="43" s="1"/>
  <c r="J31" i="43"/>
  <c r="K31" i="43"/>
  <c r="L31" i="43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M34" i="43"/>
  <c r="N34" i="43" s="1"/>
  <c r="O34" i="43" s="1"/>
  <c r="L35" i="43"/>
  <c r="N35" i="43"/>
  <c r="O35" i="43" s="1"/>
  <c r="P35" i="43" s="1"/>
  <c r="Q35" i="43" s="1"/>
  <c r="M36" i="43"/>
  <c r="L36" i="43" s="1"/>
  <c r="L49" i="43" s="1"/>
  <c r="W244" i="40" s="1"/>
  <c r="L37" i="43"/>
  <c r="L50" i="43" s="1"/>
  <c r="W246" i="40" s="1"/>
  <c r="N37" i="43"/>
  <c r="O37" i="43" s="1"/>
  <c r="M38" i="43"/>
  <c r="L38" i="43" s="1"/>
  <c r="L39" i="43"/>
  <c r="N39" i="43"/>
  <c r="O39" i="43"/>
  <c r="P39" i="43" s="1"/>
  <c r="Q39" i="43" s="1"/>
  <c r="M40" i="43"/>
  <c r="L40" i="43" s="1"/>
  <c r="L53" i="43" s="1"/>
  <c r="W252" i="40" s="1"/>
  <c r="L41" i="43"/>
  <c r="L54" i="43" s="1"/>
  <c r="W254" i="40" s="1"/>
  <c r="N41" i="43"/>
  <c r="O41" i="43" s="1"/>
  <c r="M42" i="43"/>
  <c r="L42" i="43" s="1"/>
  <c r="L43" i="43"/>
  <c r="N43" i="43"/>
  <c r="O43" i="43" s="1"/>
  <c r="P43" i="43" s="1"/>
  <c r="Q43" i="43" s="1"/>
  <c r="I48" i="43"/>
  <c r="J242" i="40" s="1"/>
  <c r="K48" i="43"/>
  <c r="R242" i="40" s="1"/>
  <c r="I49" i="43"/>
  <c r="J244" i="40" s="1"/>
  <c r="J49" i="43"/>
  <c r="M244" i="40" s="1"/>
  <c r="M50" i="43"/>
  <c r="AB246" i="40" s="1"/>
  <c r="I52" i="43"/>
  <c r="J250" i="40" s="1"/>
  <c r="K52" i="43"/>
  <c r="R250" i="40" s="1"/>
  <c r="I53" i="43"/>
  <c r="J252" i="40" s="1"/>
  <c r="J53" i="43"/>
  <c r="M252" i="40" s="1"/>
  <c r="M54" i="43"/>
  <c r="AB254" i="40" s="1"/>
  <c r="I56" i="43"/>
  <c r="J262" i="40" s="1"/>
  <c r="K56" i="43"/>
  <c r="R262" i="40" s="1"/>
  <c r="E59" i="43"/>
  <c r="H224" i="40" s="1"/>
  <c r="F59" i="43"/>
  <c r="I239" i="40" s="1"/>
  <c r="Z11" i="42"/>
  <c r="Z12" i="42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Z13" i="42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Z14" i="42"/>
  <c r="O47" i="40" s="1"/>
  <c r="O48" i="40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Z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Z16" i="42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Z17" i="42"/>
  <c r="O50" i="40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Z18" i="42"/>
  <c r="AL18" i="42"/>
  <c r="P24" i="40" s="1"/>
  <c r="Z19" i="42"/>
  <c r="Z23" i="42"/>
  <c r="AA23" i="42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Z24" i="42"/>
  <c r="AA24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/>
  <c r="R34" i="42" s="1"/>
  <c r="O62" i="40" s="1"/>
  <c r="Z25" i="42"/>
  <c r="AA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Z26" i="42"/>
  <c r="AA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Z27" i="42"/>
  <c r="AA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Z28" i="42"/>
  <c r="AA28" i="42"/>
  <c r="AC28" i="42"/>
  <c r="AD28" i="42"/>
  <c r="L29" i="42"/>
  <c r="M29" i="42"/>
  <c r="O29" i="42" s="1"/>
  <c r="J57" i="40" s="1"/>
  <c r="R29" i="42" a="1"/>
  <c r="R29" i="42"/>
  <c r="R38" i="42" s="1"/>
  <c r="O66" i="40" s="1"/>
  <c r="Z29" i="42"/>
  <c r="AA29" i="42"/>
  <c r="AC29" i="42"/>
  <c r="AD29" i="42"/>
  <c r="L30" i="42"/>
  <c r="O30" i="42" s="1"/>
  <c r="J58" i="40" s="1"/>
  <c r="M30" i="42"/>
  <c r="Z30" i="42"/>
  <c r="AA30" i="42"/>
  <c r="AC30" i="42"/>
  <c r="R30" i="42" s="1" a="1"/>
  <c r="R30" i="42" s="1"/>
  <c r="AD30" i="42"/>
  <c r="M31" i="42"/>
  <c r="Z31" i="42"/>
  <c r="AA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Z32" i="42"/>
  <c r="AA32" i="42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AN61" i="40" s="1"/>
  <c r="N33" i="42"/>
  <c r="Z33" i="42"/>
  <c r="AA33" i="42"/>
  <c r="AC33" i="42"/>
  <c r="AD33" i="42"/>
  <c r="M34" i="42"/>
  <c r="O34" i="42"/>
  <c r="Z34" i="42"/>
  <c r="AA34" i="42"/>
  <c r="AC34" i="42"/>
  <c r="AD34" i="42"/>
  <c r="M35" i="42"/>
  <c r="O35" i="42" s="1"/>
  <c r="J63" i="40" s="1"/>
  <c r="Z35" i="42"/>
  <c r="AA35" i="42"/>
  <c r="AC35" i="42"/>
  <c r="AD35" i="42"/>
  <c r="M36" i="42"/>
  <c r="O36" i="42" s="1"/>
  <c r="J64" i="40" s="1"/>
  <c r="Z36" i="42"/>
  <c r="AA36" i="42"/>
  <c r="AC36" i="42"/>
  <c r="AD36" i="42"/>
  <c r="M37" i="42"/>
  <c r="O37" i="42"/>
  <c r="Z37" i="42"/>
  <c r="AA37" i="42"/>
  <c r="AC37" i="42"/>
  <c r="AD37" i="42"/>
  <c r="M38" i="42"/>
  <c r="O38" i="42"/>
  <c r="Z38" i="42"/>
  <c r="AA38" i="42"/>
  <c r="AC38" i="42"/>
  <c r="AD38" i="42"/>
  <c r="R46" i="42" s="1" a="1"/>
  <c r="R46" i="42" s="1"/>
  <c r="O74" i="40" s="1"/>
  <c r="M39" i="42"/>
  <c r="O39" i="42" s="1"/>
  <c r="J67" i="40" s="1"/>
  <c r="Z39" i="42"/>
  <c r="AA39" i="42"/>
  <c r="AC39" i="42"/>
  <c r="AD39" i="42"/>
  <c r="M40" i="42"/>
  <c r="O40" i="42" s="1"/>
  <c r="J68" i="40" s="1"/>
  <c r="Z40" i="42"/>
  <c r="AA40" i="42"/>
  <c r="AC40" i="42"/>
  <c r="AD40" i="42"/>
  <c r="M41" i="42"/>
  <c r="O41" i="42"/>
  <c r="R41" i="42"/>
  <c r="Z41" i="42"/>
  <c r="AA41" i="42"/>
  <c r="AC41" i="42"/>
  <c r="AD41" i="42"/>
  <c r="M42" i="42"/>
  <c r="O42" i="42"/>
  <c r="R42" i="42"/>
  <c r="Z42" i="42"/>
  <c r="AA42" i="42"/>
  <c r="AC42" i="42"/>
  <c r="AD42" i="42"/>
  <c r="M43" i="42"/>
  <c r="Z43" i="42"/>
  <c r="AA43" i="42"/>
  <c r="AC43" i="42"/>
  <c r="AD43" i="42"/>
  <c r="M44" i="42"/>
  <c r="R44" i="42" a="1"/>
  <c r="R44" i="42" s="1"/>
  <c r="O72" i="40" s="1"/>
  <c r="Z44" i="42"/>
  <c r="AA44" i="42"/>
  <c r="AC44" i="42"/>
  <c r="AD44" i="42"/>
  <c r="M45" i="42"/>
  <c r="Z45" i="42"/>
  <c r="AA45" i="42"/>
  <c r="AC45" i="42"/>
  <c r="AD45" i="42"/>
  <c r="M46" i="42"/>
  <c r="Z46" i="42"/>
  <c r="AA46" i="42"/>
  <c r="AC46" i="42"/>
  <c r="AD46" i="42"/>
  <c r="M47" i="42"/>
  <c r="N47" i="42"/>
  <c r="O47" i="42"/>
  <c r="Z47" i="42"/>
  <c r="AA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AN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AN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AN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AN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03" i="42"/>
  <c r="J17" i="40" s="1"/>
  <c r="O126" i="42"/>
  <c r="O127" i="42"/>
  <c r="O128" i="42"/>
  <c r="O129" i="42"/>
  <c r="O130" i="42"/>
  <c r="J42" i="40"/>
  <c r="O42" i="40"/>
  <c r="O43" i="40" s="1"/>
  <c r="I16" i="43" s="1"/>
  <c r="I43" i="40"/>
  <c r="J44" i="40"/>
  <c r="O44" i="40"/>
  <c r="J47" i="40"/>
  <c r="I48" i="40"/>
  <c r="M48" i="40"/>
  <c r="I49" i="40"/>
  <c r="M49" i="40"/>
  <c r="J50" i="40"/>
  <c r="J51" i="40"/>
  <c r="O51" i="40"/>
  <c r="I52" i="40"/>
  <c r="M52" i="40"/>
  <c r="O52" i="40"/>
  <c r="I19" i="43" s="1"/>
  <c r="O57" i="40"/>
  <c r="O60" i="40"/>
  <c r="O61" i="40"/>
  <c r="J62" i="40"/>
  <c r="J65" i="40"/>
  <c r="J66" i="40"/>
  <c r="J69" i="40"/>
  <c r="O69" i="40"/>
  <c r="J70" i="40"/>
  <c r="O70" i="40"/>
  <c r="J75" i="40"/>
  <c r="J76" i="40"/>
  <c r="AN76" i="40" s="1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AN98" i="40" s="1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I246" i="40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S258" i="40" s="1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I260" i="40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AH256" i="40" l="1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I17" i="43"/>
  <c r="M17" i="43" s="1"/>
  <c r="R72" i="42" a="1"/>
  <c r="R72" i="42" s="1"/>
  <c r="N36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2" i="43"/>
  <c r="O42" i="43" s="1"/>
  <c r="P42" i="43" s="1"/>
  <c r="M19" i="43"/>
  <c r="M16" i="43"/>
  <c r="H225" i="40"/>
  <c r="I47" i="43"/>
  <c r="J240" i="40" s="1"/>
  <c r="O55" i="43"/>
  <c r="AL260" i="40" s="1"/>
  <c r="P41" i="43"/>
  <c r="Q41" i="43" s="1"/>
  <c r="Q54" i="43" s="1"/>
  <c r="AN254" i="40" s="1"/>
  <c r="O54" i="43"/>
  <c r="AL254" i="40" s="1"/>
  <c r="K244" i="40"/>
  <c r="L244" i="40" s="1"/>
  <c r="O47" i="43"/>
  <c r="AL240" i="40" s="1"/>
  <c r="P34" i="43"/>
  <c r="P37" i="43"/>
  <c r="Q37" i="43" s="1"/>
  <c r="Q50" i="43" s="1"/>
  <c r="AN246" i="40" s="1"/>
  <c r="O50" i="43"/>
  <c r="AL246" i="40" s="1"/>
  <c r="AC256" i="40"/>
  <c r="AD256" i="40" s="1"/>
  <c r="AE256" i="40" s="1"/>
  <c r="AF256" i="40" s="1"/>
  <c r="H239" i="40"/>
  <c r="H234" i="40"/>
  <c r="H230" i="40"/>
  <c r="J56" i="43"/>
  <c r="M262" i="40" s="1"/>
  <c r="N262" i="40" s="1"/>
  <c r="O262" i="40" s="1"/>
  <c r="P262" i="40" s="1"/>
  <c r="Q262" i="40" s="1"/>
  <c r="P54" i="43"/>
  <c r="AM254" i="40" s="1"/>
  <c r="M53" i="43"/>
  <c r="AB252" i="40" s="1"/>
  <c r="X252" i="40" s="1"/>
  <c r="Y252" i="40" s="1"/>
  <c r="Z252" i="40" s="1"/>
  <c r="AA252" i="40" s="1"/>
  <c r="J52" i="43"/>
  <c r="M250" i="40" s="1"/>
  <c r="N250" i="40" s="1"/>
  <c r="O250" i="40" s="1"/>
  <c r="P250" i="40" s="1"/>
  <c r="Q250" i="40" s="1"/>
  <c r="M49" i="43"/>
  <c r="AB244" i="40" s="1"/>
  <c r="J48" i="43"/>
  <c r="M242" i="40" s="1"/>
  <c r="N242" i="40" s="1"/>
  <c r="O242" i="40" s="1"/>
  <c r="P242" i="40" s="1"/>
  <c r="Q242" i="40" s="1"/>
  <c r="I242" i="40"/>
  <c r="I250" i="40"/>
  <c r="N54" i="43"/>
  <c r="AG254" i="40" s="1"/>
  <c r="AC254" i="40" s="1"/>
  <c r="AD254" i="40" s="1"/>
  <c r="AE254" i="40" s="1"/>
  <c r="AF254" i="40" s="1"/>
  <c r="K53" i="43"/>
  <c r="R252" i="40" s="1"/>
  <c r="S252" i="40" s="1"/>
  <c r="T252" i="40" s="1"/>
  <c r="U252" i="40" s="1"/>
  <c r="V252" i="40" s="1"/>
  <c r="N50" i="43"/>
  <c r="AG246" i="40" s="1"/>
  <c r="AC246" i="40" s="1"/>
  <c r="AD246" i="40" s="1"/>
  <c r="AE246" i="40" s="1"/>
  <c r="AF246" i="40" s="1"/>
  <c r="K49" i="43"/>
  <c r="R244" i="40" s="1"/>
  <c r="N244" i="40" s="1"/>
  <c r="O244" i="40" s="1"/>
  <c r="P244" i="40" s="1"/>
  <c r="Q244" i="40" s="1"/>
  <c r="I238" i="40"/>
  <c r="M18" i="43"/>
  <c r="I252" i="40"/>
  <c r="H238" i="40"/>
  <c r="Q56" i="43"/>
  <c r="AN262" i="40" s="1"/>
  <c r="K54" i="43"/>
  <c r="R254" i="40" s="1"/>
  <c r="S254" i="40" s="1"/>
  <c r="T254" i="40" s="1"/>
  <c r="U254" i="40" s="1"/>
  <c r="V254" i="40" s="1"/>
  <c r="Q52" i="43"/>
  <c r="AN250" i="40" s="1"/>
  <c r="K50" i="43"/>
  <c r="R246" i="40" s="1"/>
  <c r="S246" i="40" s="1"/>
  <c r="T246" i="40" s="1"/>
  <c r="U246" i="40" s="1"/>
  <c r="V246" i="40" s="1"/>
  <c r="Q48" i="43"/>
  <c r="AN242" i="40" s="1"/>
  <c r="N47" i="43"/>
  <c r="AG240" i="40" s="1"/>
  <c r="N38" i="43"/>
  <c r="O38" i="43" s="1"/>
  <c r="L34" i="43"/>
  <c r="L47" i="43" s="1"/>
  <c r="W240" i="40" s="1"/>
  <c r="X254" i="40"/>
  <c r="Y254" i="40" s="1"/>
  <c r="Z254" i="40" s="1"/>
  <c r="AA254" i="40" s="1"/>
  <c r="H233" i="40"/>
  <c r="H228" i="40"/>
  <c r="P56" i="43"/>
  <c r="AM262" i="40" s="1"/>
  <c r="M55" i="43"/>
  <c r="AB260" i="40" s="1"/>
  <c r="J54" i="43"/>
  <c r="M254" i="40" s="1"/>
  <c r="N254" i="40" s="1"/>
  <c r="O254" i="40" s="1"/>
  <c r="P254" i="40" s="1"/>
  <c r="Q254" i="40" s="1"/>
  <c r="P52" i="43"/>
  <c r="AM250" i="40" s="1"/>
  <c r="M51" i="43"/>
  <c r="AB248" i="40" s="1"/>
  <c r="J50" i="43"/>
  <c r="M246" i="40" s="1"/>
  <c r="P48" i="43"/>
  <c r="AM242" i="40" s="1"/>
  <c r="M47" i="43"/>
  <c r="AB240" i="40" s="1"/>
  <c r="N40" i="43"/>
  <c r="O56" i="43"/>
  <c r="AL262" i="40" s="1"/>
  <c r="L55" i="43"/>
  <c r="W260" i="40" s="1"/>
  <c r="I54" i="43"/>
  <c r="J254" i="40" s="1"/>
  <c r="O52" i="43"/>
  <c r="AL250" i="40" s="1"/>
  <c r="L51" i="43"/>
  <c r="W248" i="40" s="1"/>
  <c r="I50" i="43"/>
  <c r="J246" i="40" s="1"/>
  <c r="O48" i="43"/>
  <c r="AL242" i="40" s="1"/>
  <c r="I262" i="40"/>
  <c r="I244" i="40"/>
  <c r="I240" i="40"/>
  <c r="N56" i="43"/>
  <c r="AG262" i="40" s="1"/>
  <c r="K55" i="43"/>
  <c r="R260" i="40" s="1"/>
  <c r="N52" i="43"/>
  <c r="AG250" i="40" s="1"/>
  <c r="K51" i="43"/>
  <c r="R248" i="40" s="1"/>
  <c r="N48" i="43"/>
  <c r="AG242" i="40" s="1"/>
  <c r="K47" i="43"/>
  <c r="R240" i="40" s="1"/>
  <c r="I248" i="40"/>
  <c r="X246" i="40"/>
  <c r="Y246" i="40" s="1"/>
  <c r="Z246" i="40" s="1"/>
  <c r="AA246" i="40" s="1"/>
  <c r="M56" i="43"/>
  <c r="AB262" i="40" s="1"/>
  <c r="J55" i="43"/>
  <c r="M260" i="40" s="1"/>
  <c r="M52" i="43"/>
  <c r="AB250" i="40" s="1"/>
  <c r="J51" i="43"/>
  <c r="M248" i="40" s="1"/>
  <c r="M48" i="43"/>
  <c r="AB242" i="40" s="1"/>
  <c r="J47" i="43"/>
  <c r="M240" i="40" s="1"/>
  <c r="L56" i="43"/>
  <c r="W262" i="40" s="1"/>
  <c r="I55" i="43"/>
  <c r="J260" i="40" s="1"/>
  <c r="L52" i="43"/>
  <c r="W250" i="40" s="1"/>
  <c r="S250" i="40" s="1"/>
  <c r="T250" i="40" s="1"/>
  <c r="U250" i="40" s="1"/>
  <c r="V250" i="40" s="1"/>
  <c r="I51" i="43"/>
  <c r="J248" i="40" s="1"/>
  <c r="L48" i="43"/>
  <c r="W242" i="40" s="1"/>
  <c r="I254" i="40"/>
  <c r="J90" i="40"/>
  <c r="R62" i="42"/>
  <c r="O90" i="40" s="1"/>
  <c r="K252" i="40"/>
  <c r="L252" i="40" s="1"/>
  <c r="S256" i="40"/>
  <c r="T256" i="40" s="1"/>
  <c r="U256" i="40" s="1"/>
  <c r="V256" i="40" s="1"/>
  <c r="R77" i="42"/>
  <c r="O105" i="40" s="1"/>
  <c r="O98" i="40"/>
  <c r="R80" i="42"/>
  <c r="O108" i="40" s="1"/>
  <c r="O101" i="40"/>
  <c r="O55" i="40"/>
  <c r="R36" i="42"/>
  <c r="O64" i="40" s="1"/>
  <c r="O80" i="40"/>
  <c r="R55" i="42"/>
  <c r="O83" i="40" s="1"/>
  <c r="O76" i="40"/>
  <c r="J112" i="40"/>
  <c r="O100" i="40"/>
  <c r="R79" i="42"/>
  <c r="O107" i="40" s="1"/>
  <c r="R39" i="42"/>
  <c r="O67" i="40" s="1"/>
  <c r="O58" i="40"/>
  <c r="U13" i="42"/>
  <c r="J117" i="40" s="1"/>
  <c r="V13" i="42"/>
  <c r="S122" i="40" s="1"/>
  <c r="R35" i="42"/>
  <c r="O63" i="40" s="1"/>
  <c r="O54" i="40"/>
  <c r="L26" i="42"/>
  <c r="O26" i="42" s="1"/>
  <c r="J54" i="40" s="1"/>
  <c r="O25" i="42"/>
  <c r="J53" i="40" s="1"/>
  <c r="AN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AN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AN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K155" i="13"/>
  <c r="H155" i="13"/>
  <c r="H156" i="13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F156" i="13"/>
  <c r="K156" i="13" s="1"/>
  <c r="F157" i="13"/>
  <c r="K157" i="13" s="1"/>
  <c r="D156" i="13"/>
  <c r="S154" i="13"/>
  <c r="D157" i="13" s="1"/>
  <c r="H157" i="13" s="1"/>
  <c r="T154" i="13"/>
  <c r="D154" i="13" s="1"/>
  <c r="H154" i="13" s="1"/>
  <c r="U154" i="13"/>
  <c r="V154" i="13"/>
  <c r="W154" i="13"/>
  <c r="D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T156" i="13"/>
  <c r="F154" i="13" s="1"/>
  <c r="K154" i="13" s="1"/>
  <c r="U156" i="13"/>
  <c r="V156" i="13"/>
  <c r="W156" i="13"/>
  <c r="F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J40" i="37" l="1"/>
  <c r="O36" i="43"/>
  <c r="N49" i="43"/>
  <c r="AG244" i="40" s="1"/>
  <c r="AC244" i="40" s="1"/>
  <c r="AD244" i="40" s="1"/>
  <c r="AE244" i="40" s="1"/>
  <c r="AF244" i="40" s="1"/>
  <c r="J39" i="37"/>
  <c r="N55" i="43"/>
  <c r="AG260" i="40" s="1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N51" i="43"/>
  <c r="AG248" i="40" s="1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N53" i="43"/>
  <c r="AG252" i="40" s="1"/>
  <c r="AC252" i="40" s="1"/>
  <c r="AD252" i="40" s="1"/>
  <c r="AE252" i="40" s="1"/>
  <c r="AF252" i="40" s="1"/>
  <c r="O40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38" i="43"/>
  <c r="O51" i="43"/>
  <c r="AL248" i="40" s="1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P50" i="43"/>
  <c r="AM246" i="40" s="1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2" i="43"/>
  <c r="Q55" i="43" s="1"/>
  <c r="AN260" i="40" s="1"/>
  <c r="P55" i="43"/>
  <c r="AM260" i="40" s="1"/>
  <c r="AH260" i="40" s="1"/>
  <c r="AI260" i="40" s="1"/>
  <c r="AJ260" i="40" s="1"/>
  <c r="AK260" i="40" s="1"/>
  <c r="P47" i="43"/>
  <c r="AM240" i="40" s="1"/>
  <c r="AH240" i="40" s="1"/>
  <c r="AI240" i="40" s="1"/>
  <c r="AJ240" i="40" s="1"/>
  <c r="AK240" i="40" s="1"/>
  <c r="Q34" i="43"/>
  <c r="Q47" i="43" s="1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P36" i="43" l="1"/>
  <c r="O49" i="43"/>
  <c r="AL244" i="40" s="1"/>
  <c r="P40" i="43"/>
  <c r="O53" i="43"/>
  <c r="AL252" i="40" s="1"/>
  <c r="P51" i="43"/>
  <c r="AM248" i="40" s="1"/>
  <c r="AH248" i="40" s="1"/>
  <c r="AI248" i="40" s="1"/>
  <c r="AJ248" i="40" s="1"/>
  <c r="AK248" i="40" s="1"/>
  <c r="Q38" i="43"/>
  <c r="Q51" i="43" s="1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36" i="43" l="1"/>
  <c r="Q49" i="43" s="1"/>
  <c r="AN244" i="40" s="1"/>
  <c r="P49" i="43"/>
  <c r="AM244" i="40" s="1"/>
  <c r="AH244" i="40" s="1"/>
  <c r="AI244" i="40" s="1"/>
  <c r="AJ244" i="40" s="1"/>
  <c r="AK244" i="40" s="1"/>
  <c r="Q40" i="43"/>
  <c r="Q53" i="43" s="1"/>
  <c r="AN252" i="40" s="1"/>
  <c r="P53" i="43"/>
  <c r="AM252" i="40" s="1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7" i="31"/>
  <c r="AB7" i="31"/>
  <c r="AN7" i="31"/>
  <c r="R30" i="31"/>
  <c r="AB30" i="31"/>
  <c r="AN30" i="31"/>
  <c r="R38" i="31"/>
  <c r="AB38" i="31"/>
  <c r="AN38" i="31"/>
  <c r="R49" i="31"/>
  <c r="AB49" i="31"/>
  <c r="AN49" i="31"/>
  <c r="R8" i="29"/>
  <c r="S8" i="29"/>
  <c r="J9" i="29"/>
  <c r="Q6" i="29" s="1"/>
  <c r="Q9" i="29" s="1"/>
  <c r="K9" i="29"/>
  <c r="R6" i="29" s="1"/>
  <c r="R9" i="29" s="1"/>
  <c r="L9" i="29"/>
  <c r="S6" i="29" s="1"/>
  <c r="S9" i="29" s="1"/>
  <c r="J16" i="29"/>
  <c r="Q7" i="29" s="1"/>
  <c r="K16" i="29"/>
  <c r="R7" i="29" s="1"/>
  <c r="L16" i="29"/>
  <c r="S7" i="29" s="1"/>
  <c r="J22" i="29"/>
  <c r="Q8" i="29" s="1"/>
  <c r="K22" i="29"/>
  <c r="L22" i="29"/>
  <c r="P119" i="34" l="1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G84" i="34"/>
  <c r="G85" i="34" s="1"/>
  <c r="F84" i="34"/>
  <c r="F85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C47" i="28" l="1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C55" i="1" s="1"/>
  <c r="J55" i="1" s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1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0" i="10"/>
  <c r="J101" i="10"/>
  <c r="J102" i="10"/>
  <c r="J99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F101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E99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90" i="10"/>
  <c r="R92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J120" i="10"/>
  <c r="I74" i="13" s="1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J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E108" i="10"/>
  <c r="F108" i="10"/>
  <c r="F113" i="10" s="1"/>
  <c r="F114" i="10" s="1"/>
  <c r="S82" i="10" s="1"/>
  <c r="U82" i="10" s="1"/>
  <c r="V82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85" i="10" s="1"/>
  <c r="U85" i="10" s="1"/>
  <c r="V85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92" i="10" s="1"/>
  <c r="U92" i="10" s="1"/>
  <c r="V92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AB49" i="40" l="1"/>
  <c r="AB52" i="40"/>
  <c r="AB43" i="40"/>
  <c r="AB48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<sst xmlns="http://schemas.openxmlformats.org/spreadsheetml/2006/main" count="9086" uniqueCount="1534">
  <si>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</si>
  <si>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</si>
  <si>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</si>
  <si>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</si>
  <si>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</si>
  <si>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</si>
  <si>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</si>
  <si>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</si>
  <si>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</si>
  <si>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</si>
  <si>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</si>
  <si>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</si>
  <si>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</si>
  <si>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</si>
  <si>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</si>
  <si>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</si>
  <si>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</si>
  <si>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</si>
  <si>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</si>
  <si>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</si>
  <si>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</si>
  <si>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</si>
  <si>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</si>
  <si>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</si>
  <si>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</si>
  <si>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</si>
  <si>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</si>
  <si>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</si>
  <si>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</si>
  <si>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</si>
  <si>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</si>
  <si>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</si>
  <si>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</si>
  <si>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Production Data (SAISI, 2016) - compiled by Guy Cunliff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</si>
  <si>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</si>
  <si>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</si>
  <si>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</si>
  <si>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</si>
  <si>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</si>
  <si>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</si>
  <si>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</si>
  <si>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</si>
  <si>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</si>
  <si>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</si>
  <si>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</si>
  <si>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</si>
  <si>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</si>
  <si>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</si>
  <si>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</si>
  <si>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</si>
  <si>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</si>
  <si>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</si>
  <si>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</si>
  <si>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</si>
  <si>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</si>
  <si>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</si>
  <si>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</si>
  <si>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</si>
  <si>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</si>
  <si>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</si>
  <si>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</si>
  <si>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</si>
  <si>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</si>
  <si>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</si>
  <si>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</si>
  <si>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</si>
  <si>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</si>
  <si>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</si>
  <si>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</si>
  <si>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</si>
  <si>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</si>
  <si>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</si>
  <si>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</si>
  <si>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</si>
  <si>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</si>
  <si>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</si>
  <si>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</si>
  <si>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</si>
  <si>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</si>
  <si>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</si>
  <si>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</si>
  <si>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</si>
  <si>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</si>
  <si>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</si>
  <si>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</si>
  <si>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</si>
  <si>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</si>
  <si>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</si>
  <si>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</si>
  <si>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</si>
  <si>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</si>
  <si>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</si>
  <si>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</si>
  <si>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</si>
  <si>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</si>
  <si>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</si>
  <si>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</si>
  <si>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</si>
  <si>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</si>
  <si>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</si>
  <si>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</si>
  <si>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</si>
  <si>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</si>
  <si>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</si>
  <si>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</si>
  <si>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</si>
  <si>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</si>
  <si>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</si>
  <si>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</si>
  <si>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</si>
  <si>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</si>
  <si>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</si>
  <si>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</si>
  <si>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</si>
  <si>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</si>
  <si>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</si>
  <si>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</si>
  <si>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</si>
  <si>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</si>
  <si>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</si>
  <si>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</si>
  <si>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</si>
  <si>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</si>
  <si>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</si>
  <si>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</si>
  <si>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</si>
  <si>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</si>
  <si>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</si>
  <si>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</si>
  <si>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</si>
  <si>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</si>
  <si>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</si>
  <si>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</si>
  <si>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</si>
  <si>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</si>
  <si>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</si>
  <si>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</si>
  <si>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</si>
  <si>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</si>
  <si>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</si>
  <si>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</si>
  <si>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</si>
  <si>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</si>
  <si>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</si>
  <si>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</si>
  <si>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</si>
  <si>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</si>
  <si>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</si>
  <si>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</si>
  <si>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</si>
  <si>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</si>
  <si>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</si>
  <si>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</si>
  <si>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</si>
  <si>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</si>
  <si>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</si>
  <si>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</si>
  <si>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</si>
  <si>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</si>
  <si>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</si>
  <si>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</si>
  <si>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</si>
  <si>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</si>
  <si>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</si>
  <si>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</si>
  <si>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</si>
  <si>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</si>
  <si>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</si>
  <si>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</si>
  <si>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</si>
  <si>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</si>
  <si>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</si>
  <si>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</si>
  <si>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</si>
  <si>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</si>
  <si>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</si>
  <si>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</si>
  <si>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</si>
  <si>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</si>
  <si>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</si>
  <si>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</si>
  <si>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</si>
  <si>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</si>
  <si>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</si>
  <si>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</si>
  <si>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</si>
  <si>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</si>
  <si>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</si>
  <si>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</si>
  <si>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</si>
  <si>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</si>
  <si>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</si>
  <si>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</si>
  <si>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</si>
  <si>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</si>
  <si>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</si>
  <si>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</si>
  <si>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</si>
  <si>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</si>
  <si>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</si>
  <si>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</si>
  <si>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</si>
  <si>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</si>
  <si>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</si>
  <si>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</si>
  <si>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</si>
  <si>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</si>
  <si>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</si>
  <si>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</si>
  <si>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</si>
  <si>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</si>
  <si>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</si>
  <si>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</si>
  <si>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</si>
  <si>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</si>
  <si>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</si>
  <si>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</si>
  <si>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</si>
  <si>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</si>
  <si>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</si>
  <si>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</si>
  <si>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</si>
  <si>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</si>
  <si>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</si>
  <si>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</si>
  <si>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</si>
  <si>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</si>
  <si>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</si>
  <si>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</si>
  <si>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</si>
  <si>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</si>
  <si>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</si>
  <si>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</si>
  <si>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</si>
  <si>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</si>
  <si>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</si>
  <si>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</si>
  <si>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</si>
  <si>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</si>
  <si>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</si>
  <si>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</si>
  <si>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</si>
  <si>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</si>
  <si>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</si>
  <si>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</si>
  <si>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</si>
  <si>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</si>
  <si>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</si>
  <si>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</si>
  <si>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</si>
  <si>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</si>
  <si>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</si>
  <si>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</si>
  <si>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</si>
  <si>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</si>
  <si>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</si>
  <si>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</si>
  <si>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</si>
  <si>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</si>
  <si>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</si>
  <si>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</si>
  <si>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</si>
  <si>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</si>
  <si>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</si>
  <si>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</si>
  <si>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</si>
  <si>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</si>
  <si>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</si>
  <si>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</si>
  <si>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</si>
  <si>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</si>
  <si>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</si>
  <si>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</si>
  <si>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</si>
  <si>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</si>
  <si>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</si>
  <si>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</si>
  <si>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</si>
  <si>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</si>
  <si>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</si>
  <si>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</si>
  <si>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</si>
  <si>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</si>
  <si>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</si>
  <si>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</si>
  <si>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</si>
  <si>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</si>
  <si>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</si>
  <si>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</si>
  <si>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</si>
  <si>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</si>
  <si>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</si>
  <si>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</si>
  <si>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</si>
  <si>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</si>
  <si>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</si>
  <si>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</si>
  <si>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</si>
  <si>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</si>
  <si>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</si>
  <si>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</si>
  <si>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</si>
  <si>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</si>
  <si>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</si>
  <si>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</si>
  <si>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</si>
  <si>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</si>
  <si>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</si>
  <si>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</si>
  <si>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</si>
  <si>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</si>
  <si>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</si>
  <si>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</si>
  <si>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</si>
  <si>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</si>
  <si>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</si>
  <si>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</si>
  <si>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</si>
  <si>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</si>
  <si>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</si>
  <si>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</si>
  <si>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</si>
  <si>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</si>
  <si>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</si>
  <si>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</si>
  <si>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</si>
  <si>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</si>
  <si>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</si>
  <si>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</si>
  <si>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</si>
  <si>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</si>
  <si>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</si>
  <si>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</si>
  <si>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</si>
  <si>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</si>
  <si>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</si>
  <si>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</si>
  <si>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</si>
  <si>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</si>
  <si>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</si>
  <si>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</si>
  <si>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</si>
  <si>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</si>
  <si>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</si>
  <si>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</si>
  <si>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</si>
  <si>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</si>
  <si>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</si>
  <si>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</si>
  <si>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</si>
  <si>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</si>
  <si>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</si>
  <si>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</si>
  <si>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</si>
  <si>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</si>
  <si>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</si>
  <si>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</si>
  <si>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</si>
  <si>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</si>
  <si>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</si>
  <si>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</si>
  <si>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</si>
  <si>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</si>
  <si>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</si>
  <si>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</si>
  <si>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</si>
  <si>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</si>
  <si>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</si>
  <si>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</si>
  <si>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</si>
  <si>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</si>
  <si>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</si>
  <si>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</si>
  <si>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</si>
  <si>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</si>
  <si>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</si>
  <si>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</si>
  <si>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</si>
  <si>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</si>
  <si>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</si>
  <si>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</si>
  <si>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</si>
  <si>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</si>
  <si>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</si>
  <si>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</si>
  <si>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</si>
  <si>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</si>
  <si>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</si>
  <si>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</si>
  <si>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</si>
  <si>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</si>
  <si>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</si>
  <si>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</si>
  <si>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</si>
  <si>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</si>
  <si>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</si>
  <si>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</si>
  <si>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</si>
  <si>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</si>
  <si>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</si>
  <si>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</si>
  <si>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</si>
  <si>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</si>
  <si>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</si>
  <si>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</si>
  <si>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</si>
  <si>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</si>
  <si>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</si>
  <si>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</si>
  <si>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</si>
  <si>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</si>
  <si>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</si>
  <si>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</si>
  <si>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</si>
  <si>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</si>
  <si>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</si>
  <si>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</si>
  <si>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</si>
  <si>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</si>
  <si>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</si>
  <si>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</si>
  <si>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</si>
  <si>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</si>
  <si>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</si>
  <si>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</si>
  <si>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</si>
  <si>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</si>
  <si>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</si>
  <si>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</si>
  <si>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</si>
  <si>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</si>
  <si>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</si>
  <si>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</si>
  <si>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</si>
  <si>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</si>
  <si>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</si>
  <si>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</si>
  <si>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</si>
  <si>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</si>
  <si>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</si>
  <si>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</si>
  <si>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</si>
  <si>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</si>
  <si>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</si>
  <si>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</si>
  <si>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</si>
  <si>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</si>
  <si>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</si>
  <si>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</si>
  <si>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</si>
  <si>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</si>
  <si>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</si>
  <si>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</si>
  <si>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</si>
  <si>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</si>
  <si>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</si>
  <si>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</si>
  <si>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</si>
  <si>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</si>
  <si>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</si>
  <si>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</si>
  <si>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</si>
  <si>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</si>
  <si>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</si>
  <si>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</si>
  <si>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</si>
  <si>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</si>
  <si>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</si>
  <si>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</si>
  <si>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</si>
  <si>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</si>
  <si>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</si>
  <si>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</si>
  <si>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</si>
  <si>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</si>
  <si>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</si>
  <si>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</si>
  <si>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</si>
  <si>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</si>
  <si>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</si>
  <si>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</si>
  <si>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</si>
  <si>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</si>
  <si>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</si>
  <si>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</si>
  <si>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</si>
  <si>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</si>
  <si>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</si>
  <si>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</si>
  <si>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</si>
  <si>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</si>
  <si>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</si>
  <si>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</si>
  <si>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</si>
  <si>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</si>
  <si>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</si>
  <si>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</si>
  <si>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</si>
  <si>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</si>
  <si>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</si>
  <si>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</si>
  <si>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</si>
  <si>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</si>
  <si>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</si>
  <si>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</si>
  <si>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</si>
  <si>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</si>
  <si>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</si>
  <si>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</si>
  <si>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</si>
  <si>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</si>
  <si>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</si>
  <si>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</si>
  <si>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</si>
  <si>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</si>
  <si>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</si>
  <si>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</si>
  <si>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</si>
  <si>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</si>
  <si>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</si>
  <si>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</si>
  <si>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</si>
  <si>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</si>
  <si>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</si>
  <si>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</si>
  <si>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</si>
  <si>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</si>
  <si>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</si>
  <si>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</si>
  <si>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</si>
  <si>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</si>
  <si>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</si>
  <si>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</si>
  <si>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</si>
  <si>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</si>
  <si>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</si>
  <si>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</si>
  <si>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</si>
  <si>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</si>
  <si>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</si>
  <si>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</si>
  <si>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</si>
  <si>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</si>
  <si>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</si>
  <si>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</si>
  <si>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</si>
  <si>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</si>
  <si>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</si>
  <si>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</si>
  <si>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</si>
  <si>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</si>
  <si>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</si>
  <si>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</si>
  <si>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</si>
  <si>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</si>
  <si>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</si>
  <si>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</si>
  <si>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</si>
  <si>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</si>
  <si>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</si>
  <si>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</si>
  <si>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</si>
  <si>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</si>
  <si>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</si>
  <si>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</si>
  <si>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</si>
  <si>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From Grooteluk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</si>
  <si>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</si>
  <si>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</si>
  <si>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</si>
  <si>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</si>
  <si>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</si>
  <si>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</si>
  <si>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</si>
  <si>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</si>
  <si>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</si>
  <si>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</si>
  <si>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</si>
  <si>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</si>
  <si>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</si>
  <si>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</si>
  <si>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</si>
  <si>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</si>
  <si>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</si>
  <si>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</si>
  <si>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</si>
  <si>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</si>
  <si>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</si>
  <si>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</si>
  <si>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</si>
  <si>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</si>
  <si>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</si>
  <si>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</si>
  <si>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</si>
  <si>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</si>
  <si>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</si>
  <si>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</si>
  <si>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</si>
  <si>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</si>
  <si>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</si>
  <si>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</si>
  <si>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</si>
  <si>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</si>
  <si>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</si>
  <si>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</si>
  <si>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</si>
  <si>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</si>
  <si>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</si>
  <si>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</si>
  <si>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</si>
  <si>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</si>
  <si>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</si>
  <si>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</si>
  <si>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</si>
  <si>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</si>
  <si>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</si>
  <si>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</si>
  <si>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</si>
  <si>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</si>
  <si>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</si>
  <si>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</si>
  <si>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</si>
  <si>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</si>
  <si>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</si>
  <si>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</si>
  <si>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</si>
  <si>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</si>
  <si>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</si>
  <si>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</si>
  <si>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</si>
  <si>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</si>
  <si>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</si>
  <si>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</si>
  <si>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</si>
  <si>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</si>
  <si>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</si>
  <si>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</si>
  <si>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</si>
  <si>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</si>
  <si>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</si>
  <si>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</si>
  <si>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</si>
  <si>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</si>
  <si>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</si>
  <si>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</si>
  <si>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</si>
  <si>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</si>
  <si>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</si>
  <si>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</si>
  <si>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</si>
  <si>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</si>
  <si>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</si>
  <si>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</si>
  <si>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</si>
  <si>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</si>
  <si>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</si>
  <si>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</si>
  <si>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</si>
  <si>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</si>
  <si>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</si>
  <si>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</si>
  <si>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</si>
  <si>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</si>
  <si>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</si>
  <si>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</si>
  <si>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</si>
  <si>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</si>
  <si>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</si>
  <si>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</si>
  <si>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</si>
  <si>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</si>
  <si>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</si>
  <si>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</si>
  <si>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</si>
  <si>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</si>
  <si>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</si>
  <si>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</si>
  <si>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</si>
  <si>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</si>
  <si>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</si>
  <si>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</si>
  <si>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</si>
  <si>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</si>
  <si>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</si>
  <si>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</si>
  <si>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</si>
  <si>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</si>
  <si>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</si>
  <si>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</si>
  <si>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</si>
  <si>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</si>
  <si>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</si>
  <si>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</si>
  <si>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</si>
  <si>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</si>
  <si>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</si>
  <si>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</si>
  <si>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</si>
  <si>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</si>
  <si>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</si>
  <si>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</si>
  <si>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</si>
  <si>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</si>
  <si>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</si>
  <si>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</si>
  <si>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</si>
  <si>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</si>
  <si>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</si>
  <si>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</si>
  <si>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</si>
  <si>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</si>
  <si>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</si>
  <si>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</si>
  <si>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</si>
  <si>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</si>
  <si>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</si>
  <si>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</si>
  <si>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</si>
  <si>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</si>
  <si>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</si>
  <si>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</si>
  <si>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</si>
  <si>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</si>
  <si>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</si>
  <si>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</si>
  <si>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</si>
  <si>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</si>
  <si>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</si>
  <si>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</si>
  <si>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</si>
  <si>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</si>
  <si>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</si>
  <si>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</si>
  <si>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</si>
  <si>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</si>
  <si>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</si>
  <si>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</si>
  <si>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</si>
  <si>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</si>
  <si>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</si>
  <si>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</si>
  <si>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</si>
  <si>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</si>
  <si>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</si>
  <si>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</si>
  <si>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</si>
  <si>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</si>
  <si>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</si>
  <si>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</si>
  <si>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</si>
  <si>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</si>
  <si>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</si>
  <si>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</si>
  <si>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</si>
  <si>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</si>
  <si>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</si>
  <si>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</si>
  <si>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</si>
  <si>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</si>
  <si>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</si>
  <si>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</si>
  <si>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</si>
  <si>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</si>
  <si>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</si>
  <si>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</si>
  <si>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</si>
  <si>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</si>
  <si>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</si>
  <si>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</si>
  <si>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</si>
  <si>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</si>
  <si>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</si>
  <si>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</si>
  <si>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</si>
  <si>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</si>
  <si>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</si>
  <si>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</si>
  <si>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</si>
  <si>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</si>
  <si>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</si>
  <si>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</si>
  <si>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</si>
  <si>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</si>
  <si>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</si>
  <si>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</si>
  <si>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</si>
  <si>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</si>
  <si>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</si>
  <si>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</si>
  <si>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</si>
  <si>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</si>
  <si>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</si>
  <si>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</si>
  <si>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</si>
  <si>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</si>
  <si>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</si>
  <si>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</si>
  <si>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</si>
  <si>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</si>
  <si>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</si>
  <si>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</si>
  <si>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</si>
  <si>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</si>
  <si>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</si>
  <si>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</si>
  <si>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</si>
  <si>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</si>
  <si>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</si>
  <si>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</si>
  <si>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</si>
  <si>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</si>
  <si>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</si>
  <si>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</si>
  <si>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</si>
  <si>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</si>
  <si>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</si>
  <si>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</si>
  <si>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</si>
  <si>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</si>
  <si>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</si>
  <si>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</si>
  <si>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</si>
  <si>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</si>
  <si>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</si>
  <si>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</si>
  <si>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</si>
  <si>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</si>
  <si>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</si>
  <si>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</si>
  <si>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</si>
  <si>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</si>
  <si>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</si>
  <si>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</si>
  <si>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</si>
  <si>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</si>
  <si>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</si>
  <si>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</si>
  <si>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</si>
  <si>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</si>
  <si>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</si>
  <si>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</si>
  <si>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</si>
  <si>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</si>
  <si>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</si>
  <si>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</si>
  <si>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</si>
  <si>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</si>
  <si>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</si>
  <si>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</si>
  <si>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</si>
  <si>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</si>
  <si>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</si>
  <si>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</si>
  <si>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</si>
  <si>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</si>
  <si>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</si>
  <si>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</si>
  <si>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</si>
  <si>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</si>
  <si>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</si>
  <si>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</si>
  <si>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</si>
  <si>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</si>
  <si>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</si>
  <si>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</si>
  <si>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</si>
  <si>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</si>
  <si>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</si>
  <si>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</si>
  <si>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</si>
  <si>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</si>
  <si>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</si>
  <si>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</si>
  <si>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</si>
  <si>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</si>
  <si>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</si>
  <si>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</si>
  <si>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</si>
  <si>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</si>
  <si>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</si>
  <si>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</si>
  <si>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</si>
  <si>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</si>
  <si>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</si>
  <si>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</si>
  <si>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</si>
  <si>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</si>
  <si>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</si>
  <si>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</si>
  <si>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</si>
  <si>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</si>
  <si>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</si>
  <si>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</si>
  <si>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</si>
  <si>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</si>
  <si>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</si>
  <si>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</si>
  <si>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</si>
  <si>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</si>
  <si>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</si>
  <si>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</si>
  <si>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</si>
  <si>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</si>
  <si>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</si>
  <si>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</si>
  <si>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</si>
  <si>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</si>
  <si>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</si>
  <si>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</si>
  <si>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</si>
  <si>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</si>
  <si>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</si>
  <si>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</si>
  <si>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</si>
  <si>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</si>
  <si>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</si>
  <si>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</si>
  <si>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</si>
  <si>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</si>
  <si>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</si>
  <si>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</si>
  <si>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</si>
  <si>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</si>
  <si>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</si>
  <si>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</si>
  <si>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</si>
  <si>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</si>
  <si>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</si>
  <si>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</si>
  <si>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</si>
  <si>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</si>
  <si>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</si>
  <si>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</si>
  <si>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</si>
  <si>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</si>
  <si>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</si>
  <si>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</si>
  <si>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</si>
  <si>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</si>
  <si>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</si>
  <si>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</si>
  <si>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</si>
  <si>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</si>
  <si>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</si>
  <si>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</si>
  <si>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</si>
  <si>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</si>
  <si>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</si>
  <si>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</si>
  <si>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</si>
  <si>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</si>
  <si>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</si>
  <si>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</si>
  <si>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</si>
  <si>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</si>
  <si>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</si>
  <si>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</si>
  <si>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</si>
  <si>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</si>
  <si>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</si>
  <si>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</si>
  <si>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</si>
  <si>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</si>
  <si>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</si>
  <si>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</si>
  <si>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</si>
  <si>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</si>
  <si>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</si>
  <si>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</si>
  <si>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</si>
  <si>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</si>
  <si>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</si>
  <si>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</si>
  <si>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</si>
  <si>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</si>
  <si>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</si>
  <si>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</si>
  <si>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</si>
  <si>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</si>
  <si>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</si>
  <si>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</si>
  <si>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</si>
  <si>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</si>
  <si>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</si>
  <si>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</si>
  <si>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</si>
  <si>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</si>
  <si>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</si>
  <si>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</si>
  <si>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</si>
  <si>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</si>
  <si>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</si>
  <si>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</si>
  <si>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</si>
  <si>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</si>
  <si>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</si>
  <si>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</si>
  <si>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</si>
  <si>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</si>
  <si>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</si>
  <si>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</si>
  <si>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</si>
  <si>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</si>
  <si>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</si>
  <si>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</si>
  <si>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</si>
  <si>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</si>
  <si>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</si>
  <si>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</si>
  <si>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</si>
  <si>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</si>
  <si>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</si>
  <si>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</si>
  <si>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</si>
  <si>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</si>
  <si>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</si>
  <si>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</si>
  <si>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</si>
  <si>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</si>
  <si>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</si>
  <si>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</si>
  <si>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</si>
  <si>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</si>
  <si>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</si>
  <si>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</si>
  <si>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</si>
  <si>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</si>
  <si>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</si>
  <si>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</si>
  <si>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</si>
  <si>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</si>
  <si>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</si>
  <si>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</si>
  <si>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</si>
  <si>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</si>
  <si>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</si>
  <si>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</si>
  <si>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</si>
  <si>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</si>
  <si>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</si>
  <si>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</si>
  <si>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</si>
  <si>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</si>
  <si>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</si>
  <si>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</si>
  <si>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</si>
  <si>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</si>
  <si>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</si>
  <si>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</si>
  <si>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</si>
  <si>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</si>
  <si>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</si>
  <si>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</si>
  <si>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</si>
  <si>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</si>
  <si>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</si>
  <si>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</si>
  <si>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</si>
  <si>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</si>
  <si>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</si>
  <si>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</si>
  <si>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</si>
  <si>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</si>
  <si>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</si>
  <si>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</si>
  <si>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</si>
  <si>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</si>
  <si>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</si>
  <si>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</si>
  <si>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</si>
  <si>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</si>
  <si>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</si>
  <si>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</si>
  <si>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</si>
  <si>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</si>
  <si>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</si>
  <si>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</si>
  <si>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</si>
  <si>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</si>
  <si>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</si>
  <si>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</si>
  <si>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</si>
  <si>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</si>
  <si>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</si>
  <si>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</si>
  <si>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</si>
  <si>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</si>
  <si>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</si>
  <si>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</si>
  <si>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</si>
  <si>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</si>
  <si>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</si>
  <si>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</si>
  <si>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</si>
  <si>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</si>
  <si>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</si>
  <si>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</si>
  <si>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</si>
  <si>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</si>
  <si>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</si>
  <si>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</si>
  <si>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</si>
  <si>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</si>
  <si>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</si>
  <si>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</si>
  <si>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</si>
  <si>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</si>
  <si>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</si>
  <si>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</si>
  <si>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</si>
  <si>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</si>
  <si>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</si>
  <si>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</si>
  <si>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</si>
  <si>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</si>
  <si>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</si>
  <si>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</si>
  <si>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</si>
  <si>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</si>
  <si>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</si>
  <si>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</si>
  <si>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</si>
  <si>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</si>
  <si>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</si>
  <si>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</si>
  <si>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</si>
  <si>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</si>
  <si>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</si>
  <si>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</si>
  <si>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</si>
  <si>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</si>
  <si>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</si>
  <si>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</si>
  <si>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</si>
  <si>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</si>
  <si>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</si>
  <si>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</si>
  <si>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</si>
  <si>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</si>
  <si>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</si>
  <si>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</si>
  <si>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</si>
  <si>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</si>
  <si>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</si>
  <si>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</si>
  <si>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</si>
  <si>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</si>
  <si>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</si>
  <si>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</si>
  <si>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</si>
  <si>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</si>
  <si>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</si>
  <si>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</si>
  <si>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</si>
  <si>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</si>
  <si>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</si>
  <si>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</si>
  <si>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</si>
  <si>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</si>
  <si>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</si>
  <si>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</si>
  <si>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</si>
  <si>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</si>
  <si>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</si>
  <si>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</si>
  <si>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</si>
  <si>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</si>
  <si>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</si>
  <si>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</si>
  <si>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</si>
  <si>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</si>
  <si>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</si>
  <si>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</si>
  <si>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</si>
  <si>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</si>
  <si>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</si>
  <si>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</si>
  <si>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</si>
  <si>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</si>
  <si>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</si>
  <si>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</si>
  <si>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</si>
  <si>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</si>
  <si>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</si>
  <si>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</si>
  <si>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</si>
  <si>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</si>
  <si>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</si>
  <si>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</si>
  <si>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</si>
  <si>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</si>
  <si>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</si>
  <si>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</si>
  <si>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</si>
  <si>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</si>
  <si>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</si>
  <si>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</si>
  <si>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</si>
  <si>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</si>
  <si>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</si>
  <si>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</si>
  <si>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</si>
  <si>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</si>
  <si>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</si>
  <si>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</si>
  <si>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</si>
  <si>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</si>
  <si>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</si>
  <si>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</si>
  <si>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</si>
  <si>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</si>
  <si>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</si>
  <si>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</si>
  <si>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</si>
  <si>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</si>
  <si>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</si>
  <si>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</si>
  <si>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</si>
  <si>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</si>
  <si>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</si>
  <si>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</si>
  <si>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</si>
  <si>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</si>
  <si>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</si>
  <si>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</si>
  <si>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</si>
  <si>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</si>
  <si>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</si>
  <si>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</si>
  <si>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</si>
  <si>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</si>
  <si>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</si>
  <si>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</si>
  <si>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</si>
  <si>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</si>
  <si>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</si>
  <si>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</si>
  <si>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</si>
  <si>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</si>
  <si>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</si>
  <si>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</si>
  <si>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</si>
  <si>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</si>
  <si>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</si>
  <si>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</si>
  <si>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</si>
  <si>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</si>
  <si>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</si>
  <si>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</si>
  <si>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</si>
  <si>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</si>
  <si>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</si>
  <si>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</si>
  <si>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</si>
  <si>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</si>
  <si>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</si>
  <si>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</si>
  <si>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</si>
  <si>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</si>
  <si>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</si>
  <si>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</si>
  <si>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</si>
  <si>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</si>
  <si>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</si>
  <si>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</si>
  <si>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</si>
  <si>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</si>
  <si>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</si>
  <si>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</si>
  <si>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</si>
  <si>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</si>
  <si>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</si>
  <si>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</si>
  <si>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</si>
  <si>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</si>
  <si>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</si>
  <si>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</si>
  <si>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</si>
  <si>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</si>
  <si>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</si>
  <si>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</si>
  <si>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</si>
  <si>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</si>
  <si>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</si>
  <si>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</si>
  <si>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</si>
  <si>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</si>
  <si>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</si>
  <si>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</si>
  <si>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</si>
  <si>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</si>
  <si>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</si>
  <si>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</si>
  <si>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</si>
  <si>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</si>
  <si>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</si>
  <si>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</si>
  <si>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</si>
  <si>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</si>
  <si>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</si>
  <si>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</si>
  <si>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</si>
  <si>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</si>
  <si>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</si>
  <si>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</si>
  <si>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</si>
  <si>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</si>
  <si>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</si>
  <si>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</si>
  <si>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</si>
  <si>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</si>
  <si>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</si>
  <si>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</si>
  <si>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</si>
  <si>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</si>
  <si>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</si>
  <si>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</si>
  <si>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</si>
  <si>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</si>
  <si>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</si>
  <si>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</si>
  <si>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</si>
  <si>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</si>
  <si>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</si>
  <si>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</si>
  <si>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</si>
  <si>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</si>
  <si>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</si>
  <si>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</si>
  <si>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</si>
  <si>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</si>
  <si>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</si>
  <si>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</si>
  <si>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</si>
  <si>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</si>
  <si>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</si>
  <si>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</si>
  <si>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</si>
  <si>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</si>
  <si>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</si>
  <si>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</si>
  <si>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</si>
  <si>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</si>
  <si>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</si>
  <si>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</si>
  <si>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</si>
  <si>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</si>
  <si>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</si>
  <si>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</si>
  <si>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</si>
  <si>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</si>
  <si>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</si>
  <si>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</si>
  <si>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</si>
  <si>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</si>
  <si>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</si>
  <si>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</si>
  <si>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</si>
  <si>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</si>
  <si>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</si>
  <si>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</si>
  <si>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</si>
  <si>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</si>
  <si>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</si>
  <si>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</si>
  <si>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</si>
  <si>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</si>
  <si>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</si>
  <si>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</si>
  <si>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</si>
  <si>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</si>
  <si>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</si>
  <si>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</si>
  <si>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</si>
  <si>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</si>
  <si>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</si>
  <si>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</si>
  <si>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</si>
  <si>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</si>
  <si>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</si>
  <si>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</si>
  <si>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</si>
  <si>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</si>
  <si>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</si>
  <si>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</si>
  <si>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</si>
  <si>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</si>
  <si>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</si>
  <si>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</si>
  <si>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</si>
  <si>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</si>
  <si>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</si>
  <si>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</si>
  <si>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</si>
  <si>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</si>
  <si>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</si>
  <si>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</si>
  <si>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</si>
  <si>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</si>
  <si>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</si>
  <si>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</si>
  <si>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</si>
  <si>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</si>
  <si>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</si>
  <si>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</si>
  <si>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</si>
  <si>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</si>
  <si>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</si>
  <si>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</si>
  <si>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</si>
  <si>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</si>
  <si>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</si>
  <si>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</si>
  <si>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</si>
  <si>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</si>
  <si>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</si>
  <si>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</si>
  <si>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</si>
  <si>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</si>
  <si>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</si>
  <si>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</si>
  <si>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</si>
  <si>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</si>
  <si>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</si>
  <si>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</si>
  <si>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</si>
  <si>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</si>
  <si>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</si>
  <si>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</si>
  <si>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</si>
  <si>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</si>
  <si>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</si>
  <si>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</si>
  <si>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</si>
  <si>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</si>
  <si>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</si>
  <si>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</si>
  <si>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</si>
  <si>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</si>
  <si>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</si>
  <si>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</si>
  <si>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</si>
  <si>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</si>
  <si>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</si>
  <si>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</si>
  <si>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</si>
  <si>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</si>
  <si>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</si>
  <si>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</si>
  <si>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</si>
  <si>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</si>
  <si>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</si>
  <si>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</si>
  <si>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</si>
  <si>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</si>
  <si>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</si>
  <si>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</si>
  <si>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</si>
  <si>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</si>
  <si>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</si>
  <si>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</si>
  <si>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</si>
  <si>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</si>
  <si>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</si>
  <si>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</si>
  <si>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</si>
  <si>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</si>
  <si>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</si>
  <si>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</si>
  <si>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</si>
  <si>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</si>
  <si>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</si>
  <si>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</si>
  <si>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</si>
  <si>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</si>
  <si>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</si>
  <si>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</si>
  <si>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</si>
  <si>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</si>
  <si>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</si>
  <si>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</si>
  <si>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</si>
  <si>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</si>
  <si>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</si>
  <si>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</si>
  <si>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</si>
  <si>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</si>
  <si>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</si>
  <si>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</si>
  <si>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</si>
  <si>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</si>
  <si>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</si>
  <si>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</si>
  <si>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</si>
  <si>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</si>
  <si>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</si>
  <si>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</si>
  <si>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</si>
  <si>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</si>
  <si>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</si>
  <si>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</si>
  <si>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</si>
  <si>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</si>
  <si>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</si>
  <si>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</si>
  <si>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</si>
  <si>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</si>
  <si>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</si>
  <si>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</si>
  <si>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</si>
  <si>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</si>
  <si>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</si>
  <si>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</si>
  <si>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</si>
  <si>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</si>
  <si>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</si>
  <si>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</si>
  <si>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</si>
  <si>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</si>
  <si>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</si>
  <si>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</si>
  <si>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</si>
  <si>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</si>
  <si>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</si>
  <si>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</si>
  <si>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</si>
  <si>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</si>
  <si>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is PAMS on?</t>
  </si>
  <si>
    <t>Iron and Steel EE techs</t>
  </si>
  <si>
    <t>PAMS on?</t>
  </si>
  <si>
    <t>Tamaryns</t>
  </si>
  <si>
    <t>PAMS list:</t>
  </si>
  <si>
    <t>original numbers</t>
  </si>
  <si>
    <t>For PAMS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</si>
</sst>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</fills>
  <borders count="6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177" fontId="0" fillId="0" borderId="0" xfId="28" applyFont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externalLink" Target="externalLinks/externalLink19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842282" y="3377293"/>
          <a:ext cx="7334522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84030" y="2626979"/>
          <a:ext cx="11979796" cy="5492371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78235" y="1086970"/>
          <a:ext cx="10521053" cy="5475025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295291</xdr:colOff>
      <xdr:row>90</xdr:row>
      <xdr:rowOff>105817</xdr:rowOff>
    </xdr:from>
    <xdr:to>
      <xdr:col>14</xdr:col>
      <xdr:colOff>306611</xdr:colOff>
      <xdr:row>109</xdr:row>
      <xdr:rowOff>81925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 rot="18533538">
          <a:off x="8980647" y="19119161"/>
          <a:ext cx="3614658" cy="620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266700</xdr:colOff>
      <xdr:row>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"/>
          <a:ext cx="10020300" cy="623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31</xdr:col>
      <xdr:colOff>249890</xdr:colOff>
      <xdr:row>26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571500"/>
          <a:ext cx="756509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65120</xdr:rowOff>
    </xdr:from>
    <xdr:to>
      <xdr:col>24</xdr:col>
      <xdr:colOff>419100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0812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2017"/>
      <sheetName val="IND"/>
      <sheetName val="PAMS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About"/>
      <sheetName val="IS-Items"/>
      <sheetName val="IS-TSData"/>
      <sheetName val="IS-TIDData"/>
      <sheetName val="Iron &amp; Steel"/>
      <sheetName val="HDRI-Items"/>
      <sheetName val="HDRI-TSData"/>
      <sheetName val="HDRI-TIDData"/>
      <sheetName val="NETZERO"/>
      <sheetName val="PP-Items"/>
      <sheetName val="PP-TSData"/>
      <sheetName val="PP-TIDData"/>
      <sheetName val="PP-TSData (2)"/>
      <sheetName val="PP updat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2">
          <cell r="J2">
            <v>4.0820999999999996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3">
          <cell r="J13">
            <v>3.2959999999999998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0">
          <cell r="A10" t="str">
            <v>Mining</v>
          </cell>
        </row>
        <row r="13">
          <cell r="M13">
            <v>0</v>
          </cell>
        </row>
        <row r="48">
          <cell r="AS48" t="str">
            <v>Low</v>
          </cell>
        </row>
        <row r="56">
          <cell r="AS56" t="b">
            <v>0</v>
          </cell>
        </row>
      </sheetData>
      <sheetData sheetId="59">
        <row r="3">
          <cell r="B3" t="b">
            <v>1</v>
          </cell>
        </row>
        <row r="225">
          <cell r="F225">
            <v>-1.2500000000000001E-2</v>
          </cell>
        </row>
        <row r="234"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</sheetData>
      <sheetData sheetId="60"/>
      <sheetData sheetId="61">
        <row r="35">
          <cell r="A35" t="str">
            <v>*</v>
          </cell>
        </row>
      </sheetData>
      <sheetData sheetId="62"/>
      <sheetData sheetId="63"/>
      <sheetData sheetId="64"/>
      <sheetData sheetId="65">
        <row r="10">
          <cell r="A10" t="str">
            <v/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>
        <row r="24">
          <cell r="J24">
            <v>6.94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>
        <row r="29">
          <cell r="J29">
            <v>0.73711514499999997</v>
          </cell>
        </row>
      </sheetData>
      <sheetData sheetId="97"/>
      <sheetData sheetId="98"/>
      <sheetData sheetId="9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  <row r="57">
          <cell r="C57">
            <v>16.42657042314022</v>
          </cell>
        </row>
        <row r="58">
          <cell r="C58">
            <v>16.42657042314022</v>
          </cell>
        </row>
        <row r="59">
          <cell r="C59">
            <v>22.151676172353415</v>
          </cell>
        </row>
        <row r="60">
          <cell r="C60">
            <v>27.743824076135091</v>
          </cell>
        </row>
        <row r="61">
          <cell r="C61">
            <v>27.743824076135091</v>
          </cell>
        </row>
        <row r="62">
          <cell r="C62"/>
        </row>
        <row r="63">
          <cell r="C63">
            <v>44.655000000000001</v>
          </cell>
        </row>
        <row r="64">
          <cell r="C64">
            <v>5.4887322803632257</v>
          </cell>
        </row>
        <row r="65">
          <cell r="C65">
            <v>5.4887322803632257</v>
          </cell>
        </row>
        <row r="82">
          <cell r="D82">
            <v>0.26361053874824431</v>
          </cell>
          <cell r="E82">
            <v>0.26624664413572674</v>
          </cell>
        </row>
        <row r="83">
          <cell r="D83">
            <v>0.74238447012267461</v>
          </cell>
          <cell r="E83">
            <v>0.74980831482390131</v>
          </cell>
        </row>
        <row r="84">
          <cell r="D84">
            <v>0</v>
          </cell>
          <cell r="E84">
            <v>0</v>
          </cell>
        </row>
        <row r="85">
          <cell r="D85">
            <v>0.77646494405992639</v>
          </cell>
          <cell r="E85">
            <v>0.78422959350052568</v>
          </cell>
        </row>
        <row r="86">
          <cell r="D86">
            <v>0.46153846153846151</v>
          </cell>
          <cell r="E86">
            <v>0.46615384615384614</v>
          </cell>
        </row>
        <row r="87">
          <cell r="D87">
            <v>0.12782206880423377</v>
          </cell>
          <cell r="E87">
            <v>0.12910028949227612</v>
          </cell>
        </row>
        <row r="88">
          <cell r="D88">
            <v>0.17508378988061105</v>
          </cell>
          <cell r="E88">
            <v>0.17683462777941716</v>
          </cell>
        </row>
        <row r="89">
          <cell r="D89">
            <v>0.74487768236857965</v>
          </cell>
          <cell r="E89">
            <v>0.75232645919226548</v>
          </cell>
        </row>
        <row r="90">
          <cell r="D90">
            <v>7.8007640891601907E-2</v>
          </cell>
          <cell r="E90">
            <v>7.8787717300517923E-2</v>
          </cell>
        </row>
        <row r="91">
          <cell r="D91">
            <v>0.46153846153846151</v>
          </cell>
          <cell r="E91">
            <v>0.46615384615384614</v>
          </cell>
        </row>
        <row r="92">
          <cell r="D92">
            <v>0.54033090194192068</v>
          </cell>
          <cell r="E92">
            <v>0.54573421096133989</v>
          </cell>
        </row>
        <row r="93">
          <cell r="D93">
            <v>0</v>
          </cell>
          <cell r="E93">
            <v>0</v>
          </cell>
        </row>
        <row r="94">
          <cell r="D94">
            <v>0</v>
          </cell>
          <cell r="E94">
            <v>0</v>
          </cell>
        </row>
        <row r="95">
          <cell r="D95">
            <v>0.11737260782301213</v>
          </cell>
          <cell r="E95">
            <v>0.11854633390124225</v>
          </cell>
        </row>
        <row r="96">
          <cell r="D96">
            <v>0</v>
          </cell>
          <cell r="E96">
            <v>0</v>
          </cell>
        </row>
        <row r="97">
          <cell r="D97">
            <v>3.6181323290069074E-2</v>
          </cell>
          <cell r="E97">
            <v>3.6543136522969769E-2</v>
          </cell>
        </row>
        <row r="98">
          <cell r="D98">
            <v>0</v>
          </cell>
          <cell r="E98">
            <v>0</v>
          </cell>
        </row>
        <row r="99">
          <cell r="D99">
            <v>0.12863089961074112</v>
          </cell>
          <cell r="E99">
            <v>0.12991720860684852</v>
          </cell>
        </row>
        <row r="100">
          <cell r="D100">
            <v>9.794992575659793E-3</v>
          </cell>
          <cell r="E100">
            <v>9.8929425014163911E-3</v>
          </cell>
        </row>
        <row r="101">
          <cell r="D101">
            <v>0</v>
          </cell>
          <cell r="E101">
            <v>0</v>
          </cell>
        </row>
        <row r="102">
          <cell r="D102">
            <v>3.2055167215532178E-2</v>
          </cell>
          <cell r="E102">
            <v>3.2375718887687498E-2</v>
          </cell>
        </row>
        <row r="103">
          <cell r="D103">
            <v>8.2531739996714287E-2</v>
          </cell>
          <cell r="E103">
            <v>8.3357057396681436E-2</v>
          </cell>
        </row>
        <row r="104">
          <cell r="D104">
            <v>0.12649141802067926</v>
          </cell>
          <cell r="E104">
            <v>0.12775633220088606</v>
          </cell>
        </row>
        <row r="105">
          <cell r="D105">
            <v>1.8359814649799511E-2</v>
          </cell>
          <cell r="E105">
            <v>1.8543412796297506E-2</v>
          </cell>
        </row>
        <row r="106">
          <cell r="D106">
            <v>7.6923076923076913E-2</v>
          </cell>
          <cell r="E106">
            <v>7.7692307692307686E-2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comments" Target="../comments1.x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E39" sqref="E39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1033</v>
      </c>
    </row>
    <row r="2" spans="2:24" x14ac:dyDescent="0.2">
      <c r="B2" s="567" t="s">
        <v>1032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1031</v>
      </c>
      <c r="P4" s="567" t="s">
        <v>1030</v>
      </c>
      <c r="X4" s="559"/>
    </row>
    <row r="5" spans="2:24" x14ac:dyDescent="0.2">
      <c r="B5" s="561" t="s">
        <v>1029</v>
      </c>
      <c r="I5" s="571" t="s">
        <v>1028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1027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533</v>
      </c>
      <c r="J7" s="555">
        <v>500</v>
      </c>
      <c r="K7" s="555">
        <v>400</v>
      </c>
      <c r="L7" s="555">
        <v>200</v>
      </c>
      <c r="N7" s="559"/>
      <c r="P7" s="561" t="s">
        <v>791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1026</v>
      </c>
      <c r="E8" s="559"/>
      <c r="I8" s="561" t="s">
        <v>534</v>
      </c>
      <c r="J8" s="555">
        <v>1372</v>
      </c>
      <c r="K8" s="555">
        <v>850</v>
      </c>
      <c r="L8" s="555">
        <v>700</v>
      </c>
      <c r="N8" s="559"/>
      <c r="P8" s="561" t="s">
        <v>745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2028</v>
      </c>
      <c r="E9" s="559"/>
      <c r="I9" s="561" t="s">
        <v>1018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1025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1024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1018</v>
      </c>
      <c r="E12" s="559"/>
      <c r="I12" s="563" t="s">
        <v>1023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1022</v>
      </c>
      <c r="E14" s="559"/>
      <c r="I14" s="561" t="s">
        <v>533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1018</v>
      </c>
      <c r="E15" s="559"/>
      <c r="I15" s="561" t="s">
        <v>534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1018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1021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1018</v>
      </c>
      <c r="E18" s="559"/>
      <c r="I18" s="563" t="s">
        <v>1020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1019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533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534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1018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0"/>
      <c r="X30" s="559"/>
    </row>
    <row r="31" spans="2:24" x14ac:dyDescent="0.2">
      <c r="B31" s="560"/>
      <c r="X31" s="559"/>
    </row>
    <row r="32" spans="2:24" x14ac:dyDescent="0.2">
      <c r="B32" s="560"/>
      <c r="X32" s="559"/>
    </row>
    <row r="33" spans="2:24" x14ac:dyDescent="0.2">
      <c r="B33" s="560"/>
      <c r="X33" s="559"/>
    </row>
    <row r="34" spans="2:24" x14ac:dyDescent="0.2">
      <c r="B34" s="560"/>
      <c r="X34" s="559"/>
    </row>
    <row r="35" spans="2:24" x14ac:dyDescent="0.2">
      <c r="B35" s="560"/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3"/>
  <sheetViews>
    <sheetView topLeftCell="A28" workbookViewId="0">
      <selection activeCell="N51" sqref="N51"/>
    </sheetView>
  </sheetViews>
  <sheetFormatPr defaultRowHeight="15" x14ac:dyDescent="0.25"/>
  <sheetData>
    <row r="3" spans="2:19" x14ac:dyDescent="0.25">
      <c r="B3" s="12" t="s">
        <v>1529</v>
      </c>
    </row>
    <row r="4" spans="2:19" x14ac:dyDescent="0.25">
      <c r="B4" s="664" t="b">
        <v>1</v>
      </c>
    </row>
    <row r="5" spans="2:19" x14ac:dyDescent="0.25">
      <c r="B5" s="664" t="s">
        <v>1521</v>
      </c>
      <c r="C5" s="660" t="s">
        <v>1526</v>
      </c>
      <c r="G5" s="19" t="s">
        <v>1531</v>
      </c>
    </row>
    <row r="6" spans="2:19" x14ac:dyDescent="0.25">
      <c r="G6" s="12" t="s">
        <v>1521</v>
      </c>
      <c r="H6" t="s">
        <v>1533</v>
      </c>
    </row>
    <row r="7" spans="2:19" x14ac:dyDescent="0.25">
      <c r="G7" s="12" t="s">
        <v>1530</v>
      </c>
      <c r="H7" t="s">
        <v>1532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3" t="s">
        <v>1528</v>
      </c>
    </row>
    <row r="12" spans="2:19" x14ac:dyDescent="0.25">
      <c r="B12" s="662" t="s">
        <v>1527</v>
      </c>
      <c r="C12" s="16"/>
      <c r="D12" s="16"/>
      <c r="E12" s="16"/>
      <c r="F12" s="16"/>
      <c r="G12" s="16"/>
      <c r="H12" s="16"/>
      <c r="I12" s="661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4" t="s">
        <v>1525</v>
      </c>
      <c r="I14" s="654" t="s">
        <v>1524</v>
      </c>
      <c r="J14" s="654"/>
      <c r="S14" s="5"/>
    </row>
    <row r="15" spans="2:19" x14ac:dyDescent="0.25">
      <c r="B15" s="4"/>
      <c r="I15" s="654">
        <v>2017</v>
      </c>
      <c r="J15" s="654">
        <v>2015</v>
      </c>
      <c r="K15" s="654">
        <v>2020</v>
      </c>
      <c r="L15" s="654">
        <v>2025</v>
      </c>
      <c r="M15" s="654">
        <v>2030</v>
      </c>
      <c r="N15" s="654">
        <v>2035</v>
      </c>
      <c r="O15" s="654">
        <v>2040</v>
      </c>
      <c r="P15" s="654">
        <v>2045</v>
      </c>
      <c r="Q15" s="654">
        <v>2050</v>
      </c>
      <c r="S15" s="5"/>
    </row>
    <row r="16" spans="2:19" x14ac:dyDescent="0.25">
      <c r="B16" s="4"/>
      <c r="C16" t="s">
        <v>539</v>
      </c>
      <c r="I16" s="659">
        <f>'IS-TSData'!O43</f>
        <v>16.42657042314022</v>
      </c>
      <c r="J16" s="654"/>
      <c r="K16" s="654"/>
      <c r="L16" s="654"/>
      <c r="M16" s="659">
        <f>IF(pamsindex,I16*(1+$M$34),"")</f>
        <v>16.015906162561713</v>
      </c>
      <c r="N16" s="654"/>
      <c r="O16" s="654"/>
      <c r="P16" s="654"/>
      <c r="Q16" s="659"/>
      <c r="S16" s="5"/>
    </row>
    <row r="17" spans="2:19" x14ac:dyDescent="0.25">
      <c r="B17" s="4"/>
      <c r="C17" t="s">
        <v>540</v>
      </c>
      <c r="I17" s="659">
        <f>'IS-TSData'!O48</f>
        <v>27.743824076135091</v>
      </c>
      <c r="J17" s="654"/>
      <c r="K17" s="654"/>
      <c r="L17" s="654"/>
      <c r="M17" s="659">
        <f>IF(pamsindex,I17*(1+$M$34),"")</f>
        <v>27.050228474231712</v>
      </c>
      <c r="N17" s="654"/>
      <c r="O17" s="654"/>
      <c r="P17" s="654"/>
      <c r="Q17" s="659"/>
      <c r="S17" s="5"/>
    </row>
    <row r="18" spans="2:19" x14ac:dyDescent="0.25">
      <c r="B18" s="4"/>
      <c r="C18" t="s">
        <v>541</v>
      </c>
      <c r="I18" s="659">
        <f>'IS-TSData'!O49</f>
        <v>22.195059260908074</v>
      </c>
      <c r="J18" s="654"/>
      <c r="K18" s="654"/>
      <c r="L18" s="654"/>
      <c r="M18" s="659">
        <f>IF(pamsindex,I18*(1+$M$34),"")</f>
        <v>21.640182779385373</v>
      </c>
      <c r="N18" s="654"/>
      <c r="O18" s="654"/>
      <c r="P18" s="654"/>
      <c r="Q18" s="659"/>
      <c r="S18" s="5"/>
    </row>
    <row r="19" spans="2:19" x14ac:dyDescent="0.25">
      <c r="B19" s="4"/>
      <c r="C19" t="s">
        <v>542</v>
      </c>
      <c r="I19" s="659">
        <f>'IS-TSData'!O52</f>
        <v>5.4887322803632257</v>
      </c>
      <c r="J19" s="654"/>
      <c r="K19" s="654"/>
      <c r="L19" s="654"/>
      <c r="M19" s="659">
        <f>IF(pamsindex,I19*(1+$M$34),"")</f>
        <v>5.3515139733541446</v>
      </c>
      <c r="N19" s="654"/>
      <c r="O19" s="654"/>
      <c r="P19" s="654"/>
      <c r="Q19" s="659"/>
      <c r="S19" s="5"/>
    </row>
    <row r="20" spans="2:19" x14ac:dyDescent="0.25">
      <c r="B20" s="4"/>
      <c r="C20" s="655"/>
      <c r="D20" s="658" t="s">
        <v>1523</v>
      </c>
      <c r="E20" s="8"/>
      <c r="F20" s="8"/>
      <c r="G20" s="8"/>
      <c r="H20" s="8"/>
      <c r="I20" s="658"/>
      <c r="J20" s="658"/>
      <c r="K20" s="654"/>
      <c r="L20" s="654"/>
      <c r="M20" s="654"/>
      <c r="N20" s="654"/>
      <c r="O20" s="654"/>
      <c r="P20" s="654"/>
      <c r="Q20" s="654"/>
      <c r="S20" s="5"/>
    </row>
    <row r="21" spans="2:19" x14ac:dyDescent="0.25">
      <c r="B21" s="4"/>
      <c r="C21" s="655"/>
      <c r="F21" s="658" t="s">
        <v>1522</v>
      </c>
      <c r="G21" s="8"/>
      <c r="H21" s="8"/>
      <c r="I21" s="658"/>
      <c r="J21" s="654"/>
      <c r="K21" s="654"/>
      <c r="L21" s="654"/>
      <c r="M21" s="654"/>
      <c r="N21" s="654"/>
      <c r="O21" s="654"/>
      <c r="P21" s="654"/>
      <c r="Q21" s="654"/>
      <c r="S21" s="5"/>
    </row>
    <row r="22" spans="2:19" x14ac:dyDescent="0.25">
      <c r="B22" s="4"/>
      <c r="C22" s="655"/>
      <c r="J22" s="654"/>
      <c r="K22" s="654"/>
      <c r="L22" s="654"/>
      <c r="M22" s="654"/>
      <c r="N22" s="654"/>
      <c r="O22" s="654"/>
      <c r="P22" s="654"/>
      <c r="Q22" s="654"/>
      <c r="S22" s="5"/>
    </row>
    <row r="23" spans="2:19" x14ac:dyDescent="0.25">
      <c r="B23" s="4"/>
      <c r="G23" t="s">
        <v>1427</v>
      </c>
      <c r="I23">
        <v>-0.08</v>
      </c>
      <c r="J23">
        <f t="shared" ref="J23:Q32" si="0">I23</f>
        <v>-0.08</v>
      </c>
      <c r="K23">
        <f t="shared" si="0"/>
        <v>-0.08</v>
      </c>
      <c r="L23">
        <f t="shared" si="0"/>
        <v>-0.08</v>
      </c>
      <c r="M23">
        <f t="shared" si="0"/>
        <v>-0.08</v>
      </c>
      <c r="N23">
        <f t="shared" si="0"/>
        <v>-0.08</v>
      </c>
      <c r="O23">
        <f t="shared" si="0"/>
        <v>-0.08</v>
      </c>
      <c r="P23">
        <f t="shared" si="0"/>
        <v>-0.08</v>
      </c>
      <c r="Q23">
        <f t="shared" si="0"/>
        <v>-0.08</v>
      </c>
      <c r="S23" s="5"/>
    </row>
    <row r="24" spans="2:19" x14ac:dyDescent="0.25">
      <c r="B24" s="4"/>
      <c r="C24" s="655"/>
      <c r="G24" t="s">
        <v>1425</v>
      </c>
      <c r="I24">
        <v>-2.7E-2</v>
      </c>
      <c r="J24">
        <f t="shared" si="0"/>
        <v>-2.7E-2</v>
      </c>
      <c r="K24">
        <f t="shared" si="0"/>
        <v>-2.7E-2</v>
      </c>
      <c r="L24">
        <f t="shared" si="0"/>
        <v>-2.7E-2</v>
      </c>
      <c r="M24">
        <f t="shared" si="0"/>
        <v>-2.7E-2</v>
      </c>
      <c r="N24">
        <f t="shared" si="0"/>
        <v>-2.7E-2</v>
      </c>
      <c r="O24">
        <f t="shared" si="0"/>
        <v>-2.7E-2</v>
      </c>
      <c r="P24">
        <f t="shared" si="0"/>
        <v>-2.7E-2</v>
      </c>
      <c r="Q24">
        <f t="shared" si="0"/>
        <v>-2.7E-2</v>
      </c>
      <c r="S24" s="5"/>
    </row>
    <row r="25" spans="2:19" x14ac:dyDescent="0.25">
      <c r="B25" s="4"/>
      <c r="G25" t="s">
        <v>1421</v>
      </c>
      <c r="I25">
        <v>-6.8000000000000005E-2</v>
      </c>
      <c r="J25">
        <f t="shared" si="0"/>
        <v>-6.8000000000000005E-2</v>
      </c>
      <c r="K25">
        <f t="shared" si="0"/>
        <v>-6.8000000000000005E-2</v>
      </c>
      <c r="L25">
        <f t="shared" si="0"/>
        <v>-6.8000000000000005E-2</v>
      </c>
      <c r="M25">
        <f t="shared" si="0"/>
        <v>-6.8000000000000005E-2</v>
      </c>
      <c r="N25">
        <f t="shared" si="0"/>
        <v>-6.8000000000000005E-2</v>
      </c>
      <c r="O25">
        <f t="shared" si="0"/>
        <v>-6.8000000000000005E-2</v>
      </c>
      <c r="P25">
        <f t="shared" si="0"/>
        <v>-6.8000000000000005E-2</v>
      </c>
      <c r="Q25">
        <f t="shared" si="0"/>
        <v>-6.8000000000000005E-2</v>
      </c>
      <c r="S25" s="5"/>
    </row>
    <row r="26" spans="2:19" x14ac:dyDescent="0.25">
      <c r="B26" s="4"/>
      <c r="G26" t="s">
        <v>1419</v>
      </c>
      <c r="I26">
        <v>-3.4000000000000002E-2</v>
      </c>
      <c r="J26">
        <f t="shared" si="0"/>
        <v>-3.4000000000000002E-2</v>
      </c>
      <c r="K26">
        <f t="shared" si="0"/>
        <v>-3.4000000000000002E-2</v>
      </c>
      <c r="L26">
        <f t="shared" si="0"/>
        <v>-3.4000000000000002E-2</v>
      </c>
      <c r="M26">
        <f t="shared" si="0"/>
        <v>-3.4000000000000002E-2</v>
      </c>
      <c r="N26">
        <f t="shared" si="0"/>
        <v>-3.4000000000000002E-2</v>
      </c>
      <c r="O26">
        <f t="shared" si="0"/>
        <v>-3.4000000000000002E-2</v>
      </c>
      <c r="P26">
        <f t="shared" si="0"/>
        <v>-3.4000000000000002E-2</v>
      </c>
      <c r="Q26">
        <f t="shared" si="0"/>
        <v>-3.4000000000000002E-2</v>
      </c>
      <c r="S26" s="5"/>
    </row>
    <row r="27" spans="2:19" x14ac:dyDescent="0.25">
      <c r="B27" s="4"/>
      <c r="G27" t="s">
        <v>1415</v>
      </c>
      <c r="I27">
        <v>-4.9000000000000002E-2</v>
      </c>
      <c r="J27">
        <f t="shared" si="0"/>
        <v>-4.9000000000000002E-2</v>
      </c>
      <c r="K27">
        <f t="shared" si="0"/>
        <v>-4.9000000000000002E-2</v>
      </c>
      <c r="L27">
        <f t="shared" si="0"/>
        <v>-4.9000000000000002E-2</v>
      </c>
      <c r="M27">
        <f t="shared" si="0"/>
        <v>-4.9000000000000002E-2</v>
      </c>
      <c r="N27">
        <f t="shared" si="0"/>
        <v>-4.9000000000000002E-2</v>
      </c>
      <c r="O27">
        <f t="shared" si="0"/>
        <v>-4.9000000000000002E-2</v>
      </c>
      <c r="P27">
        <f t="shared" si="0"/>
        <v>-4.9000000000000002E-2</v>
      </c>
      <c r="Q27">
        <f t="shared" si="0"/>
        <v>-4.9000000000000002E-2</v>
      </c>
      <c r="S27" s="5"/>
    </row>
    <row r="28" spans="2:19" x14ac:dyDescent="0.25">
      <c r="B28" s="4"/>
      <c r="G28" t="s">
        <v>1413</v>
      </c>
      <c r="I28">
        <v>-2.5000000000000001E-2</v>
      </c>
      <c r="J28">
        <f t="shared" si="0"/>
        <v>-2.5000000000000001E-2</v>
      </c>
      <c r="K28">
        <f t="shared" si="0"/>
        <v>-2.5000000000000001E-2</v>
      </c>
      <c r="L28">
        <f t="shared" si="0"/>
        <v>-2.5000000000000001E-2</v>
      </c>
      <c r="M28">
        <f t="shared" si="0"/>
        <v>-2.5000000000000001E-2</v>
      </c>
      <c r="N28">
        <f t="shared" si="0"/>
        <v>-2.5000000000000001E-2</v>
      </c>
      <c r="O28">
        <f t="shared" si="0"/>
        <v>-2.5000000000000001E-2</v>
      </c>
      <c r="P28">
        <f t="shared" si="0"/>
        <v>-2.5000000000000001E-2</v>
      </c>
      <c r="Q28">
        <f t="shared" si="0"/>
        <v>-2.5000000000000001E-2</v>
      </c>
      <c r="S28" s="5"/>
    </row>
    <row r="29" spans="2:19" x14ac:dyDescent="0.25">
      <c r="B29" s="4"/>
      <c r="G29" t="s">
        <v>1409</v>
      </c>
      <c r="I29">
        <v>-4.1000000000000002E-2</v>
      </c>
      <c r="J29">
        <f t="shared" si="0"/>
        <v>-4.1000000000000002E-2</v>
      </c>
      <c r="K29">
        <f t="shared" si="0"/>
        <v>-4.1000000000000002E-2</v>
      </c>
      <c r="L29">
        <f t="shared" si="0"/>
        <v>-4.1000000000000002E-2</v>
      </c>
      <c r="M29">
        <f t="shared" si="0"/>
        <v>-4.1000000000000002E-2</v>
      </c>
      <c r="N29">
        <f t="shared" si="0"/>
        <v>-4.1000000000000002E-2</v>
      </c>
      <c r="O29">
        <f t="shared" si="0"/>
        <v>-4.1000000000000002E-2</v>
      </c>
      <c r="P29">
        <f t="shared" si="0"/>
        <v>-4.1000000000000002E-2</v>
      </c>
      <c r="Q29">
        <f t="shared" si="0"/>
        <v>-4.1000000000000002E-2</v>
      </c>
      <c r="S29" s="5"/>
    </row>
    <row r="30" spans="2:19" x14ac:dyDescent="0.25">
      <c r="B30" s="4"/>
      <c r="G30" t="s">
        <v>1407</v>
      </c>
      <c r="I30">
        <v>-6.0999999999999999E-2</v>
      </c>
      <c r="J30">
        <f t="shared" si="0"/>
        <v>-6.0999999999999999E-2</v>
      </c>
      <c r="K30">
        <f t="shared" si="0"/>
        <v>-6.0999999999999999E-2</v>
      </c>
      <c r="L30">
        <f t="shared" si="0"/>
        <v>-6.0999999999999999E-2</v>
      </c>
      <c r="M30">
        <f t="shared" si="0"/>
        <v>-6.0999999999999999E-2</v>
      </c>
      <c r="N30">
        <f t="shared" si="0"/>
        <v>-6.0999999999999999E-2</v>
      </c>
      <c r="O30">
        <f t="shared" si="0"/>
        <v>-6.0999999999999999E-2</v>
      </c>
      <c r="P30">
        <f t="shared" si="0"/>
        <v>-6.0999999999999999E-2</v>
      </c>
      <c r="Q30">
        <f t="shared" si="0"/>
        <v>-6.0999999999999999E-2</v>
      </c>
      <c r="S30" s="5"/>
    </row>
    <row r="31" spans="2:19" x14ac:dyDescent="0.25">
      <c r="B31" s="4"/>
      <c r="G31" t="s">
        <v>1399</v>
      </c>
      <c r="I31">
        <v>-0.12</v>
      </c>
      <c r="J31">
        <f t="shared" si="0"/>
        <v>-0.12</v>
      </c>
      <c r="K31">
        <f t="shared" si="0"/>
        <v>-0.12</v>
      </c>
      <c r="L31">
        <f t="shared" si="0"/>
        <v>-0.12</v>
      </c>
      <c r="M31">
        <f t="shared" si="0"/>
        <v>-0.12</v>
      </c>
      <c r="N31">
        <f t="shared" si="0"/>
        <v>-0.12</v>
      </c>
      <c r="O31">
        <f t="shared" si="0"/>
        <v>-0.12</v>
      </c>
      <c r="P31">
        <f t="shared" si="0"/>
        <v>-0.12</v>
      </c>
      <c r="Q31">
        <f t="shared" si="0"/>
        <v>-0.12</v>
      </c>
      <c r="S31" s="5"/>
    </row>
    <row r="32" spans="2:19" x14ac:dyDescent="0.25">
      <c r="B32" s="4"/>
      <c r="G32" t="s">
        <v>1396</v>
      </c>
      <c r="I32">
        <v>-0.13500000000000001</v>
      </c>
      <c r="J32">
        <f t="shared" si="0"/>
        <v>-0.13500000000000001</v>
      </c>
      <c r="K32">
        <f t="shared" si="0"/>
        <v>-0.13500000000000001</v>
      </c>
      <c r="L32">
        <f t="shared" si="0"/>
        <v>-0.13500000000000001</v>
      </c>
      <c r="M32">
        <f t="shared" si="0"/>
        <v>-0.13500000000000001</v>
      </c>
      <c r="N32">
        <f t="shared" si="0"/>
        <v>-0.13500000000000001</v>
      </c>
      <c r="O32">
        <f t="shared" si="0"/>
        <v>-0.13500000000000001</v>
      </c>
      <c r="P32">
        <f t="shared" si="0"/>
        <v>-0.13500000000000001</v>
      </c>
      <c r="Q32">
        <f t="shared" si="0"/>
        <v>-0.13500000000000001</v>
      </c>
      <c r="S32" s="5"/>
    </row>
    <row r="33" spans="2:19" x14ac:dyDescent="0.25">
      <c r="B33" s="4"/>
      <c r="F33" s="657" t="s">
        <v>1521</v>
      </c>
      <c r="G33" s="8"/>
      <c r="H33" s="8"/>
      <c r="I33" s="8"/>
      <c r="S33" s="5"/>
    </row>
    <row r="34" spans="2:19" x14ac:dyDescent="0.25">
      <c r="B34" s="4"/>
      <c r="G34" t="s">
        <v>1427</v>
      </c>
      <c r="I34">
        <v>0</v>
      </c>
      <c r="J34">
        <v>0</v>
      </c>
      <c r="K34">
        <v>0</v>
      </c>
      <c r="L34">
        <f t="shared" ref="L34:L43" si="1">M34/2</f>
        <v>-1.2500000000000001E-2</v>
      </c>
      <c r="M34" s="656">
        <f>IF(PAMSlevel = "High",-0.05,-0.025)</f>
        <v>-2.5000000000000001E-2</v>
      </c>
      <c r="N34">
        <f t="shared" ref="N34:Q43" si="2">M34</f>
        <v>-2.5000000000000001E-2</v>
      </c>
      <c r="O34">
        <f t="shared" si="2"/>
        <v>-2.5000000000000001E-2</v>
      </c>
      <c r="P34">
        <f t="shared" si="2"/>
        <v>-2.5000000000000001E-2</v>
      </c>
      <c r="Q34">
        <f t="shared" si="2"/>
        <v>-2.5000000000000001E-2</v>
      </c>
      <c r="S34" s="5"/>
    </row>
    <row r="35" spans="2:19" x14ac:dyDescent="0.25">
      <c r="B35" s="4"/>
      <c r="G35" t="s">
        <v>1425</v>
      </c>
      <c r="I35">
        <v>0</v>
      </c>
      <c r="J35">
        <v>0</v>
      </c>
      <c r="K35">
        <v>0</v>
      </c>
      <c r="L35">
        <f t="shared" si="1"/>
        <v>0</v>
      </c>
      <c r="M35" s="656">
        <v>0</v>
      </c>
      <c r="N35">
        <f t="shared" si="2"/>
        <v>0</v>
      </c>
      <c r="O35">
        <f t="shared" si="2"/>
        <v>0</v>
      </c>
      <c r="P35">
        <f t="shared" si="2"/>
        <v>0</v>
      </c>
      <c r="Q35">
        <f t="shared" si="2"/>
        <v>0</v>
      </c>
      <c r="S35" s="5"/>
    </row>
    <row r="36" spans="2:19" x14ac:dyDescent="0.25">
      <c r="B36" s="4"/>
      <c r="G36" t="s">
        <v>1421</v>
      </c>
      <c r="I36">
        <v>0</v>
      </c>
      <c r="J36">
        <v>0</v>
      </c>
      <c r="K36">
        <v>0</v>
      </c>
      <c r="L36">
        <f t="shared" si="1"/>
        <v>-1.2500000000000001E-2</v>
      </c>
      <c r="M36" s="656">
        <f>IF(PAMSlevel = "High",-0.05,-0.025)</f>
        <v>-2.5000000000000001E-2</v>
      </c>
      <c r="N36">
        <f t="shared" si="2"/>
        <v>-2.5000000000000001E-2</v>
      </c>
      <c r="O36">
        <f t="shared" si="2"/>
        <v>-2.5000000000000001E-2</v>
      </c>
      <c r="P36">
        <f t="shared" si="2"/>
        <v>-2.5000000000000001E-2</v>
      </c>
      <c r="Q36">
        <f t="shared" si="2"/>
        <v>-2.5000000000000001E-2</v>
      </c>
      <c r="S36" s="5"/>
    </row>
    <row r="37" spans="2:19" x14ac:dyDescent="0.25">
      <c r="B37" s="4"/>
      <c r="G37" t="s">
        <v>1419</v>
      </c>
      <c r="I37">
        <v>0</v>
      </c>
      <c r="J37">
        <v>0</v>
      </c>
      <c r="K37">
        <v>0</v>
      </c>
      <c r="L37">
        <f t="shared" si="1"/>
        <v>0</v>
      </c>
      <c r="M37" s="656">
        <v>0</v>
      </c>
      <c r="N37">
        <f t="shared" si="2"/>
        <v>0</v>
      </c>
      <c r="O37">
        <f t="shared" si="2"/>
        <v>0</v>
      </c>
      <c r="P37">
        <f t="shared" si="2"/>
        <v>0</v>
      </c>
      <c r="Q37">
        <f t="shared" si="2"/>
        <v>0</v>
      </c>
      <c r="S37" s="5"/>
    </row>
    <row r="38" spans="2:19" x14ac:dyDescent="0.25">
      <c r="B38" s="4"/>
      <c r="G38" t="s">
        <v>1415</v>
      </c>
      <c r="I38">
        <v>0</v>
      </c>
      <c r="J38">
        <v>0</v>
      </c>
      <c r="K38">
        <v>0</v>
      </c>
      <c r="L38">
        <f t="shared" si="1"/>
        <v>-1.2500000000000001E-2</v>
      </c>
      <c r="M38" s="656">
        <f>IF(PAMSlevel = "High",-0.05,-0.025)</f>
        <v>-2.5000000000000001E-2</v>
      </c>
      <c r="N38">
        <f t="shared" si="2"/>
        <v>-2.5000000000000001E-2</v>
      </c>
      <c r="O38">
        <f t="shared" si="2"/>
        <v>-2.5000000000000001E-2</v>
      </c>
      <c r="P38">
        <f t="shared" si="2"/>
        <v>-2.5000000000000001E-2</v>
      </c>
      <c r="Q38">
        <f t="shared" si="2"/>
        <v>-2.5000000000000001E-2</v>
      </c>
      <c r="S38" s="5"/>
    </row>
    <row r="39" spans="2:19" x14ac:dyDescent="0.25">
      <c r="B39" s="4"/>
      <c r="G39" t="s">
        <v>1413</v>
      </c>
      <c r="I39">
        <v>0</v>
      </c>
      <c r="J39">
        <v>0</v>
      </c>
      <c r="K39">
        <v>0</v>
      </c>
      <c r="L39">
        <f t="shared" si="1"/>
        <v>0</v>
      </c>
      <c r="M39" s="656">
        <v>0</v>
      </c>
      <c r="N39">
        <f t="shared" si="2"/>
        <v>0</v>
      </c>
      <c r="O39">
        <f t="shared" si="2"/>
        <v>0</v>
      </c>
      <c r="P39">
        <f t="shared" si="2"/>
        <v>0</v>
      </c>
      <c r="Q39">
        <f t="shared" si="2"/>
        <v>0</v>
      </c>
      <c r="S39" s="5"/>
    </row>
    <row r="40" spans="2:19" x14ac:dyDescent="0.25">
      <c r="B40" s="4"/>
      <c r="G40" t="s">
        <v>1409</v>
      </c>
      <c r="I40">
        <v>0</v>
      </c>
      <c r="J40">
        <v>0</v>
      </c>
      <c r="K40">
        <v>0</v>
      </c>
      <c r="L40">
        <f t="shared" si="1"/>
        <v>-1.2500000000000001E-2</v>
      </c>
      <c r="M40" s="656">
        <f>IF(PAMSlevel = "High",-0.05,-0.025)</f>
        <v>-2.5000000000000001E-2</v>
      </c>
      <c r="N40">
        <f t="shared" si="2"/>
        <v>-2.5000000000000001E-2</v>
      </c>
      <c r="O40">
        <f t="shared" si="2"/>
        <v>-2.5000000000000001E-2</v>
      </c>
      <c r="P40">
        <f t="shared" si="2"/>
        <v>-2.5000000000000001E-2</v>
      </c>
      <c r="Q40">
        <f t="shared" si="2"/>
        <v>-2.5000000000000001E-2</v>
      </c>
      <c r="S40" s="5"/>
    </row>
    <row r="41" spans="2:19" x14ac:dyDescent="0.25">
      <c r="B41" s="4"/>
      <c r="G41" t="s">
        <v>1407</v>
      </c>
      <c r="I41">
        <v>0</v>
      </c>
      <c r="J41">
        <v>0</v>
      </c>
      <c r="K41">
        <v>0</v>
      </c>
      <c r="L41">
        <f t="shared" si="1"/>
        <v>0</v>
      </c>
      <c r="M41" s="656">
        <v>0</v>
      </c>
      <c r="N41">
        <f t="shared" si="2"/>
        <v>0</v>
      </c>
      <c r="O41">
        <f t="shared" si="2"/>
        <v>0</v>
      </c>
      <c r="P41">
        <f t="shared" si="2"/>
        <v>0</v>
      </c>
      <c r="Q41">
        <f t="shared" si="2"/>
        <v>0</v>
      </c>
      <c r="S41" s="5"/>
    </row>
    <row r="42" spans="2:19" x14ac:dyDescent="0.25">
      <c r="B42" s="4"/>
      <c r="G42" t="s">
        <v>1399</v>
      </c>
      <c r="I42">
        <v>0</v>
      </c>
      <c r="J42">
        <v>0</v>
      </c>
      <c r="K42">
        <v>0</v>
      </c>
      <c r="L42">
        <f t="shared" si="1"/>
        <v>-1.2500000000000001E-2</v>
      </c>
      <c r="M42" s="656">
        <f>IF(PAMSlevel = "High",-0.05,-0.025)</f>
        <v>-2.5000000000000001E-2</v>
      </c>
      <c r="N42">
        <f t="shared" si="2"/>
        <v>-2.5000000000000001E-2</v>
      </c>
      <c r="O42">
        <f t="shared" si="2"/>
        <v>-2.5000000000000001E-2</v>
      </c>
      <c r="P42">
        <f t="shared" si="2"/>
        <v>-2.5000000000000001E-2</v>
      </c>
      <c r="Q42">
        <f t="shared" si="2"/>
        <v>-2.5000000000000001E-2</v>
      </c>
      <c r="S42" s="5"/>
    </row>
    <row r="43" spans="2:19" x14ac:dyDescent="0.25">
      <c r="B43" s="4"/>
      <c r="G43" t="s">
        <v>1396</v>
      </c>
      <c r="I43">
        <v>0</v>
      </c>
      <c r="J43">
        <v>0</v>
      </c>
      <c r="K43">
        <v>0</v>
      </c>
      <c r="L43">
        <f t="shared" si="1"/>
        <v>0</v>
      </c>
      <c r="M43" s="656">
        <v>0</v>
      </c>
      <c r="N43">
        <f t="shared" si="2"/>
        <v>0</v>
      </c>
      <c r="O43">
        <f t="shared" si="2"/>
        <v>0</v>
      </c>
      <c r="P43">
        <f t="shared" si="2"/>
        <v>0</v>
      </c>
      <c r="Q43">
        <f t="shared" si="2"/>
        <v>0</v>
      </c>
      <c r="S43" s="5"/>
    </row>
    <row r="44" spans="2:19" x14ac:dyDescent="0.25">
      <c r="B44" s="4"/>
      <c r="S44" s="5"/>
    </row>
    <row r="45" spans="2:19" x14ac:dyDescent="0.25">
      <c r="B45" s="653" t="s">
        <v>1520</v>
      </c>
      <c r="S45" s="5"/>
    </row>
    <row r="46" spans="2:19" x14ac:dyDescent="0.25">
      <c r="B46" s="4"/>
      <c r="I46" s="655">
        <v>2012</v>
      </c>
      <c r="J46">
        <v>2015</v>
      </c>
      <c r="K46">
        <v>2020</v>
      </c>
      <c r="L46">
        <v>2025</v>
      </c>
      <c r="M46">
        <v>2030</v>
      </c>
      <c r="N46">
        <v>2035</v>
      </c>
      <c r="O46">
        <v>2040</v>
      </c>
      <c r="P46">
        <v>2045</v>
      </c>
      <c r="Q46">
        <v>2050</v>
      </c>
      <c r="S46" s="5"/>
    </row>
    <row r="47" spans="2:19" x14ac:dyDescent="0.25">
      <c r="B47" s="4" t="s">
        <v>1427</v>
      </c>
      <c r="D47" t="s">
        <v>1436</v>
      </c>
      <c r="F47" t="s">
        <v>1101</v>
      </c>
      <c r="G47" t="s">
        <v>707</v>
      </c>
      <c r="H47">
        <v>0</v>
      </c>
      <c r="I47">
        <f t="shared" ref="I47:Q47" si="3">IF($B$4,IF($B$5="PAMS",I34,I23),0)</f>
        <v>0</v>
      </c>
      <c r="J47">
        <f t="shared" si="3"/>
        <v>0</v>
      </c>
      <c r="K47">
        <f t="shared" si="3"/>
        <v>0</v>
      </c>
      <c r="L47">
        <f t="shared" si="3"/>
        <v>-1.2500000000000001E-2</v>
      </c>
      <c r="M47">
        <f t="shared" si="3"/>
        <v>-2.5000000000000001E-2</v>
      </c>
      <c r="N47">
        <f t="shared" si="3"/>
        <v>-2.5000000000000001E-2</v>
      </c>
      <c r="O47">
        <f t="shared" si="3"/>
        <v>-2.5000000000000001E-2</v>
      </c>
      <c r="P47">
        <f t="shared" si="3"/>
        <v>-2.5000000000000001E-2</v>
      </c>
      <c r="Q47">
        <f t="shared" si="3"/>
        <v>-2.5000000000000001E-2</v>
      </c>
      <c r="S47" s="5"/>
    </row>
    <row r="48" spans="2:19" x14ac:dyDescent="0.25">
      <c r="B48" s="4" t="s">
        <v>1425</v>
      </c>
      <c r="D48" t="s">
        <v>1436</v>
      </c>
      <c r="F48" t="s">
        <v>1101</v>
      </c>
      <c r="G48" t="s">
        <v>707</v>
      </c>
      <c r="H48">
        <v>0</v>
      </c>
      <c r="I48">
        <f t="shared" ref="I48:Q48" si="4">IF($B$4,IF($B$5="PAMS",I35,I24),0)</f>
        <v>0</v>
      </c>
      <c r="J48">
        <f t="shared" si="4"/>
        <v>0</v>
      </c>
      <c r="K48">
        <f t="shared" si="4"/>
        <v>0</v>
      </c>
      <c r="L48">
        <f t="shared" si="4"/>
        <v>0</v>
      </c>
      <c r="M48">
        <f t="shared" si="4"/>
        <v>0</v>
      </c>
      <c r="N48">
        <f t="shared" si="4"/>
        <v>0</v>
      </c>
      <c r="O48">
        <f t="shared" si="4"/>
        <v>0</v>
      </c>
      <c r="P48">
        <f t="shared" si="4"/>
        <v>0</v>
      </c>
      <c r="Q48">
        <f t="shared" si="4"/>
        <v>0</v>
      </c>
      <c r="S48" s="5"/>
    </row>
    <row r="49" spans="2:19" x14ac:dyDescent="0.25">
      <c r="B49" s="4" t="s">
        <v>1421</v>
      </c>
      <c r="D49" t="s">
        <v>1435</v>
      </c>
      <c r="F49" t="s">
        <v>1101</v>
      </c>
      <c r="G49" t="s">
        <v>707</v>
      </c>
      <c r="H49">
        <v>0</v>
      </c>
      <c r="I49">
        <f t="shared" ref="I49:Q49" si="5">IF($B$4,IF($B$5="PAMS",I36,I25),0)</f>
        <v>0</v>
      </c>
      <c r="J49">
        <f t="shared" si="5"/>
        <v>0</v>
      </c>
      <c r="K49">
        <f t="shared" si="5"/>
        <v>0</v>
      </c>
      <c r="L49">
        <f t="shared" si="5"/>
        <v>-1.2500000000000001E-2</v>
      </c>
      <c r="M49">
        <f t="shared" si="5"/>
        <v>-2.5000000000000001E-2</v>
      </c>
      <c r="N49">
        <f t="shared" si="5"/>
        <v>-2.5000000000000001E-2</v>
      </c>
      <c r="O49">
        <f t="shared" si="5"/>
        <v>-2.5000000000000001E-2</v>
      </c>
      <c r="P49">
        <f t="shared" si="5"/>
        <v>-2.5000000000000001E-2</v>
      </c>
      <c r="Q49">
        <f t="shared" si="5"/>
        <v>-2.5000000000000001E-2</v>
      </c>
      <c r="S49" s="5"/>
    </row>
    <row r="50" spans="2:19" x14ac:dyDescent="0.25">
      <c r="B50" s="4" t="s">
        <v>1419</v>
      </c>
      <c r="D50" t="s">
        <v>1435</v>
      </c>
      <c r="F50" t="s">
        <v>1101</v>
      </c>
      <c r="G50" t="s">
        <v>707</v>
      </c>
      <c r="H50">
        <v>0</v>
      </c>
      <c r="I50">
        <f t="shared" ref="I50:Q50" si="6">IF($B$4,IF($B$5="PAMS",I37,I26),0)</f>
        <v>0</v>
      </c>
      <c r="J50">
        <f t="shared" si="6"/>
        <v>0</v>
      </c>
      <c r="K50">
        <f t="shared" si="6"/>
        <v>0</v>
      </c>
      <c r="L50">
        <f t="shared" si="6"/>
        <v>0</v>
      </c>
      <c r="M50">
        <f t="shared" si="6"/>
        <v>0</v>
      </c>
      <c r="N50">
        <f t="shared" si="6"/>
        <v>0</v>
      </c>
      <c r="O50">
        <f t="shared" si="6"/>
        <v>0</v>
      </c>
      <c r="P50">
        <f t="shared" si="6"/>
        <v>0</v>
      </c>
      <c r="Q50">
        <f t="shared" si="6"/>
        <v>0</v>
      </c>
      <c r="S50" s="5"/>
    </row>
    <row r="51" spans="2:19" x14ac:dyDescent="0.25">
      <c r="B51" s="4" t="s">
        <v>1415</v>
      </c>
      <c r="D51" t="s">
        <v>1434</v>
      </c>
      <c r="F51" t="s">
        <v>1101</v>
      </c>
      <c r="G51" t="s">
        <v>707</v>
      </c>
      <c r="H51">
        <v>0</v>
      </c>
      <c r="I51">
        <f t="shared" ref="I51:Q51" si="7">IF($B$4,IF($B$5="PAMS",I38,I27),0)</f>
        <v>0</v>
      </c>
      <c r="J51">
        <f t="shared" si="7"/>
        <v>0</v>
      </c>
      <c r="K51">
        <f t="shared" si="7"/>
        <v>0</v>
      </c>
      <c r="L51">
        <f t="shared" si="7"/>
        <v>-1.2500000000000001E-2</v>
      </c>
      <c r="M51">
        <f t="shared" si="7"/>
        <v>-2.5000000000000001E-2</v>
      </c>
      <c r="N51">
        <f t="shared" si="7"/>
        <v>-2.5000000000000001E-2</v>
      </c>
      <c r="O51">
        <f t="shared" si="7"/>
        <v>-2.5000000000000001E-2</v>
      </c>
      <c r="P51">
        <f t="shared" si="7"/>
        <v>-2.5000000000000001E-2</v>
      </c>
      <c r="Q51">
        <f t="shared" si="7"/>
        <v>-2.5000000000000001E-2</v>
      </c>
      <c r="S51" s="5"/>
    </row>
    <row r="52" spans="2:19" x14ac:dyDescent="0.25">
      <c r="B52" s="4" t="s">
        <v>1413</v>
      </c>
      <c r="D52" t="s">
        <v>1434</v>
      </c>
      <c r="F52" t="s">
        <v>1101</v>
      </c>
      <c r="G52" t="s">
        <v>707</v>
      </c>
      <c r="H52">
        <v>0</v>
      </c>
      <c r="I52">
        <f t="shared" ref="I52:Q52" si="8">IF($B$4,IF($B$5="PAMS",I39,I28),0)</f>
        <v>0</v>
      </c>
      <c r="J52">
        <f t="shared" si="8"/>
        <v>0</v>
      </c>
      <c r="K52">
        <f t="shared" si="8"/>
        <v>0</v>
      </c>
      <c r="L52">
        <f t="shared" si="8"/>
        <v>0</v>
      </c>
      <c r="M52">
        <f t="shared" si="8"/>
        <v>0</v>
      </c>
      <c r="N52">
        <f t="shared" si="8"/>
        <v>0</v>
      </c>
      <c r="O52">
        <f t="shared" si="8"/>
        <v>0</v>
      </c>
      <c r="P52">
        <f t="shared" si="8"/>
        <v>0</v>
      </c>
      <c r="Q52">
        <f t="shared" si="8"/>
        <v>0</v>
      </c>
      <c r="S52" s="5"/>
    </row>
    <row r="53" spans="2:19" x14ac:dyDescent="0.25">
      <c r="B53" s="4" t="s">
        <v>1409</v>
      </c>
      <c r="D53" t="s">
        <v>1433</v>
      </c>
      <c r="F53" t="s">
        <v>1101</v>
      </c>
      <c r="G53" t="s">
        <v>707</v>
      </c>
      <c r="H53">
        <v>0</v>
      </c>
      <c r="I53">
        <f t="shared" ref="I53:Q53" si="9">IF($B$4,IF($B$5="PAMS",I40,I29),0)</f>
        <v>0</v>
      </c>
      <c r="J53">
        <f t="shared" si="9"/>
        <v>0</v>
      </c>
      <c r="K53">
        <f t="shared" si="9"/>
        <v>0</v>
      </c>
      <c r="L53">
        <f t="shared" si="9"/>
        <v>-1.2500000000000001E-2</v>
      </c>
      <c r="M53">
        <f t="shared" si="9"/>
        <v>-2.5000000000000001E-2</v>
      </c>
      <c r="N53">
        <f t="shared" si="9"/>
        <v>-2.5000000000000001E-2</v>
      </c>
      <c r="O53">
        <f t="shared" si="9"/>
        <v>-2.5000000000000001E-2</v>
      </c>
      <c r="P53">
        <f t="shared" si="9"/>
        <v>-2.5000000000000001E-2</v>
      </c>
      <c r="Q53">
        <f t="shared" si="9"/>
        <v>-2.5000000000000001E-2</v>
      </c>
      <c r="S53" s="5"/>
    </row>
    <row r="54" spans="2:19" x14ac:dyDescent="0.25">
      <c r="B54" s="4" t="s">
        <v>1407</v>
      </c>
      <c r="D54" t="s">
        <v>1433</v>
      </c>
      <c r="F54" t="s">
        <v>1101</v>
      </c>
      <c r="G54" t="s">
        <v>707</v>
      </c>
      <c r="H54">
        <v>0</v>
      </c>
      <c r="I54">
        <f t="shared" ref="I54:Q54" si="10">IF($B$4,IF($B$5="PAMS",I41,I30),0)</f>
        <v>0</v>
      </c>
      <c r="J54">
        <f t="shared" si="10"/>
        <v>0</v>
      </c>
      <c r="K54">
        <f t="shared" si="10"/>
        <v>0</v>
      </c>
      <c r="L54">
        <f t="shared" si="10"/>
        <v>0</v>
      </c>
      <c r="M54">
        <f t="shared" si="10"/>
        <v>0</v>
      </c>
      <c r="N54">
        <f t="shared" si="10"/>
        <v>0</v>
      </c>
      <c r="O54">
        <f t="shared" si="10"/>
        <v>0</v>
      </c>
      <c r="P54">
        <f t="shared" si="10"/>
        <v>0</v>
      </c>
      <c r="Q54">
        <f t="shared" si="10"/>
        <v>0</v>
      </c>
      <c r="S54" s="5"/>
    </row>
    <row r="55" spans="2:19" x14ac:dyDescent="0.25">
      <c r="B55" t="s">
        <v>1399</v>
      </c>
      <c r="D55" t="s">
        <v>1434</v>
      </c>
      <c r="F55" t="s">
        <v>1101</v>
      </c>
      <c r="G55" t="s">
        <v>707</v>
      </c>
      <c r="H55">
        <v>0</v>
      </c>
      <c r="I55">
        <f t="shared" ref="I55:Q55" si="11">IF($B$4,IF($B$5="PAMS",I42,I31),0)</f>
        <v>0</v>
      </c>
      <c r="J55">
        <f t="shared" si="11"/>
        <v>0</v>
      </c>
      <c r="K55">
        <f t="shared" si="11"/>
        <v>0</v>
      </c>
      <c r="L55">
        <f t="shared" si="11"/>
        <v>-1.2500000000000001E-2</v>
      </c>
      <c r="M55">
        <f t="shared" si="11"/>
        <v>-2.5000000000000001E-2</v>
      </c>
      <c r="N55">
        <f t="shared" si="11"/>
        <v>-2.5000000000000001E-2</v>
      </c>
      <c r="O55">
        <f t="shared" si="11"/>
        <v>-2.5000000000000001E-2</v>
      </c>
      <c r="P55">
        <f t="shared" si="11"/>
        <v>-2.5000000000000001E-2</v>
      </c>
      <c r="Q55">
        <f t="shared" si="11"/>
        <v>-2.5000000000000001E-2</v>
      </c>
      <c r="S55" s="5"/>
    </row>
    <row r="56" spans="2:19" x14ac:dyDescent="0.25">
      <c r="B56" t="s">
        <v>1396</v>
      </c>
      <c r="D56" t="s">
        <v>1433</v>
      </c>
      <c r="F56" t="s">
        <v>1101</v>
      </c>
      <c r="G56" t="s">
        <v>707</v>
      </c>
      <c r="H56">
        <v>0</v>
      </c>
      <c r="I56">
        <f t="shared" ref="I56:Q56" si="12">IF($B$4,IF($B$5="PAMS",I43,I32),0)</f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S56" s="5"/>
    </row>
    <row r="57" spans="2:19" x14ac:dyDescent="0.25">
      <c r="B57" s="4"/>
      <c r="S57" s="5"/>
    </row>
    <row r="58" spans="2:19" x14ac:dyDescent="0.25">
      <c r="B58" s="4"/>
      <c r="E58" s="654" t="s">
        <v>1519</v>
      </c>
      <c r="F58" s="654" t="s">
        <v>1518</v>
      </c>
      <c r="S58" s="5"/>
    </row>
    <row r="59" spans="2:19" x14ac:dyDescent="0.25">
      <c r="B59" s="653" t="s">
        <v>1517</v>
      </c>
      <c r="E59" s="113" t="str">
        <f>IF(AND(B4,B5="PAMS"),"FX","UP")</f>
        <v>FX</v>
      </c>
      <c r="F59" s="113">
        <f>IF(AND(B5="PAMS",pamsindex),3,0)</f>
        <v>3</v>
      </c>
      <c r="S59" s="5"/>
    </row>
    <row r="60" spans="2:19" x14ac:dyDescent="0.25">
      <c r="B60" s="4"/>
      <c r="S60" s="5"/>
    </row>
    <row r="61" spans="2:19" x14ac:dyDescent="0.25">
      <c r="B61" s="630"/>
      <c r="C61" s="113"/>
      <c r="D61" s="113"/>
      <c r="E61" s="113"/>
      <c r="F61" s="113"/>
      <c r="G61" s="113"/>
      <c r="J61" s="113"/>
      <c r="S61" s="5"/>
    </row>
    <row r="62" spans="2:19" x14ac:dyDescent="0.25">
      <c r="B62" s="652"/>
      <c r="C62" s="449"/>
      <c r="D62" s="449"/>
      <c r="E62" s="449"/>
      <c r="F62" s="449"/>
      <c r="G62" s="449"/>
      <c r="H62" s="449"/>
      <c r="I62" s="449"/>
      <c r="J62" s="449"/>
      <c r="K62" s="8"/>
      <c r="L62" s="8"/>
      <c r="M62" s="8"/>
      <c r="N62" s="8"/>
      <c r="O62" s="8"/>
      <c r="P62" s="8"/>
      <c r="Q62" s="8"/>
      <c r="R62" s="8"/>
      <c r="S62" s="9"/>
    </row>
    <row r="63" spans="2:19" x14ac:dyDescent="0.25">
      <c r="B63" s="113"/>
      <c r="C63" s="113"/>
      <c r="D63" s="113"/>
      <c r="E63" s="113"/>
      <c r="F63" s="113"/>
      <c r="G63" s="113"/>
      <c r="H63" s="113"/>
      <c r="I63" s="113"/>
      <c r="J63" s="113"/>
    </row>
  </sheetData>
  <dataValidations count="2">
    <dataValidation type="list" allowBlank="1" showInputMessage="1" showErrorMessage="1" sqref="B5" xr:uid="{5EEBAFC0-0C5A-464D-8999-F9318A72863B}">
      <formula1>$G$6:$G$7</formula1>
    </dataValidation>
    <dataValidation type="list" allowBlank="1" showInputMessage="1" showErrorMessage="1" sqref="B4" xr:uid="{C96F09EE-679C-442D-9230-277DAA461FF3}">
      <formula1>"TRUE,FALSE"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237"/>
  <sheetViews>
    <sheetView zoomScale="70" zoomScaleNormal="70" workbookViewId="0">
      <selection activeCell="J38" sqref="J38"/>
    </sheetView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807</v>
      </c>
      <c r="D2">
        <f>'Summary Hydrogen DRI'!J2</f>
        <v>120</v>
      </c>
      <c r="E2" t="str">
        <f>'Summary Hydrogen DRI'!K2</f>
        <v>MJ/kg</v>
      </c>
      <c r="J2" t="s">
        <v>1129</v>
      </c>
    </row>
    <row r="3" spans="1:45" x14ac:dyDescent="0.25">
      <c r="J3" s="15" t="s">
        <v>1130</v>
      </c>
      <c r="K3" s="16"/>
      <c r="L3" s="16" t="s">
        <v>1131</v>
      </c>
      <c r="M3" s="16"/>
      <c r="N3" s="3"/>
      <c r="P3" t="s">
        <v>1000</v>
      </c>
      <c r="Q3" s="552"/>
      <c r="R3">
        <v>1.1499999999999999</v>
      </c>
      <c r="S3" s="132" t="s">
        <v>821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1126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1139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1116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781</v>
      </c>
      <c r="AM16" t="s">
        <v>782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783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784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785</v>
      </c>
      <c r="AN19" t="s">
        <v>786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787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788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1135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68" t="s">
        <v>789</v>
      </c>
      <c r="E56" s="669"/>
      <c r="F56" s="670"/>
      <c r="G56" s="668" t="s">
        <v>795</v>
      </c>
      <c r="H56" s="669"/>
      <c r="I56" s="670"/>
      <c r="X56" s="578"/>
    </row>
    <row r="57" spans="2:36" x14ac:dyDescent="0.25">
      <c r="B57" s="8"/>
      <c r="C57" s="9" t="s">
        <v>1119</v>
      </c>
      <c r="D57" s="11" t="s">
        <v>790</v>
      </c>
      <c r="E57" s="11">
        <v>2030</v>
      </c>
      <c r="F57" s="502" t="s">
        <v>1117</v>
      </c>
      <c r="G57" s="11" t="s">
        <v>790</v>
      </c>
      <c r="H57" s="11">
        <v>2030</v>
      </c>
      <c r="I57" s="502" t="s">
        <v>1117</v>
      </c>
      <c r="X57" s="578"/>
      <c r="AB57" s="5"/>
      <c r="AC57" t="s">
        <v>789</v>
      </c>
      <c r="AE57" s="5"/>
      <c r="AF57" t="s">
        <v>795</v>
      </c>
      <c r="AH57" s="5"/>
    </row>
    <row r="58" spans="2:36" x14ac:dyDescent="0.25">
      <c r="B58" s="665" t="s">
        <v>1121</v>
      </c>
      <c r="C58" s="5" t="s">
        <v>792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1119</v>
      </c>
      <c r="AC58" s="8" t="s">
        <v>790</v>
      </c>
      <c r="AD58" s="8">
        <v>2030</v>
      </c>
      <c r="AE58" s="9" t="s">
        <v>1117</v>
      </c>
      <c r="AF58" s="8" t="s">
        <v>790</v>
      </c>
      <c r="AG58" s="8">
        <v>2030</v>
      </c>
      <c r="AH58" s="9" t="s">
        <v>1117</v>
      </c>
      <c r="AI58" s="443"/>
      <c r="AJ58" s="443"/>
    </row>
    <row r="59" spans="2:36" x14ac:dyDescent="0.25">
      <c r="B59" s="666"/>
      <c r="C59" s="5" t="s">
        <v>794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1121</v>
      </c>
      <c r="AB59" s="5" t="s">
        <v>792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67"/>
      <c r="C60" s="9" t="s">
        <v>1018</v>
      </c>
      <c r="D60" s="586">
        <f t="shared" ref="D60" si="0">AVERAGE(D58:D59)</f>
        <v>0.58000000000000007</v>
      </c>
      <c r="E60" s="282">
        <f t="shared" ref="E60" si="1">AVERAGE(E58:E59)</f>
        <v>0.65500000000000003</v>
      </c>
      <c r="F60" s="284">
        <f t="shared" ref="F60" si="2">AVERAGE(F58:F59)</f>
        <v>0.70500000000000007</v>
      </c>
      <c r="G60" s="282">
        <f t="shared" ref="G60" si="3">AVERAGE(G58:G59)</f>
        <v>0.66500000000000004</v>
      </c>
      <c r="H60" s="282">
        <f t="shared" ref="H60" si="4">AVERAGE(H58:H59)</f>
        <v>0.67999999999999994</v>
      </c>
      <c r="I60" s="284">
        <f t="shared" ref="I60" si="5">AVERAGE(I58:I59)</f>
        <v>0.75</v>
      </c>
      <c r="X60" s="578"/>
      <c r="AB60" s="5" t="s">
        <v>794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65" t="s">
        <v>1137</v>
      </c>
      <c r="C61" s="5" t="s">
        <v>792</v>
      </c>
      <c r="D61" s="588">
        <f>AC62*$L$5</f>
        <v>13106.499999999998</v>
      </c>
      <c r="E61" s="134">
        <f t="shared" ref="E61:E63" si="6">AD62*$L$5</f>
        <v>7744.7499999999991</v>
      </c>
      <c r="F61" s="141">
        <f t="shared" ref="F61:F63" si="7">AE62*$L$5</f>
        <v>2383</v>
      </c>
      <c r="G61" s="134">
        <f t="shared" ref="G61:G63" si="8">AF62*$L$5</f>
        <v>5957.5</v>
      </c>
      <c r="H61" s="134">
        <f t="shared" ref="H61:H63" si="9">AG62*$L$5</f>
        <v>4766</v>
      </c>
      <c r="I61" s="141">
        <f t="shared" ref="I61:I63" si="10">AH62*$L$5</f>
        <v>2383</v>
      </c>
      <c r="L61" t="s">
        <v>1138</v>
      </c>
      <c r="X61" s="578"/>
      <c r="AA61" s="8"/>
      <c r="AB61" s="9" t="s">
        <v>1018</v>
      </c>
      <c r="AC61" s="282">
        <f t="shared" ref="AC61:AE61" si="11">AVERAGE(AC59:AC60)</f>
        <v>0.58000000000000007</v>
      </c>
      <c r="AD61" s="282">
        <f t="shared" si="11"/>
        <v>0.65500000000000003</v>
      </c>
      <c r="AE61" s="284">
        <f t="shared" si="11"/>
        <v>0.70500000000000007</v>
      </c>
      <c r="AF61" s="282">
        <f t="shared" ref="AF61" si="12">AVERAGE(AF59:AF60)</f>
        <v>0.66500000000000004</v>
      </c>
      <c r="AG61" s="282">
        <f t="shared" ref="AG61" si="13">AVERAGE(AG59:AG60)</f>
        <v>0.67999999999999994</v>
      </c>
      <c r="AH61" s="284">
        <f t="shared" ref="AH61" si="14">AVERAGE(AH59:AH60)</f>
        <v>0.75</v>
      </c>
    </row>
    <row r="62" spans="2:36" x14ac:dyDescent="0.25">
      <c r="B62" s="666"/>
      <c r="C62" s="5" t="s">
        <v>794</v>
      </c>
      <c r="D62" s="588">
        <f t="shared" ref="D62:D63" si="15">AC63*$L$5</f>
        <v>21447</v>
      </c>
      <c r="E62" s="134">
        <f t="shared" si="6"/>
        <v>17872.5</v>
      </c>
      <c r="F62" s="141">
        <f t="shared" si="7"/>
        <v>10723.5</v>
      </c>
      <c r="G62" s="134">
        <f t="shared" si="8"/>
        <v>16681</v>
      </c>
      <c r="H62" s="134">
        <f t="shared" si="9"/>
        <v>10127.75</v>
      </c>
      <c r="I62" s="141">
        <f t="shared" si="10"/>
        <v>8340.5</v>
      </c>
      <c r="X62" s="578"/>
      <c r="AA62" t="s">
        <v>1120</v>
      </c>
      <c r="AB62" s="5" t="s">
        <v>792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67"/>
      <c r="C63" s="9" t="s">
        <v>1018</v>
      </c>
      <c r="D63" s="134">
        <f t="shared" si="15"/>
        <v>17276.75</v>
      </c>
      <c r="E63" s="134">
        <f t="shared" si="6"/>
        <v>12808.624999999998</v>
      </c>
      <c r="F63" s="141">
        <f t="shared" si="7"/>
        <v>6553.2499999999991</v>
      </c>
      <c r="G63" s="134">
        <f t="shared" si="8"/>
        <v>11319.25</v>
      </c>
      <c r="H63" s="134">
        <f t="shared" si="9"/>
        <v>7446.8749999999991</v>
      </c>
      <c r="I63" s="141">
        <f t="shared" si="10"/>
        <v>5361.75</v>
      </c>
      <c r="X63" s="578"/>
      <c r="AB63" s="5" t="s">
        <v>794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65" t="s">
        <v>1122</v>
      </c>
      <c r="C64" s="5" t="s">
        <v>792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1018</v>
      </c>
      <c r="AC64" s="8">
        <f>AVERAGE(AC62:AC63)</f>
        <v>1450</v>
      </c>
      <c r="AD64" s="8">
        <f>AVERAGE(AD62:AD63)</f>
        <v>1075</v>
      </c>
      <c r="AE64" s="9">
        <f>AVERAGE(AE62:AE63)</f>
        <v>550</v>
      </c>
      <c r="AF64" s="8">
        <f t="shared" ref="AF64:AH64" si="16">AVERAGE(AF62:AF63)</f>
        <v>950</v>
      </c>
      <c r="AG64" s="8">
        <f t="shared" si="16"/>
        <v>625</v>
      </c>
      <c r="AH64" s="9">
        <f t="shared" si="16"/>
        <v>450</v>
      </c>
    </row>
    <row r="65" spans="2:37" x14ac:dyDescent="0.25">
      <c r="B65" s="666"/>
      <c r="C65" s="5" t="s">
        <v>794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1122</v>
      </c>
      <c r="AB65" s="5" t="s">
        <v>792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67"/>
      <c r="C66" s="9" t="s">
        <v>1018</v>
      </c>
      <c r="D66" s="8">
        <f t="shared" ref="D66" si="17">AVERAGE(D64:D65)</f>
        <v>60000</v>
      </c>
      <c r="E66" s="8">
        <f t="shared" ref="E66" si="18">AVERAGE(E64:E65)</f>
        <v>75000</v>
      </c>
      <c r="F66" s="9">
        <f t="shared" ref="F66" si="19">AVERAGE(F64:F65)</f>
        <v>12500</v>
      </c>
      <c r="G66" s="8">
        <f t="shared" ref="G66" si="20">AVERAGE(G64:G65)</f>
        <v>75000</v>
      </c>
      <c r="H66" s="8">
        <f t="shared" ref="H66" si="21">AVERAGE(H64:H65)</f>
        <v>95000</v>
      </c>
      <c r="I66" s="9">
        <f t="shared" ref="I66" si="22">AVERAGE(I64:I65)</f>
        <v>125000</v>
      </c>
      <c r="X66" s="578"/>
      <c r="AB66" s="5" t="s">
        <v>794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1018</v>
      </c>
      <c r="AC67" s="8">
        <f t="shared" ref="AC67:AH67" si="23">AVERAGE(AC65:AC66)</f>
        <v>60000</v>
      </c>
      <c r="AD67" s="8">
        <f t="shared" si="23"/>
        <v>75000</v>
      </c>
      <c r="AE67" s="9">
        <f t="shared" si="23"/>
        <v>12500</v>
      </c>
      <c r="AF67" s="8">
        <f t="shared" si="23"/>
        <v>75000</v>
      </c>
      <c r="AG67" s="8">
        <f t="shared" si="23"/>
        <v>95000</v>
      </c>
      <c r="AH67" s="9">
        <f t="shared" si="23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1123</v>
      </c>
    </row>
    <row r="73" spans="2:37" x14ac:dyDescent="0.25">
      <c r="X73" s="578"/>
      <c r="AA73" s="496"/>
    </row>
    <row r="74" spans="2:37" x14ac:dyDescent="0.25">
      <c r="X74" s="578"/>
      <c r="AA74" s="11" t="s">
        <v>798</v>
      </c>
      <c r="AB74" s="8"/>
      <c r="AC74" s="8"/>
    </row>
    <row r="75" spans="2:37" x14ac:dyDescent="0.25">
      <c r="X75" s="578"/>
      <c r="AA75" t="s">
        <v>799</v>
      </c>
    </row>
    <row r="76" spans="2:37" x14ac:dyDescent="0.25">
      <c r="X76" s="578"/>
      <c r="AA76" s="132" t="s">
        <v>800</v>
      </c>
    </row>
    <row r="77" spans="2:37" x14ac:dyDescent="0.25">
      <c r="X77" s="578"/>
    </row>
    <row r="78" spans="2:37" x14ac:dyDescent="0.25">
      <c r="X78" s="578"/>
      <c r="AA78" t="s">
        <v>801</v>
      </c>
    </row>
    <row r="79" spans="2:37" x14ac:dyDescent="0.25">
      <c r="X79" s="578"/>
      <c r="AA79">
        <v>500</v>
      </c>
      <c r="AB79" t="s">
        <v>802</v>
      </c>
    </row>
    <row r="80" spans="2:37" x14ac:dyDescent="0.25">
      <c r="X80" s="578"/>
      <c r="AA80" t="s">
        <v>803</v>
      </c>
      <c r="AB80" t="s">
        <v>804</v>
      </c>
    </row>
    <row r="81" spans="24:28" x14ac:dyDescent="0.25">
      <c r="X81" s="578"/>
      <c r="AA81">
        <v>516</v>
      </c>
      <c r="AB81" t="s">
        <v>805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1134</v>
      </c>
      <c r="X102" s="578"/>
    </row>
    <row r="103" spans="2:33" x14ac:dyDescent="0.25">
      <c r="X103" s="578"/>
      <c r="AA103" t="s">
        <v>806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677</v>
      </c>
      <c r="G105" s="150" t="s">
        <v>427</v>
      </c>
      <c r="X105" s="578"/>
      <c r="AA105">
        <f>L6</f>
        <v>11.78</v>
      </c>
      <c r="AB105" t="s">
        <v>1132</v>
      </c>
    </row>
    <row r="106" spans="2:33" x14ac:dyDescent="0.25">
      <c r="B106" s="131" t="s">
        <v>1133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1154</v>
      </c>
      <c r="G106" s="591" t="s">
        <v>1127</v>
      </c>
      <c r="I106" s="529">
        <v>0.1</v>
      </c>
      <c r="X106" s="578"/>
      <c r="AA106" s="494">
        <f>AA81*AA105</f>
        <v>6078.48</v>
      </c>
      <c r="AB106" t="s">
        <v>808</v>
      </c>
      <c r="AF106">
        <v>9.1999999999999998E-3</v>
      </c>
      <c r="AG106" t="s">
        <v>143</v>
      </c>
    </row>
    <row r="107" spans="2:33" x14ac:dyDescent="0.25">
      <c r="B107" s="131" t="s">
        <v>745</v>
      </c>
      <c r="C107" s="131">
        <v>20</v>
      </c>
      <c r="D107" s="131"/>
      <c r="E107" s="131"/>
      <c r="F107" s="131" t="s">
        <v>759</v>
      </c>
      <c r="G107" s="131" t="s">
        <v>931</v>
      </c>
      <c r="H107" s="367"/>
      <c r="X107" s="578"/>
      <c r="AA107" s="349">
        <f>AA106/D2</f>
        <v>50.653999999999996</v>
      </c>
      <c r="AB107" t="s">
        <v>809</v>
      </c>
      <c r="AF107" s="426">
        <f>AF106*AB109</f>
        <v>312.23125599999992</v>
      </c>
      <c r="AG107" t="s">
        <v>810</v>
      </c>
    </row>
    <row r="108" spans="2:33" x14ac:dyDescent="0.25">
      <c r="B108" s="131" t="s">
        <v>1128</v>
      </c>
      <c r="C108" s="131">
        <f>AA117*3.6/D2</f>
        <v>3.0000000000000002E-2</v>
      </c>
      <c r="D108" s="131"/>
      <c r="E108" s="131"/>
      <c r="F108" s="131" t="s">
        <v>1155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1025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989</v>
      </c>
      <c r="G109" s="131" t="s">
        <v>1156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811</v>
      </c>
      <c r="AF109" s="397"/>
    </row>
    <row r="110" spans="2:33" x14ac:dyDescent="0.25">
      <c r="B110" s="131" t="s">
        <v>791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812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798</v>
      </c>
    </row>
    <row r="114" spans="2:39" x14ac:dyDescent="0.25">
      <c r="X114" s="578"/>
      <c r="AA114" t="s">
        <v>813</v>
      </c>
    </row>
    <row r="115" spans="2:39" x14ac:dyDescent="0.25">
      <c r="X115" s="578"/>
      <c r="AA115" s="132" t="s">
        <v>814</v>
      </c>
    </row>
    <row r="116" spans="2:39" x14ac:dyDescent="0.25">
      <c r="X116" s="578"/>
      <c r="AA116" t="s">
        <v>993</v>
      </c>
    </row>
    <row r="117" spans="2:39" x14ac:dyDescent="0.25">
      <c r="X117" s="578"/>
      <c r="AA117">
        <v>1</v>
      </c>
      <c r="AB117" t="s">
        <v>994</v>
      </c>
    </row>
    <row r="118" spans="2:39" x14ac:dyDescent="0.25">
      <c r="X118" s="578"/>
      <c r="AB118" t="s">
        <v>996</v>
      </c>
    </row>
    <row r="119" spans="2:39" x14ac:dyDescent="0.25">
      <c r="X119" s="578"/>
    </row>
    <row r="120" spans="2:39" ht="21" x14ac:dyDescent="0.35">
      <c r="B120" s="580" t="s">
        <v>1140</v>
      </c>
      <c r="X120" s="578"/>
      <c r="Z120" s="495" t="s">
        <v>1125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1152</v>
      </c>
      <c r="E122" s="150" t="s">
        <v>677</v>
      </c>
      <c r="F122" s="150" t="s">
        <v>1153</v>
      </c>
      <c r="X122" s="578"/>
      <c r="AA122" s="500" t="s">
        <v>815</v>
      </c>
      <c r="AB122" s="500"/>
      <c r="AC122" s="500"/>
      <c r="AD122" s="500"/>
    </row>
    <row r="123" spans="2:39" x14ac:dyDescent="0.25">
      <c r="B123" s="131" t="s">
        <v>779</v>
      </c>
      <c r="C123" s="131" t="s">
        <v>1118</v>
      </c>
      <c r="D123" s="389">
        <f>AK131*R3*L6</f>
        <v>3115.81</v>
      </c>
      <c r="E123" s="131" t="s">
        <v>1146</v>
      </c>
      <c r="F123" s="131"/>
      <c r="X123" s="578"/>
      <c r="AA123" t="s">
        <v>816</v>
      </c>
    </row>
    <row r="124" spans="2:39" x14ac:dyDescent="0.25">
      <c r="B124" s="131"/>
      <c r="C124" s="131" t="s">
        <v>1141</v>
      </c>
      <c r="D124" s="389">
        <f>'AMSA reports'!O13/2</f>
        <v>725.14525500322793</v>
      </c>
      <c r="E124" s="131" t="s">
        <v>484</v>
      </c>
      <c r="F124" s="131" t="s">
        <v>1147</v>
      </c>
      <c r="X124" s="578"/>
      <c r="AA124" t="s">
        <v>817</v>
      </c>
      <c r="AH124" t="s">
        <v>818</v>
      </c>
    </row>
    <row r="125" spans="2:39" x14ac:dyDescent="0.25">
      <c r="B125" s="131"/>
      <c r="C125" s="131" t="s">
        <v>829</v>
      </c>
      <c r="D125" s="389">
        <f>D123*H125</f>
        <v>155.79050000000001</v>
      </c>
      <c r="E125" s="131" t="s">
        <v>484</v>
      </c>
      <c r="F125" s="131" t="s">
        <v>1157</v>
      </c>
      <c r="H125" s="529">
        <v>0.05</v>
      </c>
      <c r="X125" s="578"/>
      <c r="AH125" t="s">
        <v>819</v>
      </c>
      <c r="AI125">
        <v>1.1499999999999999</v>
      </c>
      <c r="AJ125" t="s">
        <v>820</v>
      </c>
      <c r="AK125" s="132" t="s">
        <v>821</v>
      </c>
    </row>
    <row r="126" spans="2:39" ht="21" x14ac:dyDescent="0.35">
      <c r="B126" s="131"/>
      <c r="C126" s="131" t="s">
        <v>745</v>
      </c>
      <c r="D126" s="131">
        <v>20</v>
      </c>
      <c r="E126" s="131" t="s">
        <v>747</v>
      </c>
      <c r="F126" s="131"/>
      <c r="X126" s="578"/>
      <c r="Z126" s="495"/>
    </row>
    <row r="127" spans="2:39" ht="21" x14ac:dyDescent="0.35">
      <c r="B127" s="131" t="s">
        <v>836</v>
      </c>
      <c r="C127" s="131" t="s">
        <v>1142</v>
      </c>
      <c r="D127" s="581">
        <f>AK137/1000</f>
        <v>1.504</v>
      </c>
      <c r="E127" s="131" t="s">
        <v>1144</v>
      </c>
      <c r="F127" s="131"/>
      <c r="X127" s="578"/>
      <c r="Z127" s="495"/>
    </row>
    <row r="128" spans="2:39" ht="21" x14ac:dyDescent="0.35">
      <c r="B128" s="131"/>
      <c r="C128" s="131" t="s">
        <v>841</v>
      </c>
      <c r="D128" s="131">
        <f>AK136*D2*1000000/1000000000</f>
        <v>6.12</v>
      </c>
      <c r="E128" s="131" t="s">
        <v>1145</v>
      </c>
      <c r="F128" s="131"/>
      <c r="X128" s="578"/>
      <c r="Z128" s="501"/>
      <c r="AA128" s="11" t="s">
        <v>822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823</v>
      </c>
      <c r="AJ128" s="8"/>
      <c r="AK128" s="8"/>
      <c r="AL128" s="8"/>
      <c r="AM128" s="8"/>
    </row>
    <row r="129" spans="2:44" x14ac:dyDescent="0.25">
      <c r="B129" s="131"/>
      <c r="C129" s="131" t="s">
        <v>1143</v>
      </c>
      <c r="D129" s="582">
        <f>AE216*3.6/1.5</f>
        <v>0.74400000000000022</v>
      </c>
      <c r="E129" s="582" t="s">
        <v>1145</v>
      </c>
      <c r="F129" s="131"/>
      <c r="X129" s="578"/>
      <c r="Z129" s="5"/>
      <c r="AD129" s="5"/>
      <c r="AH129" s="5"/>
      <c r="AO129" t="s">
        <v>824</v>
      </c>
    </row>
    <row r="130" spans="2:44" x14ac:dyDescent="0.25">
      <c r="X130" s="578"/>
      <c r="Z130" s="5"/>
      <c r="AA130" t="s">
        <v>677</v>
      </c>
      <c r="AD130" s="5" t="s">
        <v>825</v>
      </c>
      <c r="AE130" t="s">
        <v>145</v>
      </c>
      <c r="AH130" s="5" t="s">
        <v>825</v>
      </c>
      <c r="AI130" t="s">
        <v>145</v>
      </c>
      <c r="AO130">
        <v>120</v>
      </c>
      <c r="AP130" t="s">
        <v>435</v>
      </c>
    </row>
    <row r="131" spans="2:44" x14ac:dyDescent="0.25">
      <c r="X131" s="578"/>
      <c r="Z131" s="3" t="s">
        <v>773</v>
      </c>
      <c r="AA131" s="16" t="s">
        <v>826</v>
      </c>
      <c r="AB131" s="16"/>
      <c r="AC131" s="503">
        <v>0.58499999999999996</v>
      </c>
      <c r="AD131" s="3" t="s">
        <v>827</v>
      </c>
      <c r="AE131" s="504" t="s">
        <v>828</v>
      </c>
      <c r="AF131" s="16"/>
      <c r="AG131" s="503">
        <v>184</v>
      </c>
      <c r="AH131" s="3"/>
      <c r="AI131" s="504" t="s">
        <v>828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829</v>
      </c>
      <c r="AA132" s="504" t="s">
        <v>830</v>
      </c>
      <c r="AB132" s="504"/>
      <c r="AC132" s="506">
        <v>0.03</v>
      </c>
      <c r="AD132" s="505"/>
      <c r="AE132" s="504" t="s">
        <v>830</v>
      </c>
      <c r="AF132" s="504"/>
      <c r="AG132" s="506">
        <v>0.03</v>
      </c>
      <c r="AH132" s="505"/>
      <c r="AI132" s="504" t="s">
        <v>831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373</v>
      </c>
      <c r="D133" s="136"/>
      <c r="E133" s="136"/>
      <c r="F133" s="136"/>
      <c r="X133" s="578"/>
      <c r="Z133" s="5" t="s">
        <v>703</v>
      </c>
      <c r="AD133" s="5"/>
      <c r="AE133" t="s">
        <v>828</v>
      </c>
      <c r="AG133">
        <v>53</v>
      </c>
      <c r="AH133" s="5" t="s">
        <v>832</v>
      </c>
    </row>
    <row r="134" spans="2:44" x14ac:dyDescent="0.25">
      <c r="B134" s="131"/>
      <c r="C134" s="131"/>
      <c r="D134" s="150" t="s">
        <v>1152</v>
      </c>
      <c r="E134" s="150" t="s">
        <v>677</v>
      </c>
      <c r="F134" s="150" t="s">
        <v>1153</v>
      </c>
      <c r="X134" s="578"/>
      <c r="Z134" s="5" t="s">
        <v>833</v>
      </c>
      <c r="AD134" s="5"/>
      <c r="AE134" s="504" t="s">
        <v>828</v>
      </c>
      <c r="AG134">
        <v>8</v>
      </c>
      <c r="AH134" s="5" t="s">
        <v>834</v>
      </c>
      <c r="AO134" s="15" t="s">
        <v>835</v>
      </c>
      <c r="AP134" s="16"/>
      <c r="AQ134" s="16"/>
      <c r="AR134" s="3"/>
    </row>
    <row r="135" spans="2:44" x14ac:dyDescent="0.25">
      <c r="B135" s="131" t="s">
        <v>779</v>
      </c>
      <c r="C135" s="131" t="s">
        <v>1118</v>
      </c>
      <c r="D135" s="583">
        <f>AG131*AI125*L6</f>
        <v>2492.6479999999997</v>
      </c>
      <c r="E135" s="131" t="s">
        <v>1148</v>
      </c>
      <c r="F135" s="131"/>
      <c r="X135" s="578"/>
      <c r="Z135" s="9" t="s">
        <v>836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837</v>
      </c>
      <c r="AR135" s="5"/>
    </row>
    <row r="136" spans="2:44" x14ac:dyDescent="0.25">
      <c r="B136" s="131"/>
      <c r="C136" s="131" t="s">
        <v>1141</v>
      </c>
      <c r="D136" s="583">
        <f>D124</f>
        <v>725.14525500322793</v>
      </c>
      <c r="E136" s="131" t="s">
        <v>1149</v>
      </c>
      <c r="F136" s="131" t="s">
        <v>1150</v>
      </c>
      <c r="X136" s="578"/>
      <c r="Z136" s="5"/>
      <c r="AB136" t="s">
        <v>234</v>
      </c>
      <c r="AD136" s="5"/>
      <c r="AE136" t="s">
        <v>838</v>
      </c>
      <c r="AF136" t="s">
        <v>839</v>
      </c>
      <c r="AG136" s="507">
        <f>AG142*AO140</f>
        <v>1</v>
      </c>
      <c r="AH136" s="5"/>
      <c r="AI136" t="s">
        <v>840</v>
      </c>
      <c r="AJ136" t="s">
        <v>841</v>
      </c>
      <c r="AK136" s="500">
        <v>51</v>
      </c>
      <c r="AL136" t="s">
        <v>842</v>
      </c>
      <c r="AM136">
        <f>AK136/(AK137/1000)</f>
        <v>33.909574468085104</v>
      </c>
      <c r="AN136" t="s">
        <v>843</v>
      </c>
      <c r="AO136" s="4">
        <v>0</v>
      </c>
      <c r="AP136">
        <v>1</v>
      </c>
      <c r="AQ136" t="s">
        <v>844</v>
      </c>
      <c r="AR136" s="5"/>
    </row>
    <row r="137" spans="2:44" x14ac:dyDescent="0.25">
      <c r="B137" s="131"/>
      <c r="C137" s="131" t="s">
        <v>829</v>
      </c>
      <c r="D137" s="583">
        <f>D135*$F$137</f>
        <v>124.63239999999999</v>
      </c>
      <c r="E137" s="131" t="s">
        <v>1149</v>
      </c>
      <c r="F137" s="529">
        <v>0.05</v>
      </c>
      <c r="X137" s="578"/>
      <c r="Z137" s="5"/>
      <c r="AA137" t="s">
        <v>143</v>
      </c>
      <c r="AB137" t="s">
        <v>14</v>
      </c>
      <c r="AC137">
        <f>AC142/AC146</f>
        <v>1.3888888888888888</v>
      </c>
      <c r="AD137" s="5" t="s">
        <v>845</v>
      </c>
      <c r="AE137" t="s">
        <v>846</v>
      </c>
      <c r="AF137" t="s">
        <v>14</v>
      </c>
      <c r="AG137">
        <f>AO137+AO140*AP138</f>
        <v>0.753</v>
      </c>
      <c r="AH137" s="5" t="s">
        <v>847</v>
      </c>
      <c r="AI137" t="s">
        <v>840</v>
      </c>
      <c r="AJ137" t="s">
        <v>247</v>
      </c>
      <c r="AK137" s="500">
        <v>1504</v>
      </c>
      <c r="AL137" s="508"/>
      <c r="AO137" s="509">
        <v>0.66700000000000004</v>
      </c>
      <c r="AP137" s="500">
        <v>0.753</v>
      </c>
      <c r="AQ137" t="s">
        <v>846</v>
      </c>
      <c r="AR137" s="5"/>
    </row>
    <row r="138" spans="2:44" x14ac:dyDescent="0.25">
      <c r="B138" s="131"/>
      <c r="C138" s="131" t="s">
        <v>745</v>
      </c>
      <c r="D138" s="131">
        <v>20</v>
      </c>
      <c r="E138" s="131" t="s">
        <v>747</v>
      </c>
      <c r="F138" s="131" t="s">
        <v>1151</v>
      </c>
      <c r="X138" s="578"/>
      <c r="Z138" s="5"/>
      <c r="AD138" s="5"/>
      <c r="AE138" t="s">
        <v>840</v>
      </c>
      <c r="AF138" t="s">
        <v>848</v>
      </c>
      <c r="AG138" s="500">
        <v>50</v>
      </c>
      <c r="AH138" s="5"/>
      <c r="AI138" t="s">
        <v>849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850</v>
      </c>
      <c r="AR138" s="9"/>
    </row>
    <row r="139" spans="2:44" x14ac:dyDescent="0.25">
      <c r="B139" s="131" t="s">
        <v>780</v>
      </c>
      <c r="C139" s="131" t="s">
        <v>20</v>
      </c>
      <c r="D139" s="131">
        <f>AG136</f>
        <v>1</v>
      </c>
      <c r="E139" s="131" t="s">
        <v>190</v>
      </c>
      <c r="F139" s="131"/>
      <c r="X139" s="578"/>
      <c r="Z139" s="5"/>
      <c r="AD139" s="5"/>
      <c r="AE139" t="s">
        <v>838</v>
      </c>
      <c r="AF139" t="s">
        <v>851</v>
      </c>
      <c r="AG139" s="507">
        <f>AG136*(1-AO140)/AO140</f>
        <v>0</v>
      </c>
      <c r="AH139" s="5" t="s">
        <v>852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543</v>
      </c>
      <c r="F140" s="131"/>
      <c r="I140" t="s">
        <v>895</v>
      </c>
      <c r="J140">
        <f>1000000*3600/1000000000000000</f>
        <v>3.5999999999999998E-6</v>
      </c>
      <c r="K140" t="s">
        <v>896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853</v>
      </c>
      <c r="AQ140" s="507"/>
      <c r="AR140" s="507"/>
    </row>
    <row r="141" spans="2:44" x14ac:dyDescent="0.25">
      <c r="B141" s="131" t="s">
        <v>394</v>
      </c>
      <c r="C141" s="614" t="s">
        <v>1180</v>
      </c>
      <c r="D141" s="131">
        <v>0.08</v>
      </c>
      <c r="E141" s="614" t="s">
        <v>1253</v>
      </c>
      <c r="F141" s="614" t="s">
        <v>1254</v>
      </c>
      <c r="X141" s="578"/>
      <c r="Z141" s="9" t="s">
        <v>854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143</v>
      </c>
      <c r="AB142" t="s">
        <v>841</v>
      </c>
      <c r="AC142" s="507">
        <v>1</v>
      </c>
      <c r="AD142" s="5"/>
      <c r="AE142" t="s">
        <v>855</v>
      </c>
      <c r="AF142" t="s">
        <v>856</v>
      </c>
      <c r="AG142" s="507">
        <v>1</v>
      </c>
      <c r="AH142" s="5"/>
      <c r="AI142" t="s">
        <v>857</v>
      </c>
      <c r="AJ142" t="s">
        <v>839</v>
      </c>
      <c r="AK142" s="507">
        <v>1000</v>
      </c>
      <c r="AO142" t="s">
        <v>858</v>
      </c>
      <c r="AP142">
        <v>1.5</v>
      </c>
      <c r="AQ142" t="s">
        <v>859</v>
      </c>
    </row>
    <row r="143" spans="2:44" x14ac:dyDescent="0.25">
      <c r="X143" s="578"/>
      <c r="Z143" s="5"/>
      <c r="AB143" t="s">
        <v>690</v>
      </c>
      <c r="AD143" s="5"/>
      <c r="AH143" s="5"/>
      <c r="AI143" t="s">
        <v>857</v>
      </c>
      <c r="AJ143" t="s">
        <v>841</v>
      </c>
    </row>
    <row r="144" spans="2:44" x14ac:dyDescent="0.25">
      <c r="X144" s="578"/>
      <c r="Z144" s="5"/>
      <c r="AA144" t="s">
        <v>857</v>
      </c>
      <c r="AB144" t="s">
        <v>841</v>
      </c>
      <c r="AD144" s="5"/>
      <c r="AH144" s="5"/>
      <c r="AJ144" t="s">
        <v>234</v>
      </c>
    </row>
    <row r="145" spans="24:41" x14ac:dyDescent="0.25">
      <c r="X145" s="578"/>
      <c r="Z145" s="9"/>
      <c r="AA145" s="8"/>
      <c r="AB145" s="8" t="s">
        <v>690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860</v>
      </c>
    </row>
    <row r="146" spans="24:41" x14ac:dyDescent="0.25">
      <c r="X146" s="578"/>
      <c r="Z146" s="5" t="s">
        <v>791</v>
      </c>
      <c r="AB146" t="s">
        <v>861</v>
      </c>
      <c r="AC146" s="511">
        <v>0.72</v>
      </c>
      <c r="AD146" s="5" t="s">
        <v>862</v>
      </c>
      <c r="AH146" s="5"/>
      <c r="AN146">
        <f>AN145/1000</f>
        <v>2.7108000000000003</v>
      </c>
      <c r="AO146" t="s">
        <v>149</v>
      </c>
    </row>
    <row r="147" spans="24:41" x14ac:dyDescent="0.25">
      <c r="X147" s="578"/>
      <c r="Z147" s="5" t="s">
        <v>745</v>
      </c>
      <c r="AA147" t="s">
        <v>747</v>
      </c>
      <c r="AC147">
        <v>10</v>
      </c>
      <c r="AD147" s="5"/>
      <c r="AE147" t="s">
        <v>759</v>
      </c>
      <c r="AG147">
        <v>20</v>
      </c>
      <c r="AH147" s="5"/>
      <c r="AI147" t="s">
        <v>759</v>
      </c>
      <c r="AK147">
        <v>20</v>
      </c>
    </row>
    <row r="148" spans="24:41" x14ac:dyDescent="0.25">
      <c r="X148" s="578"/>
    </row>
    <row r="149" spans="24:41" x14ac:dyDescent="0.25">
      <c r="X149" s="578"/>
      <c r="AK149" s="512"/>
    </row>
    <row r="150" spans="24:41" x14ac:dyDescent="0.25">
      <c r="X150" s="578"/>
    </row>
    <row r="151" spans="24:41" x14ac:dyDescent="0.25">
      <c r="X151" s="578"/>
    </row>
    <row r="152" spans="24:41" x14ac:dyDescent="0.25">
      <c r="X152" s="578"/>
      <c r="AO152" s="512"/>
    </row>
    <row r="153" spans="24:41" x14ac:dyDescent="0.25">
      <c r="X153" s="578"/>
    </row>
    <row r="154" spans="24:41" x14ac:dyDescent="0.25">
      <c r="X154" s="578"/>
    </row>
    <row r="155" spans="24:41" x14ac:dyDescent="0.25">
      <c r="X155" s="578"/>
    </row>
    <row r="156" spans="24:41" x14ac:dyDescent="0.25">
      <c r="X156" s="578"/>
    </row>
    <row r="157" spans="24:41" x14ac:dyDescent="0.25">
      <c r="X157" s="578"/>
    </row>
    <row r="158" spans="24:41" x14ac:dyDescent="0.25">
      <c r="X158" s="578"/>
    </row>
    <row r="159" spans="24:41" x14ac:dyDescent="0.25">
      <c r="X159" s="578"/>
    </row>
    <row r="160" spans="24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888</v>
      </c>
      <c r="AC181" t="s">
        <v>889</v>
      </c>
    </row>
    <row r="182" spans="24:33" x14ac:dyDescent="0.25">
      <c r="X182" s="578"/>
      <c r="AA182" t="s">
        <v>195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890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1124</v>
      </c>
    </row>
    <row r="184" spans="24:33" x14ac:dyDescent="0.25">
      <c r="X184" s="578"/>
      <c r="AA184" t="s">
        <v>891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892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893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870</v>
      </c>
    </row>
    <row r="210" spans="24:40" x14ac:dyDescent="0.25">
      <c r="X210" s="578"/>
      <c r="AB210" t="s">
        <v>875</v>
      </c>
      <c r="AC210" s="367" t="s">
        <v>876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881</v>
      </c>
    </row>
    <row r="213" spans="24:40" x14ac:dyDescent="0.25">
      <c r="X213" s="578"/>
      <c r="AB213" s="367">
        <v>0.2</v>
      </c>
      <c r="AC213">
        <v>2.16</v>
      </c>
      <c r="AD213" t="s">
        <v>882</v>
      </c>
      <c r="AG213">
        <f>AC216</f>
        <v>2.41</v>
      </c>
      <c r="AH213" t="s">
        <v>883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884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886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887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865</v>
      </c>
    </row>
    <row r="224" spans="24:40" x14ac:dyDescent="0.25">
      <c r="X224" s="578"/>
      <c r="Z224">
        <v>30.6</v>
      </c>
      <c r="AA224" t="s">
        <v>866</v>
      </c>
      <c r="AB224" s="132" t="s">
        <v>867</v>
      </c>
    </row>
    <row r="225" spans="24:38" x14ac:dyDescent="0.25">
      <c r="X225" s="578"/>
      <c r="Z225">
        <f>Z224*AK228</f>
        <v>489.6</v>
      </c>
      <c r="AA225" t="s">
        <v>868</v>
      </c>
      <c r="AK225" t="s">
        <v>869</v>
      </c>
    </row>
    <row r="226" spans="24:38" x14ac:dyDescent="0.25">
      <c r="X226" s="578"/>
    </row>
    <row r="227" spans="24:38" x14ac:dyDescent="0.25">
      <c r="X227" s="578"/>
      <c r="Z227" t="s">
        <v>871</v>
      </c>
      <c r="AK227" t="s">
        <v>873</v>
      </c>
      <c r="AL227" t="s">
        <v>874</v>
      </c>
    </row>
    <row r="228" spans="24:38" x14ac:dyDescent="0.25">
      <c r="X228" s="578"/>
      <c r="Z228" t="s">
        <v>877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878</v>
      </c>
      <c r="AB229">
        <v>405</v>
      </c>
      <c r="AC229" t="s">
        <v>879</v>
      </c>
      <c r="AD229" s="132" t="s">
        <v>880</v>
      </c>
    </row>
    <row r="230" spans="24:38" x14ac:dyDescent="0.25">
      <c r="X230" s="578"/>
      <c r="Z230">
        <f>(Z229+AB229)/2</f>
        <v>270</v>
      </c>
      <c r="AA230" t="s">
        <v>796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885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</sheetData>
  <mergeCells count="5"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</hyperlinks>
  <pageMargins left="0.7" right="0.7" top="0.75" bottom="0.75" header="0.3" footer="0.3"/>
  <pageSetup orientation="portrait" horizontalDpi="1200" verticalDpi="1200" r:id="rId7"/>
  <drawing r:id="rId8"/>
  <legacy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topLeftCell="A118" zoomScale="85" zoomScaleNormal="85" workbookViewId="0">
      <selection activeCell="J38" sqref="J38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1"/>
      <c r="V15" s="671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 new'!B3/1000000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2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 t="shared" ref="S46:T46" si="0">F65</f>
        <v>10127.75</v>
      </c>
      <c r="T46" s="527">
        <f t="shared" si="0"/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2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 t="shared" ref="S47:T47" si="1">F70</f>
        <v>4927.9598021026477</v>
      </c>
      <c r="T47" s="528">
        <f t="shared" si="1"/>
        <v>2463.9799010513238</v>
      </c>
      <c r="U47" s="131"/>
      <c r="V47" s="131"/>
    </row>
    <row r="48" spans="1:37" x14ac:dyDescent="0.25">
      <c r="N48" s="672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2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 t="shared" ref="S49:T49" si="2">F67</f>
        <v>0.05</v>
      </c>
      <c r="T49" s="529">
        <f t="shared" si="2"/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2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 t="shared" ref="S50:T50" si="3">F98</f>
        <v>100000</v>
      </c>
      <c r="T50" s="131">
        <f t="shared" si="3"/>
        <v>150000</v>
      </c>
      <c r="U50" s="131"/>
      <c r="V50" s="131"/>
    </row>
    <row r="51" spans="1:22" x14ac:dyDescent="0.25">
      <c r="F51" s="522"/>
      <c r="G51" s="522"/>
      <c r="N51" s="672"/>
      <c r="O51" s="131"/>
      <c r="P51" s="131" t="s">
        <v>533</v>
      </c>
      <c r="Q51" s="131" t="s">
        <v>950</v>
      </c>
      <c r="R51" s="131">
        <f>E72</f>
        <v>60000</v>
      </c>
      <c r="S51" s="131">
        <f t="shared" ref="S51:T51" si="4">F72</f>
        <v>90000</v>
      </c>
      <c r="T51" s="131">
        <f t="shared" si="4"/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 new'!B3/1000000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2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2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2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 new'!B51/1000000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C108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C108" s="526">
        <f>'H-DRI literature and calcs'!AE216*3.6/1.5</f>
        <v>0.74400000000000022</v>
      </c>
      <c r="D108" s="526" t="s">
        <v>976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9" x14ac:dyDescent="0.25">
      <c r="A129" t="s">
        <v>987</v>
      </c>
      <c r="C129" s="488">
        <f>[16]Prices!C16</f>
        <v>318.83499999999998</v>
      </c>
      <c r="D129" t="s">
        <v>988</v>
      </c>
    </row>
    <row r="130" spans="1:9" x14ac:dyDescent="0.25">
      <c r="C130">
        <f>C129*[16]Deflators!C15</f>
        <v>4162.2431015000002</v>
      </c>
      <c r="D130" t="s">
        <v>981</v>
      </c>
    </row>
    <row r="136" spans="1:9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>
      <selection activeCell="J38" sqref="J38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1"/>
      <c r="V15" s="671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2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 t="shared" ref="S46:T46" si="0">F65</f>
        <v>10127.75</v>
      </c>
      <c r="T46" s="527">
        <f t="shared" si="0"/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2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 t="shared" ref="S47:T47" si="1">F70</f>
        <v>4927.9598021026477</v>
      </c>
      <c r="T47" s="528">
        <f t="shared" si="1"/>
        <v>2463.9799010513238</v>
      </c>
      <c r="U47" s="131"/>
      <c r="V47" s="131"/>
    </row>
    <row r="48" spans="1:37" x14ac:dyDescent="0.25">
      <c r="N48" s="672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2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 t="shared" ref="S49:T49" si="2">F67</f>
        <v>0.05</v>
      </c>
      <c r="T49" s="529">
        <f t="shared" si="2"/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2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 t="shared" ref="S50:T50" si="3">F98</f>
        <v>100000</v>
      </c>
      <c r="T50" s="131">
        <f t="shared" si="3"/>
        <v>150000</v>
      </c>
      <c r="U50" s="131"/>
      <c r="V50" s="131"/>
    </row>
    <row r="51" spans="1:22" x14ac:dyDescent="0.25">
      <c r="F51" s="522"/>
      <c r="G51" s="522"/>
      <c r="N51" s="672"/>
      <c r="O51" s="131"/>
      <c r="P51" s="131" t="s">
        <v>533</v>
      </c>
      <c r="Q51" s="131" t="s">
        <v>950</v>
      </c>
      <c r="R51" s="131">
        <f>E72</f>
        <v>60000</v>
      </c>
      <c r="S51" s="131">
        <f t="shared" ref="S51:T51" si="4">F72</f>
        <v>90000</v>
      </c>
      <c r="T51" s="131">
        <f t="shared" si="4"/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2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2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2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10" x14ac:dyDescent="0.25">
      <c r="A129" t="s">
        <v>987</v>
      </c>
      <c r="C129" s="488">
        <f>[16]Prices!C16</f>
        <v>318.83499999999998</v>
      </c>
      <c r="D129" t="s">
        <v>988</v>
      </c>
    </row>
    <row r="130" spans="1:10" x14ac:dyDescent="0.25">
      <c r="C130">
        <f>C129*[16]Deflators!C15</f>
        <v>4162.2431015000002</v>
      </c>
      <c r="D130" t="s">
        <v>981</v>
      </c>
    </row>
    <row r="136" spans="1:10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989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990</v>
      </c>
      <c r="I138" s="545" t="e" cm="1">
        <f t="array" aca="1" ref="I138" ca="1">MID(CELL("filename",#REF!),FIND("]",CELL("filename",#REF!))+1,256)</f>
        <v>#REF!</v>
      </c>
      <c r="J138" s="526" t="s">
        <v>991</v>
      </c>
    </row>
    <row r="139" spans="1:10" x14ac:dyDescent="0.25">
      <c r="D139" s="546" t="s">
        <v>791</v>
      </c>
      <c r="E139" s="546"/>
      <c r="F139" s="547">
        <v>0.99</v>
      </c>
      <c r="G139" s="546"/>
      <c r="I139" t="s">
        <v>992</v>
      </c>
    </row>
    <row r="140" spans="1:10" x14ac:dyDescent="0.25">
      <c r="B140" t="s">
        <v>993</v>
      </c>
      <c r="D140" s="546" t="s">
        <v>745</v>
      </c>
      <c r="E140" s="546"/>
      <c r="F140" s="546">
        <v>20</v>
      </c>
      <c r="G140" s="546"/>
      <c r="H140" t="s">
        <v>759</v>
      </c>
      <c r="I140" t="s">
        <v>931</v>
      </c>
      <c r="J140" s="367"/>
    </row>
    <row r="141" spans="1:10" x14ac:dyDescent="0.25">
      <c r="B141">
        <v>1</v>
      </c>
      <c r="C141" t="s">
        <v>994</v>
      </c>
      <c r="D141" s="546"/>
      <c r="E141" s="546"/>
      <c r="F141" s="548">
        <f>B141*3.6/J2</f>
        <v>3.0000000000000002E-2</v>
      </c>
      <c r="G141" s="546"/>
      <c r="H141" t="s">
        <v>995</v>
      </c>
    </row>
    <row r="142" spans="1:10" x14ac:dyDescent="0.25">
      <c r="C142" t="s">
        <v>996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402</v>
      </c>
      <c r="I143" t="s">
        <v>997</v>
      </c>
      <c r="J143" s="497"/>
    </row>
    <row r="144" spans="1:10" x14ac:dyDescent="0.25">
      <c r="D144" s="546" t="s">
        <v>956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18"/>
  <sheetViews>
    <sheetView workbookViewId="0">
      <selection activeCell="E36" sqref="E36"/>
    </sheetView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1514</v>
      </c>
      <c r="B1" s="574" t="s">
        <v>1084</v>
      </c>
      <c r="C1" s="574"/>
      <c r="D1" s="574"/>
      <c r="E1" s="574"/>
      <c r="F1" s="574"/>
    </row>
    <row r="2" spans="1:6" ht="15" x14ac:dyDescent="0.25">
      <c r="A2" s="574"/>
      <c r="B2" s="574" t="s">
        <v>1073</v>
      </c>
      <c r="C2" s="574" t="s">
        <v>1083</v>
      </c>
      <c r="D2" s="574" t="s">
        <v>1082</v>
      </c>
      <c r="E2" s="574" t="s">
        <v>143</v>
      </c>
      <c r="F2" s="574" t="s">
        <v>1077</v>
      </c>
    </row>
    <row r="3" spans="1:6" ht="15" x14ac:dyDescent="0.25">
      <c r="A3" s="574"/>
      <c r="B3" s="574" t="s">
        <v>1073</v>
      </c>
      <c r="C3" s="574" t="s">
        <v>1081</v>
      </c>
      <c r="D3" s="574" t="s">
        <v>1080</v>
      </c>
      <c r="E3" s="574" t="s">
        <v>143</v>
      </c>
      <c r="F3" s="574" t="s">
        <v>1070</v>
      </c>
    </row>
    <row r="4" spans="1:6" ht="15" x14ac:dyDescent="0.25">
      <c r="A4" s="574"/>
      <c r="B4" s="574" t="s">
        <v>1073</v>
      </c>
      <c r="C4" s="574" t="s">
        <v>1079</v>
      </c>
      <c r="D4" s="574" t="s">
        <v>1078</v>
      </c>
      <c r="E4" s="574" t="s">
        <v>143</v>
      </c>
      <c r="F4" s="574" t="s">
        <v>1077</v>
      </c>
    </row>
    <row r="5" spans="1:6" ht="15" x14ac:dyDescent="0.25">
      <c r="A5" s="574"/>
      <c r="B5" s="574" t="s">
        <v>1073</v>
      </c>
      <c r="C5" s="574" t="s">
        <v>1076</v>
      </c>
      <c r="D5" s="574" t="s">
        <v>1075</v>
      </c>
      <c r="E5" s="574" t="s">
        <v>143</v>
      </c>
      <c r="F5" s="574" t="s">
        <v>1074</v>
      </c>
    </row>
    <row r="6" spans="1:6" ht="15" x14ac:dyDescent="0.25">
      <c r="A6" s="574"/>
      <c r="B6" s="574" t="s">
        <v>1073</v>
      </c>
      <c r="C6" s="574" t="s">
        <v>1072</v>
      </c>
      <c r="D6" s="574" t="s">
        <v>1071</v>
      </c>
      <c r="E6" s="574" t="s">
        <v>143</v>
      </c>
      <c r="F6" s="574" t="s">
        <v>1070</v>
      </c>
    </row>
    <row r="7" spans="1:6" ht="15" x14ac:dyDescent="0.25">
      <c r="A7" s="574"/>
      <c r="B7" s="574" t="s">
        <v>1044</v>
      </c>
      <c r="C7" s="574" t="s">
        <v>1069</v>
      </c>
      <c r="D7" s="574" t="s">
        <v>1068</v>
      </c>
      <c r="E7" s="574" t="s">
        <v>1041</v>
      </c>
      <c r="F7" s="574" t="s">
        <v>1045</v>
      </c>
    </row>
    <row r="8" spans="1:6" ht="15" x14ac:dyDescent="0.25">
      <c r="A8" s="574"/>
      <c r="B8" s="574" t="s">
        <v>1044</v>
      </c>
      <c r="C8" s="574" t="s">
        <v>1067</v>
      </c>
      <c r="D8" s="574" t="s">
        <v>1066</v>
      </c>
      <c r="E8" s="574" t="s">
        <v>1049</v>
      </c>
      <c r="F8" s="574" t="s">
        <v>1040</v>
      </c>
    </row>
    <row r="9" spans="1:6" ht="15" x14ac:dyDescent="0.25">
      <c r="A9" s="574"/>
      <c r="B9" s="574" t="s">
        <v>1044</v>
      </c>
      <c r="C9" s="574" t="s">
        <v>1065</v>
      </c>
      <c r="D9" s="574" t="s">
        <v>1064</v>
      </c>
      <c r="E9" s="574" t="s">
        <v>1049</v>
      </c>
      <c r="F9" s="574" t="s">
        <v>1053</v>
      </c>
    </row>
    <row r="10" spans="1:6" ht="15" x14ac:dyDescent="0.25">
      <c r="A10" s="574"/>
      <c r="B10" s="574" t="s">
        <v>1044</v>
      </c>
      <c r="C10" s="574" t="s">
        <v>1063</v>
      </c>
      <c r="D10" s="574" t="s">
        <v>1062</v>
      </c>
      <c r="E10" s="574" t="s">
        <v>1056</v>
      </c>
      <c r="F10" s="574" t="s">
        <v>1040</v>
      </c>
    </row>
    <row r="11" spans="1:6" ht="15" x14ac:dyDescent="0.25">
      <c r="A11" s="574"/>
      <c r="B11" s="574" t="s">
        <v>1044</v>
      </c>
      <c r="C11" s="574" t="s">
        <v>1061</v>
      </c>
      <c r="D11" s="574" t="s">
        <v>1060</v>
      </c>
      <c r="E11" s="574" t="s">
        <v>1059</v>
      </c>
      <c r="F11" s="574" t="s">
        <v>1053</v>
      </c>
    </row>
    <row r="12" spans="1:6" ht="15" x14ac:dyDescent="0.25">
      <c r="A12" s="574"/>
      <c r="B12" s="574" t="s">
        <v>1044</v>
      </c>
      <c r="C12" s="574" t="s">
        <v>1058</v>
      </c>
      <c r="D12" s="574" t="s">
        <v>1057</v>
      </c>
      <c r="E12" s="574" t="s">
        <v>1056</v>
      </c>
      <c r="F12" s="574" t="s">
        <v>1040</v>
      </c>
    </row>
    <row r="13" spans="1:6" ht="15" x14ac:dyDescent="0.25">
      <c r="A13" s="574"/>
      <c r="B13" s="574" t="s">
        <v>1044</v>
      </c>
      <c r="C13" s="574" t="s">
        <v>1055</v>
      </c>
      <c r="D13" s="574" t="s">
        <v>1054</v>
      </c>
      <c r="E13" s="574" t="s">
        <v>1041</v>
      </c>
      <c r="F13" s="574" t="s">
        <v>1053</v>
      </c>
    </row>
    <row r="14" spans="1:6" ht="15" x14ac:dyDescent="0.25">
      <c r="A14" s="574" t="s">
        <v>1052</v>
      </c>
      <c r="B14" s="574" t="s">
        <v>1044</v>
      </c>
      <c r="C14" s="574" t="s">
        <v>1051</v>
      </c>
      <c r="D14" s="574" t="s">
        <v>1050</v>
      </c>
      <c r="E14" s="574" t="s">
        <v>1049</v>
      </c>
      <c r="F14" s="574" t="s">
        <v>1048</v>
      </c>
    </row>
    <row r="15" spans="1:6" ht="15" x14ac:dyDescent="0.25">
      <c r="A15" s="574"/>
      <c r="B15" s="574" t="s">
        <v>1044</v>
      </c>
      <c r="C15" s="574" t="s">
        <v>1047</v>
      </c>
      <c r="D15" s="574" t="s">
        <v>1046</v>
      </c>
      <c r="E15" s="574" t="s">
        <v>1041</v>
      </c>
      <c r="F15" s="574" t="s">
        <v>1045</v>
      </c>
    </row>
    <row r="16" spans="1:6" ht="15" x14ac:dyDescent="0.25">
      <c r="A16" s="574"/>
      <c r="B16" s="574" t="s">
        <v>1044</v>
      </c>
      <c r="C16" s="574" t="s">
        <v>1043</v>
      </c>
      <c r="D16" s="574" t="s">
        <v>1042</v>
      </c>
      <c r="E16" s="574" t="s">
        <v>1041</v>
      </c>
      <c r="F16" s="574" t="s">
        <v>1040</v>
      </c>
    </row>
    <row r="17" spans="2:6" ht="15" x14ac:dyDescent="0.25">
      <c r="B17" s="573" t="s">
        <v>1037</v>
      </c>
      <c r="C17" s="573" t="s">
        <v>1039</v>
      </c>
      <c r="D17" s="573" t="s">
        <v>1038</v>
      </c>
      <c r="E17" s="573"/>
      <c r="F17" s="573" t="s">
        <v>1034</v>
      </c>
    </row>
    <row r="18" spans="2:6" ht="15" x14ac:dyDescent="0.25">
      <c r="B18" s="573" t="s">
        <v>1037</v>
      </c>
      <c r="C18" s="573" t="s">
        <v>1036</v>
      </c>
      <c r="D18" s="573" t="s">
        <v>1035</v>
      </c>
      <c r="E18" s="573"/>
      <c r="F18" s="573" t="s">
        <v>1034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0"/>
  <sheetViews>
    <sheetView workbookViewId="0">
      <selection activeCell="E19" sqref="E19"/>
    </sheetView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1515</v>
      </c>
      <c r="B1" s="574" t="s">
        <v>1084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917</v>
      </c>
      <c r="C2" s="574" t="s">
        <v>1063</v>
      </c>
      <c r="D2" s="574" t="s">
        <v>707</v>
      </c>
      <c r="E2" s="574" t="s">
        <v>707</v>
      </c>
      <c r="F2" s="574" t="s">
        <v>707</v>
      </c>
      <c r="G2" s="574" t="s">
        <v>707</v>
      </c>
      <c r="H2" s="574" t="s">
        <v>707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917</v>
      </c>
      <c r="C3" s="574" t="s">
        <v>1058</v>
      </c>
      <c r="D3" s="574" t="s">
        <v>707</v>
      </c>
      <c r="E3" s="574" t="s">
        <v>707</v>
      </c>
      <c r="F3" s="574" t="s">
        <v>707</v>
      </c>
      <c r="G3" s="574" t="s">
        <v>707</v>
      </c>
      <c r="H3" s="574" t="s">
        <v>707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1052</v>
      </c>
      <c r="B4" s="574" t="s">
        <v>917</v>
      </c>
      <c r="C4" s="574" t="s">
        <v>1051</v>
      </c>
      <c r="D4" s="574" t="s">
        <v>707</v>
      </c>
      <c r="E4" s="574" t="s">
        <v>707</v>
      </c>
      <c r="F4" s="574" t="s">
        <v>707</v>
      </c>
      <c r="G4" s="574" t="s">
        <v>707</v>
      </c>
      <c r="H4" s="574" t="s">
        <v>707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917</v>
      </c>
      <c r="C5" s="574" t="s">
        <v>1047</v>
      </c>
      <c r="D5" s="574" t="s">
        <v>707</v>
      </c>
      <c r="E5" s="574" t="s">
        <v>707</v>
      </c>
      <c r="F5" s="574" t="s">
        <v>707</v>
      </c>
      <c r="G5" s="574" t="s">
        <v>707</v>
      </c>
      <c r="H5" s="574" t="s">
        <v>707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926</v>
      </c>
      <c r="C6" s="574" t="s">
        <v>1069</v>
      </c>
      <c r="D6" s="574" t="s">
        <v>707</v>
      </c>
      <c r="E6" s="574" t="s">
        <v>1090</v>
      </c>
      <c r="F6" s="574" t="s">
        <v>707</v>
      </c>
      <c r="G6" s="574" t="s">
        <v>1101</v>
      </c>
      <c r="H6" s="574" t="s">
        <v>707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926</v>
      </c>
      <c r="C7" s="574" t="s">
        <v>1067</v>
      </c>
      <c r="D7" s="574" t="s">
        <v>707</v>
      </c>
      <c r="E7" s="574" t="s">
        <v>1090</v>
      </c>
      <c r="F7" s="574" t="s">
        <v>707</v>
      </c>
      <c r="G7" s="574" t="s">
        <v>1101</v>
      </c>
      <c r="H7" s="574" t="s">
        <v>707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scenario'!S7</f>
        <v>1.3333333333333333</v>
      </c>
      <c r="AO7" s="574"/>
      <c r="AP7" s="574"/>
    </row>
    <row r="8" spans="1:42" ht="15" x14ac:dyDescent="0.25">
      <c r="A8" s="574"/>
      <c r="B8" s="574" t="s">
        <v>926</v>
      </c>
      <c r="C8" s="574" t="s">
        <v>1061</v>
      </c>
      <c r="D8" s="574" t="s">
        <v>707</v>
      </c>
      <c r="E8" s="574" t="s">
        <v>1090</v>
      </c>
      <c r="F8" s="574" t="s">
        <v>707</v>
      </c>
      <c r="G8" s="574" t="s">
        <v>1101</v>
      </c>
      <c r="H8" s="574" t="s">
        <v>707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1052</v>
      </c>
      <c r="B9" s="574" t="s">
        <v>926</v>
      </c>
      <c r="C9" s="574" t="s">
        <v>1051</v>
      </c>
      <c r="D9" s="574" t="s">
        <v>707</v>
      </c>
      <c r="E9" s="574" t="s">
        <v>1090</v>
      </c>
      <c r="F9" s="574" t="s">
        <v>707</v>
      </c>
      <c r="G9" s="574" t="s">
        <v>1101</v>
      </c>
      <c r="H9" s="574" t="s">
        <v>707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926</v>
      </c>
      <c r="C10" s="574" t="s">
        <v>1043</v>
      </c>
      <c r="D10" s="574" t="s">
        <v>707</v>
      </c>
      <c r="E10" s="574" t="s">
        <v>1090</v>
      </c>
      <c r="F10" s="574" t="s">
        <v>707</v>
      </c>
      <c r="G10" s="574" t="s">
        <v>1101</v>
      </c>
      <c r="H10" s="574" t="s">
        <v>707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906</v>
      </c>
      <c r="C11" s="574" t="s">
        <v>1063</v>
      </c>
      <c r="D11" s="574" t="s">
        <v>707</v>
      </c>
      <c r="E11" s="574" t="s">
        <v>1036</v>
      </c>
      <c r="F11" s="574" t="s">
        <v>1039</v>
      </c>
      <c r="G11" s="574" t="s">
        <v>1101</v>
      </c>
      <c r="H11" s="574" t="s">
        <v>707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906</v>
      </c>
      <c r="C12" s="574" t="s">
        <v>1055</v>
      </c>
      <c r="D12" s="574" t="s">
        <v>707</v>
      </c>
      <c r="E12" s="574" t="s">
        <v>1072</v>
      </c>
      <c r="F12" s="574" t="s">
        <v>1076</v>
      </c>
      <c r="G12" s="574" t="s">
        <v>1101</v>
      </c>
      <c r="H12" s="574" t="s">
        <v>707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908</v>
      </c>
      <c r="C13" s="574" t="s">
        <v>1063</v>
      </c>
      <c r="D13" s="574" t="s">
        <v>1081</v>
      </c>
      <c r="E13" s="574" t="s">
        <v>1039</v>
      </c>
      <c r="F13" s="574" t="s">
        <v>707</v>
      </c>
      <c r="G13" s="574" t="s">
        <v>1101</v>
      </c>
      <c r="H13" s="574" t="s">
        <v>1102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908</v>
      </c>
      <c r="C14" s="574" t="s">
        <v>1063</v>
      </c>
      <c r="D14" s="574" t="s">
        <v>1076</v>
      </c>
      <c r="E14" s="574" t="s">
        <v>1039</v>
      </c>
      <c r="F14" s="574" t="s">
        <v>707</v>
      </c>
      <c r="G14" s="574" t="s">
        <v>1101</v>
      </c>
      <c r="H14" s="574" t="s">
        <v>1102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1093</v>
      </c>
      <c r="C15" s="574" t="s">
        <v>1065</v>
      </c>
      <c r="D15" s="574" t="s">
        <v>707</v>
      </c>
      <c r="E15" s="574" t="s">
        <v>707</v>
      </c>
      <c r="F15" s="574" t="s">
        <v>707</v>
      </c>
      <c r="G15" s="574" t="s">
        <v>1101</v>
      </c>
      <c r="H15" s="574" t="s">
        <v>594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1093</v>
      </c>
      <c r="C16" s="574" t="s">
        <v>1058</v>
      </c>
      <c r="D16" s="574" t="s">
        <v>707</v>
      </c>
      <c r="E16" s="574" t="s">
        <v>707</v>
      </c>
      <c r="F16" s="574" t="s">
        <v>707</v>
      </c>
      <c r="G16" s="574" t="s">
        <v>1101</v>
      </c>
      <c r="H16" s="574" t="s">
        <v>594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1052</v>
      </c>
      <c r="B17" s="574" t="s">
        <v>1093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1100</v>
      </c>
      <c r="H17" s="574" t="s">
        <v>594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1052</v>
      </c>
      <c r="B18" s="574" t="s">
        <v>1093</v>
      </c>
      <c r="C18" s="574" t="s">
        <v>1051</v>
      </c>
      <c r="D18" s="574" t="s">
        <v>707</v>
      </c>
      <c r="E18" s="574" t="s">
        <v>707</v>
      </c>
      <c r="F18" s="574" t="s">
        <v>707</v>
      </c>
      <c r="G18" s="574" t="s">
        <v>1099</v>
      </c>
      <c r="H18" s="574" t="s">
        <v>594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1052</v>
      </c>
      <c r="B19" s="574" t="s">
        <v>1093</v>
      </c>
      <c r="C19" s="574" t="s">
        <v>1051</v>
      </c>
      <c r="D19" s="574" t="s">
        <v>707</v>
      </c>
      <c r="E19" s="574" t="s">
        <v>707</v>
      </c>
      <c r="F19" s="574" t="s">
        <v>707</v>
      </c>
      <c r="G19" s="574" t="s">
        <v>1098</v>
      </c>
      <c r="H19" s="574" t="s">
        <v>594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1052</v>
      </c>
      <c r="B20" s="574" t="s">
        <v>1093</v>
      </c>
      <c r="C20" s="574" t="s">
        <v>1051</v>
      </c>
      <c r="D20" s="574" t="s">
        <v>707</v>
      </c>
      <c r="E20" s="574" t="s">
        <v>707</v>
      </c>
      <c r="F20" s="574" t="s">
        <v>707</v>
      </c>
      <c r="G20" s="574" t="s">
        <v>1097</v>
      </c>
      <c r="H20" s="574" t="s">
        <v>594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1052</v>
      </c>
      <c r="B21" s="574" t="s">
        <v>1093</v>
      </c>
      <c r="C21" s="574" t="s">
        <v>1051</v>
      </c>
      <c r="D21" s="574" t="s">
        <v>707</v>
      </c>
      <c r="E21" s="574" t="s">
        <v>707</v>
      </c>
      <c r="F21" s="574" t="s">
        <v>707</v>
      </c>
      <c r="G21" s="574" t="s">
        <v>1096</v>
      </c>
      <c r="H21" s="574" t="s">
        <v>594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1052</v>
      </c>
      <c r="B22" s="574" t="s">
        <v>1093</v>
      </c>
      <c r="C22" s="574" t="s">
        <v>1051</v>
      </c>
      <c r="D22" s="574" t="s">
        <v>707</v>
      </c>
      <c r="E22" s="574" t="s">
        <v>707</v>
      </c>
      <c r="F22" s="574" t="s">
        <v>707</v>
      </c>
      <c r="G22" s="574" t="s">
        <v>1095</v>
      </c>
      <c r="H22" s="574" t="s">
        <v>594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1052</v>
      </c>
      <c r="B23" s="574" t="s">
        <v>1093</v>
      </c>
      <c r="C23" s="574" t="s">
        <v>1051</v>
      </c>
      <c r="D23" s="574" t="s">
        <v>707</v>
      </c>
      <c r="E23" s="574" t="s">
        <v>707</v>
      </c>
      <c r="F23" s="574" t="s">
        <v>707</v>
      </c>
      <c r="G23" s="574" t="s">
        <v>1094</v>
      </c>
      <c r="H23" s="574" t="s">
        <v>594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1052</v>
      </c>
      <c r="B24" s="574" t="s">
        <v>1093</v>
      </c>
      <c r="C24" s="574" t="s">
        <v>1051</v>
      </c>
      <c r="D24" s="574" t="s">
        <v>707</v>
      </c>
      <c r="E24" s="574" t="s">
        <v>707</v>
      </c>
      <c r="F24" s="574" t="s">
        <v>707</v>
      </c>
      <c r="G24" s="574" t="s">
        <v>1092</v>
      </c>
      <c r="H24" s="574" t="s">
        <v>594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979</v>
      </c>
      <c r="C25" s="574" t="s">
        <v>1067</v>
      </c>
      <c r="D25" s="574" t="s">
        <v>707</v>
      </c>
      <c r="E25" s="574" t="s">
        <v>707</v>
      </c>
      <c r="F25" s="574" t="s">
        <v>707</v>
      </c>
      <c r="G25" s="574" t="s">
        <v>707</v>
      </c>
      <c r="H25" s="574" t="s">
        <v>594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979</v>
      </c>
      <c r="C26" s="574" t="s">
        <v>1065</v>
      </c>
      <c r="D26" s="574" t="s">
        <v>707</v>
      </c>
      <c r="E26" s="574" t="s">
        <v>707</v>
      </c>
      <c r="F26" s="574" t="s">
        <v>707</v>
      </c>
      <c r="G26" s="574" t="s">
        <v>707</v>
      </c>
      <c r="H26" s="574" t="s">
        <v>594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979</v>
      </c>
      <c r="C27" s="574" t="s">
        <v>1063</v>
      </c>
      <c r="D27" s="574" t="s">
        <v>707</v>
      </c>
      <c r="E27" s="574" t="s">
        <v>707</v>
      </c>
      <c r="F27" s="574" t="s">
        <v>707</v>
      </c>
      <c r="G27" s="574" t="s">
        <v>707</v>
      </c>
      <c r="H27" s="574" t="s">
        <v>594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1091</v>
      </c>
      <c r="C28" s="574" t="s">
        <v>1065</v>
      </c>
      <c r="D28" s="574" t="s">
        <v>707</v>
      </c>
      <c r="E28" s="574" t="s">
        <v>1090</v>
      </c>
      <c r="F28" s="574" t="s">
        <v>707</v>
      </c>
      <c r="G28" s="574" t="s">
        <v>1089</v>
      </c>
      <c r="H28" s="574" t="s">
        <v>707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1088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1088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scenario'!S6</f>
        <v>5361.75</v>
      </c>
      <c r="AO30" s="574"/>
      <c r="AP30" s="574"/>
    </row>
    <row r="31" spans="1:42" ht="15" x14ac:dyDescent="0.25">
      <c r="B31" s="574" t="s">
        <v>1088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1088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1088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1088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1088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1052</v>
      </c>
      <c r="B36" s="574" t="s">
        <v>1088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1088</v>
      </c>
      <c r="C37" s="574" t="s">
        <v>1043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956</v>
      </c>
      <c r="C38" s="574" t="s">
        <v>1067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scenario'!Q9</f>
        <v>557.62199999999996</v>
      </c>
      <c r="U38" s="574"/>
      <c r="V38" s="574"/>
      <c r="Y38" s="574"/>
      <c r="Z38" s="574"/>
      <c r="AA38" s="574"/>
      <c r="AB38" s="575">
        <f>'HDRI scenario'!R9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scenario'!S9</f>
        <v>268.08750000000003</v>
      </c>
      <c r="AO38" s="574"/>
      <c r="AP38" s="574"/>
    </row>
    <row r="39" spans="1:42" ht="15" x14ac:dyDescent="0.25">
      <c r="B39" s="574" t="s">
        <v>956</v>
      </c>
      <c r="C39" s="574" t="s">
        <v>1065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956</v>
      </c>
      <c r="C40" s="574" t="s">
        <v>1058</v>
      </c>
      <c r="D40" s="574" t="s">
        <v>707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956</v>
      </c>
      <c r="C41" s="574" t="s">
        <v>1055</v>
      </c>
      <c r="D41" s="574" t="s">
        <v>707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1052</v>
      </c>
      <c r="B42" s="574" t="s">
        <v>956</v>
      </c>
      <c r="C42" s="574" t="s">
        <v>1051</v>
      </c>
      <c r="D42" s="574" t="s">
        <v>707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1087</v>
      </c>
      <c r="C43" s="574" t="s">
        <v>1067</v>
      </c>
      <c r="D43" s="574" t="s">
        <v>707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1087</v>
      </c>
      <c r="C44" s="574" t="s">
        <v>1065</v>
      </c>
      <c r="D44" s="574" t="s">
        <v>707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1087</v>
      </c>
      <c r="C45" s="574" t="s">
        <v>1063</v>
      </c>
      <c r="D45" s="574" t="s">
        <v>707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1087</v>
      </c>
      <c r="C46" s="574" t="s">
        <v>1058</v>
      </c>
      <c r="D46" s="574" t="s">
        <v>707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1087</v>
      </c>
      <c r="C47" s="574" t="s">
        <v>1055</v>
      </c>
      <c r="D47" s="574" t="s">
        <v>707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1052</v>
      </c>
      <c r="B48" s="574" t="s">
        <v>1087</v>
      </c>
      <c r="C48" s="574" t="s">
        <v>1051</v>
      </c>
      <c r="D48" s="574" t="s">
        <v>707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1086</v>
      </c>
      <c r="C49" s="574" t="s">
        <v>1067</v>
      </c>
      <c r="D49" s="574" t="s">
        <v>707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scenario'!Q8</f>
        <v>10</v>
      </c>
      <c r="U49" s="574"/>
      <c r="X49" s="574"/>
      <c r="Y49" s="574"/>
      <c r="Z49" s="574"/>
      <c r="AA49" s="574"/>
      <c r="AB49" s="575">
        <f>'HDRI scenario'!R8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scenario'!S8</f>
        <v>16</v>
      </c>
      <c r="AO49" s="574"/>
      <c r="AP49" s="574"/>
    </row>
    <row r="50" spans="1:42" ht="15" x14ac:dyDescent="0.25">
      <c r="B50" s="574" t="s">
        <v>1086</v>
      </c>
      <c r="C50" s="574" t="s">
        <v>1065</v>
      </c>
      <c r="D50" s="574" t="s">
        <v>707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1086</v>
      </c>
      <c r="C51" s="574" t="s">
        <v>1063</v>
      </c>
      <c r="D51" s="574" t="s">
        <v>707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1086</v>
      </c>
      <c r="C52" s="574" t="s">
        <v>1058</v>
      </c>
      <c r="D52" s="574" t="s">
        <v>707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1086</v>
      </c>
      <c r="C53" s="574" t="s">
        <v>1055</v>
      </c>
      <c r="D53" s="574" t="s">
        <v>707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1052</v>
      </c>
      <c r="B54" s="574" t="s">
        <v>1086</v>
      </c>
      <c r="C54" s="574" t="s">
        <v>1051</v>
      </c>
      <c r="D54" s="574" t="s">
        <v>707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909</v>
      </c>
      <c r="C55" s="574" t="s">
        <v>1063</v>
      </c>
      <c r="D55" s="574" t="s">
        <v>707</v>
      </c>
      <c r="E55" s="574" t="s">
        <v>41</v>
      </c>
      <c r="F55" s="574" t="s">
        <v>707</v>
      </c>
      <c r="G55" s="574" t="s">
        <v>707</v>
      </c>
      <c r="H55" s="574" t="s">
        <v>707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909</v>
      </c>
      <c r="C56" s="574" t="s">
        <v>1058</v>
      </c>
      <c r="D56" s="574" t="s">
        <v>707</v>
      </c>
      <c r="E56" s="574" t="s">
        <v>1083</v>
      </c>
      <c r="F56" s="574" t="s">
        <v>707</v>
      </c>
      <c r="G56" s="574" t="s">
        <v>707</v>
      </c>
      <c r="H56" s="574" t="s">
        <v>707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909</v>
      </c>
      <c r="C57" s="574" t="s">
        <v>1058</v>
      </c>
      <c r="D57" s="574" t="s">
        <v>707</v>
      </c>
      <c r="E57" s="574" t="s">
        <v>1081</v>
      </c>
      <c r="F57" s="574" t="s">
        <v>707</v>
      </c>
      <c r="G57" s="574" t="s">
        <v>707</v>
      </c>
      <c r="H57" s="574" t="s">
        <v>707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909</v>
      </c>
      <c r="C58" s="574" t="s">
        <v>1058</v>
      </c>
      <c r="D58" s="574" t="s">
        <v>707</v>
      </c>
      <c r="E58" s="574" t="s">
        <v>1072</v>
      </c>
      <c r="F58" s="574" t="s">
        <v>707</v>
      </c>
      <c r="G58" s="574" t="s">
        <v>707</v>
      </c>
      <c r="H58" s="574" t="s">
        <v>707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1085</v>
      </c>
      <c r="C59" s="574" t="s">
        <v>1065</v>
      </c>
      <c r="D59" s="574" t="s">
        <v>707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1085</v>
      </c>
      <c r="C60" s="574" t="s">
        <v>1055</v>
      </c>
      <c r="D60" s="574" t="s">
        <v>707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</sheetData>
  <autoFilter ref="A1:J60" xr:uid="{1A3D971A-3AB5-43BD-9E42-F007147A85A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2"/>
  <sheetViews>
    <sheetView workbookViewId="0">
      <selection activeCell="G23" sqref="G23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1516</v>
      </c>
      <c r="B1" s="574" t="s">
        <v>1084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1111</v>
      </c>
      <c r="C2" s="574" t="s">
        <v>707</v>
      </c>
      <c r="D2" s="574" t="s">
        <v>1081</v>
      </c>
      <c r="E2" s="574" t="s">
        <v>1039</v>
      </c>
      <c r="F2" s="574" t="s">
        <v>707</v>
      </c>
      <c r="G2" s="574" t="s">
        <v>707</v>
      </c>
      <c r="H2" s="574" t="s">
        <v>707</v>
      </c>
      <c r="I2" s="574">
        <v>1</v>
      </c>
    </row>
    <row r="3" spans="1:9" ht="15" x14ac:dyDescent="0.25">
      <c r="A3" s="574"/>
      <c r="B3" s="574" t="s">
        <v>1111</v>
      </c>
      <c r="C3" s="574" t="s">
        <v>707</v>
      </c>
      <c r="D3" s="574" t="s">
        <v>1081</v>
      </c>
      <c r="E3" s="574" t="s">
        <v>1115</v>
      </c>
      <c r="F3" s="574" t="s">
        <v>707</v>
      </c>
      <c r="G3" s="574" t="s">
        <v>707</v>
      </c>
      <c r="H3" s="574" t="s">
        <v>707</v>
      </c>
      <c r="I3" s="574">
        <v>1</v>
      </c>
    </row>
    <row r="4" spans="1:9" ht="15" x14ac:dyDescent="0.25">
      <c r="A4" s="574"/>
      <c r="B4" s="574" t="s">
        <v>1111</v>
      </c>
      <c r="C4" s="574" t="s">
        <v>707</v>
      </c>
      <c r="D4" s="574" t="s">
        <v>1079</v>
      </c>
      <c r="E4" s="574" t="s">
        <v>1036</v>
      </c>
      <c r="F4" s="574" t="s">
        <v>707</v>
      </c>
      <c r="G4" s="574" t="s">
        <v>707</v>
      </c>
      <c r="H4" s="574" t="s">
        <v>707</v>
      </c>
      <c r="I4" s="574">
        <v>1</v>
      </c>
    </row>
    <row r="5" spans="1:9" ht="15" x14ac:dyDescent="0.25">
      <c r="A5" s="574"/>
      <c r="B5" s="574" t="s">
        <v>1111</v>
      </c>
      <c r="C5" s="574" t="s">
        <v>707</v>
      </c>
      <c r="D5" s="574" t="s">
        <v>1076</v>
      </c>
      <c r="E5" s="574" t="s">
        <v>1039</v>
      </c>
      <c r="F5" s="574" t="s">
        <v>707</v>
      </c>
      <c r="G5" s="574" t="s">
        <v>707</v>
      </c>
      <c r="H5" s="574" t="s">
        <v>707</v>
      </c>
      <c r="I5" s="574">
        <v>1</v>
      </c>
    </row>
    <row r="6" spans="1:9" ht="15" x14ac:dyDescent="0.25">
      <c r="A6" s="574"/>
      <c r="B6" s="574" t="s">
        <v>1111</v>
      </c>
      <c r="C6" s="574" t="s">
        <v>707</v>
      </c>
      <c r="D6" s="574" t="s">
        <v>1076</v>
      </c>
      <c r="E6" s="574" t="s">
        <v>1113</v>
      </c>
      <c r="F6" s="574" t="s">
        <v>707</v>
      </c>
      <c r="G6" s="574" t="s">
        <v>707</v>
      </c>
      <c r="H6" s="574" t="s">
        <v>707</v>
      </c>
      <c r="I6" s="574">
        <v>1</v>
      </c>
    </row>
    <row r="7" spans="1:9" ht="15" x14ac:dyDescent="0.25">
      <c r="A7" s="574"/>
      <c r="B7" s="574" t="s">
        <v>1111</v>
      </c>
      <c r="C7" s="574" t="s">
        <v>707</v>
      </c>
      <c r="D7" s="574" t="s">
        <v>1076</v>
      </c>
      <c r="E7" s="574" t="s">
        <v>1114</v>
      </c>
      <c r="F7" s="574" t="s">
        <v>707</v>
      </c>
      <c r="G7" s="574" t="s">
        <v>707</v>
      </c>
      <c r="H7" s="574" t="s">
        <v>707</v>
      </c>
      <c r="I7" s="574">
        <v>1</v>
      </c>
    </row>
    <row r="8" spans="1:9" ht="15" x14ac:dyDescent="0.25">
      <c r="A8" s="574"/>
      <c r="B8" s="574" t="s">
        <v>1111</v>
      </c>
      <c r="C8" s="574" t="s">
        <v>707</v>
      </c>
      <c r="D8" s="574" t="s">
        <v>1072</v>
      </c>
      <c r="E8" s="574" t="s">
        <v>1113</v>
      </c>
      <c r="F8" s="574" t="s">
        <v>707</v>
      </c>
      <c r="G8" s="574" t="s">
        <v>707</v>
      </c>
      <c r="H8" s="574" t="s">
        <v>707</v>
      </c>
      <c r="I8" s="574">
        <v>1</v>
      </c>
    </row>
    <row r="9" spans="1:9" ht="15" x14ac:dyDescent="0.25">
      <c r="A9" s="574"/>
      <c r="B9" s="574" t="s">
        <v>1111</v>
      </c>
      <c r="C9" s="574" t="s">
        <v>707</v>
      </c>
      <c r="D9" s="574" t="s">
        <v>1072</v>
      </c>
      <c r="E9" s="574" t="s">
        <v>1112</v>
      </c>
      <c r="F9" s="574" t="s">
        <v>707</v>
      </c>
      <c r="G9" s="574" t="s">
        <v>707</v>
      </c>
      <c r="H9" s="574" t="s">
        <v>707</v>
      </c>
      <c r="I9" s="574">
        <v>1</v>
      </c>
    </row>
    <row r="10" spans="1:9" ht="15" x14ac:dyDescent="0.25">
      <c r="A10" s="574"/>
      <c r="B10" s="574" t="s">
        <v>1111</v>
      </c>
      <c r="C10" s="574" t="s">
        <v>707</v>
      </c>
      <c r="D10" s="574" t="s">
        <v>1072</v>
      </c>
      <c r="E10" s="574" t="s">
        <v>1110</v>
      </c>
      <c r="F10" s="574" t="s">
        <v>707</v>
      </c>
      <c r="G10" s="574" t="s">
        <v>707</v>
      </c>
      <c r="H10" s="574" t="s">
        <v>707</v>
      </c>
      <c r="I10" s="574">
        <v>1</v>
      </c>
    </row>
    <row r="11" spans="1:9" ht="15" x14ac:dyDescent="0.25">
      <c r="A11" s="574"/>
      <c r="B11" s="574" t="s">
        <v>1109</v>
      </c>
      <c r="C11" s="574" t="s">
        <v>1069</v>
      </c>
      <c r="D11" s="574" t="s">
        <v>707</v>
      </c>
      <c r="E11" s="574" t="s">
        <v>707</v>
      </c>
      <c r="F11" s="574" t="s">
        <v>707</v>
      </c>
      <c r="G11" s="574" t="s">
        <v>707</v>
      </c>
      <c r="H11" s="574" t="s">
        <v>707</v>
      </c>
      <c r="I11" s="574">
        <v>2020</v>
      </c>
    </row>
    <row r="12" spans="1:9" ht="15" x14ac:dyDescent="0.25">
      <c r="A12" s="574"/>
      <c r="B12" s="574" t="s">
        <v>1109</v>
      </c>
      <c r="C12" s="574" t="s">
        <v>1067</v>
      </c>
      <c r="D12" s="574" t="s">
        <v>707</v>
      </c>
      <c r="E12" s="574" t="s">
        <v>707</v>
      </c>
      <c r="F12" s="574" t="s">
        <v>707</v>
      </c>
      <c r="G12" s="574" t="s">
        <v>707</v>
      </c>
      <c r="H12" s="574" t="s">
        <v>707</v>
      </c>
      <c r="I12" s="575">
        <f>'HDRI scenario'!B9</f>
        <v>2028</v>
      </c>
    </row>
    <row r="13" spans="1:9" ht="15" x14ac:dyDescent="0.25">
      <c r="A13" s="574"/>
      <c r="B13" s="574" t="s">
        <v>1109</v>
      </c>
      <c r="C13" s="574" t="s">
        <v>1065</v>
      </c>
      <c r="D13" s="574" t="s">
        <v>707</v>
      </c>
      <c r="E13" s="574" t="s">
        <v>707</v>
      </c>
      <c r="F13" s="574" t="s">
        <v>707</v>
      </c>
      <c r="G13" s="574" t="s">
        <v>707</v>
      </c>
      <c r="H13" s="574" t="s">
        <v>707</v>
      </c>
      <c r="I13" s="574">
        <v>2020</v>
      </c>
    </row>
    <row r="14" spans="1:9" ht="15" x14ac:dyDescent="0.25">
      <c r="A14" s="574"/>
      <c r="B14" s="574" t="s">
        <v>1109</v>
      </c>
      <c r="C14" s="574" t="s">
        <v>1063</v>
      </c>
      <c r="D14" s="574" t="s">
        <v>707</v>
      </c>
      <c r="E14" s="574" t="s">
        <v>707</v>
      </c>
      <c r="F14" s="574" t="s">
        <v>707</v>
      </c>
      <c r="G14" s="574" t="s">
        <v>707</v>
      </c>
      <c r="H14" s="574" t="s">
        <v>707</v>
      </c>
      <c r="I14" s="574">
        <v>2020</v>
      </c>
    </row>
    <row r="15" spans="1:9" ht="15" x14ac:dyDescent="0.25">
      <c r="A15" s="574"/>
      <c r="B15" s="574" t="s">
        <v>1109</v>
      </c>
      <c r="C15" s="574" t="s">
        <v>1058</v>
      </c>
      <c r="D15" s="574" t="s">
        <v>707</v>
      </c>
      <c r="E15" s="574" t="s">
        <v>707</v>
      </c>
      <c r="F15" s="574" t="s">
        <v>707</v>
      </c>
      <c r="G15" s="574" t="s">
        <v>707</v>
      </c>
      <c r="H15" s="574" t="s">
        <v>707</v>
      </c>
      <c r="I15" s="574">
        <v>2020</v>
      </c>
    </row>
    <row r="16" spans="1:9" ht="15" x14ac:dyDescent="0.25">
      <c r="A16" s="574"/>
      <c r="B16" s="574" t="s">
        <v>1109</v>
      </c>
      <c r="C16" s="574" t="s">
        <v>1055</v>
      </c>
      <c r="D16" s="574" t="s">
        <v>707</v>
      </c>
      <c r="E16" s="574" t="s">
        <v>707</v>
      </c>
      <c r="F16" s="574" t="s">
        <v>707</v>
      </c>
      <c r="G16" s="574" t="s">
        <v>707</v>
      </c>
      <c r="H16" s="574" t="s">
        <v>707</v>
      </c>
      <c r="I16" s="574">
        <v>2020</v>
      </c>
    </row>
    <row r="17" spans="1:9" ht="15" x14ac:dyDescent="0.25">
      <c r="A17" s="572" t="s">
        <v>1052</v>
      </c>
      <c r="B17" s="574" t="s">
        <v>1109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707</v>
      </c>
      <c r="H17" s="574" t="s">
        <v>707</v>
      </c>
      <c r="I17" s="574">
        <v>2020</v>
      </c>
    </row>
    <row r="18" spans="1:9" ht="15" x14ac:dyDescent="0.25">
      <c r="B18" s="574" t="s">
        <v>1109</v>
      </c>
      <c r="C18" s="574" t="s">
        <v>1043</v>
      </c>
      <c r="D18" s="574" t="s">
        <v>707</v>
      </c>
      <c r="E18" s="574" t="s">
        <v>707</v>
      </c>
      <c r="F18" s="574" t="s">
        <v>707</v>
      </c>
      <c r="G18" s="574" t="s">
        <v>707</v>
      </c>
      <c r="H18" s="574" t="s">
        <v>707</v>
      </c>
      <c r="I18" s="574">
        <v>2020</v>
      </c>
    </row>
    <row r="19" spans="1:9" ht="15" x14ac:dyDescent="0.25">
      <c r="B19" s="574" t="s">
        <v>1108</v>
      </c>
      <c r="C19" s="574" t="s">
        <v>1069</v>
      </c>
      <c r="D19" s="574" t="s">
        <v>707</v>
      </c>
      <c r="E19" s="574" t="s">
        <v>42</v>
      </c>
      <c r="F19" s="574" t="s">
        <v>707</v>
      </c>
      <c r="G19" s="574" t="s">
        <v>707</v>
      </c>
      <c r="H19" s="574" t="s">
        <v>707</v>
      </c>
      <c r="I19" s="574">
        <v>1</v>
      </c>
    </row>
    <row r="20" spans="1:9" ht="15" x14ac:dyDescent="0.25">
      <c r="B20" s="574" t="s">
        <v>1108</v>
      </c>
      <c r="C20" s="574" t="s">
        <v>1067</v>
      </c>
      <c r="D20" s="574" t="s">
        <v>707</v>
      </c>
      <c r="E20" s="574" t="s">
        <v>1076</v>
      </c>
      <c r="F20" s="574" t="s">
        <v>707</v>
      </c>
      <c r="G20" s="574" t="s">
        <v>707</v>
      </c>
      <c r="H20" s="574" t="s">
        <v>707</v>
      </c>
      <c r="I20" s="574">
        <v>1</v>
      </c>
    </row>
    <row r="21" spans="1:9" ht="15" x14ac:dyDescent="0.25">
      <c r="B21" s="574" t="s">
        <v>1108</v>
      </c>
      <c r="C21" s="574" t="s">
        <v>1065</v>
      </c>
      <c r="D21" s="574" t="s">
        <v>707</v>
      </c>
      <c r="E21" s="574" t="s">
        <v>1076</v>
      </c>
      <c r="F21" s="574" t="s">
        <v>707</v>
      </c>
      <c r="G21" s="574" t="s">
        <v>707</v>
      </c>
      <c r="H21" s="574" t="s">
        <v>707</v>
      </c>
      <c r="I21" s="574">
        <v>1</v>
      </c>
    </row>
    <row r="22" spans="1:9" ht="15" x14ac:dyDescent="0.25">
      <c r="B22" s="574" t="s">
        <v>1108</v>
      </c>
      <c r="C22" s="574" t="s">
        <v>1063</v>
      </c>
      <c r="D22" s="574" t="s">
        <v>707</v>
      </c>
      <c r="E22" s="574" t="s">
        <v>1079</v>
      </c>
      <c r="F22" s="574" t="s">
        <v>707</v>
      </c>
      <c r="G22" s="574" t="s">
        <v>707</v>
      </c>
      <c r="H22" s="574" t="s">
        <v>707</v>
      </c>
      <c r="I22" s="574">
        <v>1</v>
      </c>
    </row>
    <row r="23" spans="1:9" ht="15" x14ac:dyDescent="0.25">
      <c r="B23" s="574" t="s">
        <v>1108</v>
      </c>
      <c r="C23" s="574" t="s">
        <v>1061</v>
      </c>
      <c r="D23" s="574" t="s">
        <v>707</v>
      </c>
      <c r="E23" s="574" t="s">
        <v>1081</v>
      </c>
      <c r="F23" s="574" t="s">
        <v>707</v>
      </c>
      <c r="G23" s="574" t="s">
        <v>707</v>
      </c>
      <c r="H23" s="574" t="s">
        <v>707</v>
      </c>
      <c r="I23" s="574">
        <v>1</v>
      </c>
    </row>
    <row r="24" spans="1:9" ht="15" x14ac:dyDescent="0.25">
      <c r="B24" s="574" t="s">
        <v>1108</v>
      </c>
      <c r="C24" s="574" t="s">
        <v>1058</v>
      </c>
      <c r="D24" s="574" t="s">
        <v>707</v>
      </c>
      <c r="E24" s="574" t="s">
        <v>1081</v>
      </c>
      <c r="F24" s="574" t="s">
        <v>707</v>
      </c>
      <c r="G24" s="574" t="s">
        <v>707</v>
      </c>
      <c r="H24" s="574" t="s">
        <v>707</v>
      </c>
      <c r="I24" s="574">
        <v>1</v>
      </c>
    </row>
    <row r="25" spans="1:9" ht="15" x14ac:dyDescent="0.25">
      <c r="B25" s="574" t="s">
        <v>1108</v>
      </c>
      <c r="C25" s="574" t="s">
        <v>1055</v>
      </c>
      <c r="D25" s="574" t="s">
        <v>707</v>
      </c>
      <c r="E25" s="574" t="s">
        <v>1072</v>
      </c>
      <c r="F25" s="574" t="s">
        <v>707</v>
      </c>
      <c r="G25" s="574" t="s">
        <v>707</v>
      </c>
      <c r="H25" s="574" t="s">
        <v>707</v>
      </c>
      <c r="I25" s="574">
        <v>1</v>
      </c>
    </row>
    <row r="26" spans="1:9" ht="15" x14ac:dyDescent="0.25">
      <c r="A26" s="572" t="s">
        <v>1052</v>
      </c>
      <c r="B26" s="574" t="s">
        <v>1108</v>
      </c>
      <c r="C26" s="574" t="s">
        <v>1051</v>
      </c>
      <c r="D26" s="574" t="s">
        <v>707</v>
      </c>
      <c r="E26" s="574" t="s">
        <v>1076</v>
      </c>
      <c r="F26" s="574" t="s">
        <v>707</v>
      </c>
      <c r="G26" s="574" t="s">
        <v>707</v>
      </c>
      <c r="H26" s="574" t="s">
        <v>707</v>
      </c>
      <c r="I26" s="574">
        <v>1</v>
      </c>
    </row>
    <row r="27" spans="1:9" ht="15" x14ac:dyDescent="0.25">
      <c r="B27" s="574" t="s">
        <v>1108</v>
      </c>
      <c r="C27" s="574" t="s">
        <v>1047</v>
      </c>
      <c r="D27" s="574" t="s">
        <v>707</v>
      </c>
      <c r="E27" s="574" t="s">
        <v>1083</v>
      </c>
      <c r="F27" s="574" t="s">
        <v>707</v>
      </c>
      <c r="G27" s="574" t="s">
        <v>707</v>
      </c>
      <c r="H27" s="574" t="s">
        <v>707</v>
      </c>
      <c r="I27" s="574">
        <v>1</v>
      </c>
    </row>
    <row r="28" spans="1:9" ht="15" x14ac:dyDescent="0.25">
      <c r="B28" s="574" t="s">
        <v>1108</v>
      </c>
      <c r="C28" s="574" t="s">
        <v>1043</v>
      </c>
      <c r="D28" s="574" t="s">
        <v>707</v>
      </c>
      <c r="E28" s="574" t="s">
        <v>1076</v>
      </c>
      <c r="F28" s="574" t="s">
        <v>707</v>
      </c>
      <c r="G28" s="574" t="s">
        <v>707</v>
      </c>
      <c r="H28" s="574" t="s">
        <v>707</v>
      </c>
      <c r="I28" s="574">
        <v>1</v>
      </c>
    </row>
    <row r="29" spans="1:9" ht="15" x14ac:dyDescent="0.25">
      <c r="B29" s="574" t="s">
        <v>1107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1</v>
      </c>
    </row>
    <row r="30" spans="1:9" ht="15" x14ac:dyDescent="0.25">
      <c r="B30" s="574" t="s">
        <v>1107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31.536000000000001</v>
      </c>
    </row>
    <row r="31" spans="1:9" ht="15" x14ac:dyDescent="0.25">
      <c r="B31" s="574" t="s">
        <v>1107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31.536000000000001</v>
      </c>
    </row>
    <row r="32" spans="1:9" ht="15" x14ac:dyDescent="0.25">
      <c r="B32" s="574" t="s">
        <v>1107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1</v>
      </c>
    </row>
    <row r="33" spans="1:9" ht="15" x14ac:dyDescent="0.25">
      <c r="B33" s="574" t="s">
        <v>1107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1</v>
      </c>
    </row>
    <row r="34" spans="1:9" ht="15" x14ac:dyDescent="0.25">
      <c r="B34" s="574" t="s">
        <v>1107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1</v>
      </c>
    </row>
    <row r="35" spans="1:9" ht="15" x14ac:dyDescent="0.25">
      <c r="B35" s="574" t="s">
        <v>1107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1</v>
      </c>
    </row>
    <row r="36" spans="1:9" ht="15" x14ac:dyDescent="0.25">
      <c r="A36" s="572" t="s">
        <v>1052</v>
      </c>
      <c r="B36" s="574" t="s">
        <v>1107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31.536000000000001</v>
      </c>
    </row>
    <row r="37" spans="1:9" ht="15" x14ac:dyDescent="0.25">
      <c r="B37" s="574" t="s">
        <v>1107</v>
      </c>
      <c r="C37" s="574" t="s">
        <v>1047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1</v>
      </c>
    </row>
    <row r="38" spans="1:9" ht="15" x14ac:dyDescent="0.25">
      <c r="B38" s="574" t="s">
        <v>1107</v>
      </c>
      <c r="C38" s="574" t="s">
        <v>1043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1</v>
      </c>
    </row>
    <row r="39" spans="1:9" ht="15" x14ac:dyDescent="0.25">
      <c r="B39" s="574" t="s">
        <v>1106</v>
      </c>
      <c r="C39" s="574" t="s">
        <v>1067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1</v>
      </c>
    </row>
    <row r="40" spans="1:9" ht="15" x14ac:dyDescent="0.25">
      <c r="B40" s="574" t="s">
        <v>1104</v>
      </c>
      <c r="C40" s="574" t="s">
        <v>1069</v>
      </c>
      <c r="D40" s="574" t="s">
        <v>1079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1</v>
      </c>
    </row>
    <row r="41" spans="1:9" ht="15" x14ac:dyDescent="0.25">
      <c r="B41" s="574" t="s">
        <v>1104</v>
      </c>
      <c r="C41" s="574" t="s">
        <v>1067</v>
      </c>
      <c r="D41" s="574" t="s">
        <v>1076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1</v>
      </c>
    </row>
    <row r="42" spans="1:9" ht="15" x14ac:dyDescent="0.25">
      <c r="B42" s="574" t="s">
        <v>1104</v>
      </c>
      <c r="C42" s="574" t="s">
        <v>1065</v>
      </c>
      <c r="D42" s="574" t="s">
        <v>1076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1</v>
      </c>
    </row>
    <row r="43" spans="1:9" ht="15" x14ac:dyDescent="0.25">
      <c r="B43" s="574" t="s">
        <v>1104</v>
      </c>
      <c r="C43" s="574" t="s">
        <v>1063</v>
      </c>
      <c r="D43" s="574" t="s">
        <v>1081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1</v>
      </c>
    </row>
    <row r="44" spans="1:9" ht="15" x14ac:dyDescent="0.25">
      <c r="B44" s="574" t="s">
        <v>1104</v>
      </c>
      <c r="C44" s="574" t="s">
        <v>1063</v>
      </c>
      <c r="D44" s="574" t="s">
        <v>1076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1</v>
      </c>
    </row>
    <row r="45" spans="1:9" ht="15" x14ac:dyDescent="0.25">
      <c r="B45" s="574" t="s">
        <v>1104</v>
      </c>
      <c r="C45" s="574" t="s">
        <v>1063</v>
      </c>
      <c r="D45" s="574" t="s">
        <v>41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1</v>
      </c>
    </row>
    <row r="46" spans="1:9" ht="15" x14ac:dyDescent="0.25">
      <c r="B46" s="574" t="s">
        <v>1104</v>
      </c>
      <c r="C46" s="574" t="s">
        <v>1061</v>
      </c>
      <c r="D46" s="574" t="s">
        <v>1081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1</v>
      </c>
    </row>
    <row r="47" spans="1:9" ht="15" x14ac:dyDescent="0.25">
      <c r="B47" s="574" t="s">
        <v>1104</v>
      </c>
      <c r="C47" s="574" t="s">
        <v>1058</v>
      </c>
      <c r="D47" s="574" t="s">
        <v>1083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1</v>
      </c>
    </row>
    <row r="48" spans="1:9" ht="15" x14ac:dyDescent="0.25">
      <c r="B48" s="574" t="s">
        <v>1104</v>
      </c>
      <c r="C48" s="574" t="s">
        <v>1058</v>
      </c>
      <c r="D48" s="574" t="s">
        <v>1072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1</v>
      </c>
    </row>
    <row r="49" spans="1:9" ht="15" x14ac:dyDescent="0.25">
      <c r="B49" s="574" t="s">
        <v>1104</v>
      </c>
      <c r="C49" s="574" t="s">
        <v>1055</v>
      </c>
      <c r="D49" s="574" t="s">
        <v>1076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1</v>
      </c>
    </row>
    <row r="50" spans="1:9" ht="15" x14ac:dyDescent="0.25">
      <c r="B50" s="574" t="s">
        <v>1104</v>
      </c>
      <c r="C50" s="574" t="s">
        <v>1055</v>
      </c>
      <c r="D50" s="574" t="s">
        <v>1072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1</v>
      </c>
    </row>
    <row r="51" spans="1:9" ht="15" x14ac:dyDescent="0.25">
      <c r="A51" s="572" t="s">
        <v>1052</v>
      </c>
      <c r="B51" s="574" t="s">
        <v>1104</v>
      </c>
      <c r="C51" s="574" t="s">
        <v>1051</v>
      </c>
      <c r="D51" s="574" t="s">
        <v>1105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1</v>
      </c>
    </row>
    <row r="52" spans="1:9" ht="15" x14ac:dyDescent="0.25">
      <c r="B52" s="574" t="s">
        <v>1104</v>
      </c>
      <c r="C52" s="574" t="s">
        <v>1043</v>
      </c>
      <c r="D52" s="574" t="s">
        <v>39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1</v>
      </c>
    </row>
    <row r="53" spans="1:9" ht="15" x14ac:dyDescent="0.25">
      <c r="B53" s="574" t="s">
        <v>1103</v>
      </c>
      <c r="C53" s="574" t="s">
        <v>1069</v>
      </c>
      <c r="D53" s="574" t="s">
        <v>42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1</v>
      </c>
    </row>
    <row r="54" spans="1:9" ht="15" x14ac:dyDescent="0.25">
      <c r="B54" s="574" t="s">
        <v>1103</v>
      </c>
      <c r="C54" s="574" t="s">
        <v>1067</v>
      </c>
      <c r="D54" s="574" t="s">
        <v>1072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1</v>
      </c>
    </row>
    <row r="55" spans="1:9" ht="15" x14ac:dyDescent="0.25">
      <c r="B55" s="574" t="s">
        <v>1103</v>
      </c>
      <c r="C55" s="574" t="s">
        <v>1065</v>
      </c>
      <c r="D55" s="574" t="s">
        <v>1076</v>
      </c>
      <c r="E55" s="574" t="s">
        <v>707</v>
      </c>
      <c r="F55" s="574" t="s">
        <v>707</v>
      </c>
      <c r="G55" s="574" t="s">
        <v>707</v>
      </c>
      <c r="H55" s="574" t="s">
        <v>707</v>
      </c>
      <c r="I55" s="574">
        <v>1</v>
      </c>
    </row>
    <row r="56" spans="1:9" ht="15" x14ac:dyDescent="0.25">
      <c r="B56" s="574" t="s">
        <v>1103</v>
      </c>
      <c r="C56" s="574" t="s">
        <v>1063</v>
      </c>
      <c r="D56" s="574" t="s">
        <v>1079</v>
      </c>
      <c r="E56" s="574" t="s">
        <v>707</v>
      </c>
      <c r="F56" s="574" t="s">
        <v>707</v>
      </c>
      <c r="G56" s="574" t="s">
        <v>707</v>
      </c>
      <c r="H56" s="574" t="s">
        <v>707</v>
      </c>
      <c r="I56" s="574">
        <v>1</v>
      </c>
    </row>
    <row r="57" spans="1:9" ht="15" x14ac:dyDescent="0.25">
      <c r="B57" s="574" t="s">
        <v>1103</v>
      </c>
      <c r="C57" s="574" t="s">
        <v>1061</v>
      </c>
      <c r="D57" s="574" t="s">
        <v>1081</v>
      </c>
      <c r="E57" s="574" t="s">
        <v>707</v>
      </c>
      <c r="F57" s="574" t="s">
        <v>707</v>
      </c>
      <c r="G57" s="574" t="s">
        <v>707</v>
      </c>
      <c r="H57" s="574" t="s">
        <v>707</v>
      </c>
      <c r="I57" s="574">
        <v>1</v>
      </c>
    </row>
    <row r="58" spans="1:9" ht="15" x14ac:dyDescent="0.25">
      <c r="B58" s="574" t="s">
        <v>1103</v>
      </c>
      <c r="C58" s="574" t="s">
        <v>1058</v>
      </c>
      <c r="D58" s="574" t="s">
        <v>1081</v>
      </c>
      <c r="E58" s="574" t="s">
        <v>707</v>
      </c>
      <c r="F58" s="574" t="s">
        <v>707</v>
      </c>
      <c r="G58" s="574" t="s">
        <v>707</v>
      </c>
      <c r="H58" s="574" t="s">
        <v>707</v>
      </c>
      <c r="I58" s="574">
        <v>1</v>
      </c>
    </row>
    <row r="59" spans="1:9" ht="15" x14ac:dyDescent="0.25">
      <c r="B59" s="574" t="s">
        <v>1103</v>
      </c>
      <c r="C59" s="574" t="s">
        <v>1055</v>
      </c>
      <c r="D59" s="574" t="s">
        <v>1072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1</v>
      </c>
    </row>
    <row r="60" spans="1:9" ht="15" x14ac:dyDescent="0.25">
      <c r="A60" s="572" t="s">
        <v>1052</v>
      </c>
      <c r="B60" s="574" t="s">
        <v>1103</v>
      </c>
      <c r="C60" s="574" t="s">
        <v>1051</v>
      </c>
      <c r="D60" s="574" t="s">
        <v>1076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1</v>
      </c>
    </row>
    <row r="61" spans="1:9" ht="15" x14ac:dyDescent="0.25">
      <c r="B61" s="574" t="s">
        <v>1103</v>
      </c>
      <c r="C61" s="574" t="s">
        <v>1047</v>
      </c>
      <c r="D61" s="574" t="s">
        <v>1083</v>
      </c>
      <c r="E61" s="574" t="s">
        <v>707</v>
      </c>
      <c r="F61" s="574" t="s">
        <v>707</v>
      </c>
      <c r="G61" s="574" t="s">
        <v>707</v>
      </c>
      <c r="H61" s="574" t="s">
        <v>707</v>
      </c>
      <c r="I61" s="574">
        <v>1</v>
      </c>
    </row>
    <row r="62" spans="1:9" ht="15" x14ac:dyDescent="0.25">
      <c r="B62" s="574" t="s">
        <v>1103</v>
      </c>
      <c r="C62" s="574" t="s">
        <v>1043</v>
      </c>
      <c r="D62" s="574" t="s">
        <v>1076</v>
      </c>
      <c r="E62" s="574" t="s">
        <v>707</v>
      </c>
      <c r="F62" s="574" t="s">
        <v>707</v>
      </c>
      <c r="G62" s="574" t="s">
        <v>707</v>
      </c>
      <c r="H62" s="574" t="s">
        <v>707</v>
      </c>
      <c r="I62" s="574">
        <v>1</v>
      </c>
    </row>
  </sheetData>
  <autoFilter ref="A1:I62" xr:uid="{3D8743F4-504B-4AD8-AF56-F6F7A8E623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2"/>
  <sheetViews>
    <sheetView topLeftCell="A67" workbookViewId="0">
      <selection activeCell="D36" sqref="D36"/>
    </sheetView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1514</v>
      </c>
      <c r="B1" s="113" t="s">
        <v>1084</v>
      </c>
    </row>
    <row r="2" spans="1:6" x14ac:dyDescent="0.25">
      <c r="B2" s="113" t="s">
        <v>1397</v>
      </c>
      <c r="C2" s="113" t="s">
        <v>1429</v>
      </c>
      <c r="D2" s="113" t="s">
        <v>1428</v>
      </c>
      <c r="E2" s="113" t="s">
        <v>1394</v>
      </c>
      <c r="F2" s="113" t="s">
        <v>1393</v>
      </c>
    </row>
    <row r="3" spans="1:6" x14ac:dyDescent="0.25">
      <c r="B3" s="113" t="s">
        <v>1397</v>
      </c>
      <c r="C3" s="113" t="s">
        <v>1427</v>
      </c>
      <c r="D3" s="113" t="s">
        <v>1426</v>
      </c>
      <c r="E3" s="113" t="s">
        <v>1394</v>
      </c>
      <c r="F3" s="113" t="s">
        <v>1393</v>
      </c>
    </row>
    <row r="4" spans="1:6" x14ac:dyDescent="0.25">
      <c r="B4" s="113" t="s">
        <v>1397</v>
      </c>
      <c r="C4" s="113" t="s">
        <v>1425</v>
      </c>
      <c r="D4" s="113" t="s">
        <v>1424</v>
      </c>
      <c r="E4" s="113" t="s">
        <v>1394</v>
      </c>
      <c r="F4" s="113" t="s">
        <v>1393</v>
      </c>
    </row>
    <row r="5" spans="1:6" x14ac:dyDescent="0.25">
      <c r="B5" s="113" t="s">
        <v>1397</v>
      </c>
      <c r="C5" s="113" t="s">
        <v>1423</v>
      </c>
      <c r="D5" s="113" t="s">
        <v>1422</v>
      </c>
      <c r="E5" s="113" t="s">
        <v>1394</v>
      </c>
      <c r="F5" s="113" t="s">
        <v>1393</v>
      </c>
    </row>
    <row r="6" spans="1:6" x14ac:dyDescent="0.25">
      <c r="B6" s="113" t="s">
        <v>1397</v>
      </c>
      <c r="C6" s="113" t="s">
        <v>1421</v>
      </c>
      <c r="D6" s="113" t="s">
        <v>1420</v>
      </c>
      <c r="E6" s="113" t="s">
        <v>1394</v>
      </c>
      <c r="F6" s="113" t="s">
        <v>1393</v>
      </c>
    </row>
    <row r="7" spans="1:6" x14ac:dyDescent="0.25">
      <c r="B7" s="113" t="s">
        <v>1397</v>
      </c>
      <c r="C7" s="113" t="s">
        <v>1419</v>
      </c>
      <c r="D7" s="113" t="s">
        <v>1418</v>
      </c>
      <c r="E7" s="113" t="s">
        <v>1394</v>
      </c>
      <c r="F7" s="113" t="s">
        <v>1393</v>
      </c>
    </row>
    <row r="8" spans="1:6" x14ac:dyDescent="0.25">
      <c r="B8" s="113" t="s">
        <v>1397</v>
      </c>
      <c r="C8" s="113" t="s">
        <v>1417</v>
      </c>
      <c r="D8" s="113" t="s">
        <v>1416</v>
      </c>
      <c r="E8" s="113" t="s">
        <v>1394</v>
      </c>
      <c r="F8" s="113" t="s">
        <v>1393</v>
      </c>
    </row>
    <row r="9" spans="1:6" x14ac:dyDescent="0.25">
      <c r="B9" s="113" t="s">
        <v>1397</v>
      </c>
      <c r="C9" s="113" t="s">
        <v>1415</v>
      </c>
      <c r="D9" s="113" t="s">
        <v>1414</v>
      </c>
      <c r="E9" s="113" t="s">
        <v>1394</v>
      </c>
      <c r="F9" s="113" t="s">
        <v>1393</v>
      </c>
    </row>
    <row r="10" spans="1:6" x14ac:dyDescent="0.25">
      <c r="B10" s="113" t="s">
        <v>1397</v>
      </c>
      <c r="C10" s="113" t="s">
        <v>1413</v>
      </c>
      <c r="D10" s="113" t="s">
        <v>1412</v>
      </c>
      <c r="E10" s="113" t="s">
        <v>1394</v>
      </c>
      <c r="F10" s="113" t="s">
        <v>1393</v>
      </c>
    </row>
    <row r="11" spans="1:6" x14ac:dyDescent="0.25">
      <c r="B11" s="113" t="s">
        <v>1397</v>
      </c>
      <c r="C11" s="113" t="s">
        <v>1411</v>
      </c>
      <c r="D11" s="113" t="s">
        <v>1410</v>
      </c>
      <c r="E11" s="113" t="s">
        <v>1394</v>
      </c>
      <c r="F11" s="113" t="s">
        <v>1393</v>
      </c>
    </row>
    <row r="12" spans="1:6" x14ac:dyDescent="0.25">
      <c r="B12" s="113" t="s">
        <v>1397</v>
      </c>
      <c r="C12" s="113" t="s">
        <v>1409</v>
      </c>
      <c r="D12" s="113" t="s">
        <v>1408</v>
      </c>
      <c r="E12" s="113" t="s">
        <v>1394</v>
      </c>
      <c r="F12" s="113" t="s">
        <v>1393</v>
      </c>
    </row>
    <row r="13" spans="1:6" x14ac:dyDescent="0.25">
      <c r="B13" s="113" t="s">
        <v>1397</v>
      </c>
      <c r="C13" s="113" t="s">
        <v>1407</v>
      </c>
      <c r="D13" s="113" t="s">
        <v>1406</v>
      </c>
      <c r="E13" s="113" t="s">
        <v>1394</v>
      </c>
      <c r="F13" s="113" t="s">
        <v>1393</v>
      </c>
    </row>
    <row r="14" spans="1:6" x14ac:dyDescent="0.25">
      <c r="B14" s="113" t="s">
        <v>1397</v>
      </c>
      <c r="C14" s="113" t="s">
        <v>1405</v>
      </c>
      <c r="D14" s="113" t="s">
        <v>1404</v>
      </c>
      <c r="E14" s="113" t="s">
        <v>1394</v>
      </c>
      <c r="F14" s="113" t="s">
        <v>1393</v>
      </c>
    </row>
    <row r="15" spans="1:6" x14ac:dyDescent="0.25">
      <c r="B15" s="113" t="s">
        <v>1397</v>
      </c>
      <c r="C15" s="113" t="s">
        <v>1403</v>
      </c>
      <c r="D15" s="113" t="s">
        <v>1402</v>
      </c>
      <c r="E15" s="113" t="s">
        <v>1394</v>
      </c>
      <c r="F15" s="113" t="s">
        <v>1393</v>
      </c>
    </row>
    <row r="16" spans="1:6" x14ac:dyDescent="0.25">
      <c r="B16" s="113" t="s">
        <v>1397</v>
      </c>
      <c r="C16" s="113" t="s">
        <v>1401</v>
      </c>
      <c r="D16" s="113" t="s">
        <v>1400</v>
      </c>
      <c r="E16" s="113" t="s">
        <v>1394</v>
      </c>
      <c r="F16" s="113" t="s">
        <v>1393</v>
      </c>
    </row>
    <row r="17" spans="2:6" x14ac:dyDescent="0.25">
      <c r="B17" s="113" t="s">
        <v>1397</v>
      </c>
      <c r="C17" s="113" t="s">
        <v>1399</v>
      </c>
      <c r="D17" s="113" t="s">
        <v>1398</v>
      </c>
      <c r="E17" s="113" t="s">
        <v>1394</v>
      </c>
      <c r="F17" s="113" t="s">
        <v>1393</v>
      </c>
    </row>
    <row r="18" spans="2:6" x14ac:dyDescent="0.25">
      <c r="B18" s="113" t="s">
        <v>1397</v>
      </c>
      <c r="C18" s="113" t="s">
        <v>1396</v>
      </c>
      <c r="D18" s="113" t="s">
        <v>1395</v>
      </c>
      <c r="E18" s="113" t="s">
        <v>1394</v>
      </c>
      <c r="F18" s="113" t="s">
        <v>1393</v>
      </c>
    </row>
    <row r="19" spans="2:6" x14ac:dyDescent="0.25">
      <c r="B19" s="113" t="s">
        <v>1037</v>
      </c>
      <c r="C19" s="113" t="s">
        <v>1392</v>
      </c>
      <c r="D19" s="113" t="s">
        <v>1391</v>
      </c>
      <c r="F19" s="113" t="s">
        <v>1034</v>
      </c>
    </row>
    <row r="20" spans="2:6" x14ac:dyDescent="0.25">
      <c r="B20" s="113" t="s">
        <v>1037</v>
      </c>
      <c r="C20" s="113" t="s">
        <v>1390</v>
      </c>
      <c r="D20" s="113" t="s">
        <v>1389</v>
      </c>
      <c r="F20" s="113" t="s">
        <v>1034</v>
      </c>
    </row>
    <row r="21" spans="2:6" x14ac:dyDescent="0.25">
      <c r="B21" s="113" t="s">
        <v>1037</v>
      </c>
      <c r="C21" s="113" t="s">
        <v>1388</v>
      </c>
      <c r="D21" s="113" t="s">
        <v>1387</v>
      </c>
      <c r="F21" s="113" t="s">
        <v>1034</v>
      </c>
    </row>
    <row r="22" spans="2:6" x14ac:dyDescent="0.25">
      <c r="B22" s="113" t="s">
        <v>1037</v>
      </c>
      <c r="C22" s="113" t="s">
        <v>1386</v>
      </c>
      <c r="D22" s="113" t="s">
        <v>1385</v>
      </c>
      <c r="F22" s="113" t="s">
        <v>1034</v>
      </c>
    </row>
    <row r="23" spans="2:6" x14ac:dyDescent="0.25">
      <c r="B23" s="113" t="s">
        <v>1037</v>
      </c>
      <c r="C23" s="113" t="s">
        <v>1384</v>
      </c>
      <c r="D23" s="113" t="s">
        <v>1383</v>
      </c>
      <c r="F23" s="113" t="s">
        <v>1034</v>
      </c>
    </row>
    <row r="24" spans="2:6" x14ac:dyDescent="0.25">
      <c r="B24" s="113" t="s">
        <v>1037</v>
      </c>
      <c r="C24" s="113" t="s">
        <v>1382</v>
      </c>
      <c r="D24" s="113" t="s">
        <v>1381</v>
      </c>
      <c r="F24" s="113" t="s">
        <v>1034</v>
      </c>
    </row>
    <row r="25" spans="2:6" x14ac:dyDescent="0.25">
      <c r="B25" s="113" t="s">
        <v>1037</v>
      </c>
      <c r="C25" s="113" t="s">
        <v>1380</v>
      </c>
      <c r="D25" s="113" t="s">
        <v>1379</v>
      </c>
      <c r="F25" s="113" t="s">
        <v>1034</v>
      </c>
    </row>
    <row r="26" spans="2:6" x14ac:dyDescent="0.25">
      <c r="B26" s="113" t="s">
        <v>1037</v>
      </c>
      <c r="C26" s="113" t="s">
        <v>1378</v>
      </c>
      <c r="D26" s="113" t="s">
        <v>1377</v>
      </c>
      <c r="F26" s="113" t="s">
        <v>1034</v>
      </c>
    </row>
    <row r="27" spans="2:6" x14ac:dyDescent="0.25">
      <c r="B27" s="113" t="s">
        <v>1037</v>
      </c>
      <c r="C27" s="113" t="s">
        <v>1376</v>
      </c>
      <c r="D27" s="113" t="s">
        <v>1375</v>
      </c>
      <c r="F27" s="113" t="s">
        <v>1034</v>
      </c>
    </row>
    <row r="28" spans="2:6" x14ac:dyDescent="0.25">
      <c r="B28" s="113" t="s">
        <v>1037</v>
      </c>
      <c r="C28" s="113" t="s">
        <v>1374</v>
      </c>
      <c r="D28" s="113" t="s">
        <v>1373</v>
      </c>
      <c r="F28" s="113" t="s">
        <v>1034</v>
      </c>
    </row>
    <row r="29" spans="2:6" x14ac:dyDescent="0.25">
      <c r="B29" s="113" t="s">
        <v>1037</v>
      </c>
      <c r="C29" s="113" t="s">
        <v>1372</v>
      </c>
      <c r="D29" s="113" t="s">
        <v>1371</v>
      </c>
      <c r="F29" s="113" t="s">
        <v>1034</v>
      </c>
    </row>
    <row r="30" spans="2:6" x14ac:dyDescent="0.25">
      <c r="B30" s="113" t="s">
        <v>1037</v>
      </c>
      <c r="C30" s="113" t="s">
        <v>1370</v>
      </c>
      <c r="D30" s="113" t="s">
        <v>1369</v>
      </c>
      <c r="F30" s="113" t="s">
        <v>1034</v>
      </c>
    </row>
    <row r="31" spans="2:6" x14ac:dyDescent="0.25">
      <c r="B31" s="113" t="s">
        <v>1037</v>
      </c>
      <c r="C31" s="113" t="s">
        <v>1368</v>
      </c>
      <c r="D31" s="113" t="s">
        <v>1367</v>
      </c>
      <c r="F31" s="113" t="s">
        <v>1034</v>
      </c>
    </row>
    <row r="32" spans="2:6" x14ac:dyDescent="0.25">
      <c r="B32" s="113" t="s">
        <v>1037</v>
      </c>
      <c r="C32" s="113" t="s">
        <v>1366</v>
      </c>
      <c r="D32" s="113" t="s">
        <v>1365</v>
      </c>
      <c r="F32" s="113" t="s">
        <v>1034</v>
      </c>
    </row>
    <row r="33" spans="2:6" x14ac:dyDescent="0.25">
      <c r="B33" s="113" t="s">
        <v>1037</v>
      </c>
      <c r="C33" s="113" t="s">
        <v>1364</v>
      </c>
      <c r="D33" s="113" t="s">
        <v>1363</v>
      </c>
      <c r="F33" s="113" t="s">
        <v>1034</v>
      </c>
    </row>
    <row r="34" spans="2:6" x14ac:dyDescent="0.25">
      <c r="B34" s="113" t="s">
        <v>1037</v>
      </c>
      <c r="C34" s="113" t="s">
        <v>1362</v>
      </c>
      <c r="D34" s="113" t="s">
        <v>1361</v>
      </c>
      <c r="F34" s="113" t="s">
        <v>1034</v>
      </c>
    </row>
    <row r="35" spans="2:6" x14ac:dyDescent="0.25">
      <c r="B35" s="113" t="s">
        <v>1037</v>
      </c>
      <c r="C35" s="113" t="s">
        <v>1360</v>
      </c>
      <c r="D35" s="113" t="s">
        <v>1359</v>
      </c>
      <c r="F35" s="113" t="s">
        <v>1034</v>
      </c>
    </row>
    <row r="36" spans="2:6" x14ac:dyDescent="0.25">
      <c r="B36" s="113" t="s">
        <v>1037</v>
      </c>
      <c r="C36" s="113" t="s">
        <v>1358</v>
      </c>
      <c r="D36" s="113" t="s">
        <v>1357</v>
      </c>
      <c r="F36" s="113" t="s">
        <v>1034</v>
      </c>
    </row>
    <row r="37" spans="2:6" x14ac:dyDescent="0.25">
      <c r="B37" s="113" t="s">
        <v>1037</v>
      </c>
      <c r="C37" s="113" t="s">
        <v>1356</v>
      </c>
      <c r="D37" s="113" t="s">
        <v>1355</v>
      </c>
      <c r="F37" s="113" t="s">
        <v>1034</v>
      </c>
    </row>
    <row r="38" spans="2:6" x14ac:dyDescent="0.25">
      <c r="B38" s="113" t="s">
        <v>1037</v>
      </c>
      <c r="C38" s="113" t="s">
        <v>1354</v>
      </c>
      <c r="D38" s="113" t="s">
        <v>1353</v>
      </c>
      <c r="F38" s="113" t="s">
        <v>1034</v>
      </c>
    </row>
    <row r="39" spans="2:6" x14ac:dyDescent="0.25">
      <c r="B39" s="113" t="s">
        <v>1037</v>
      </c>
      <c r="C39" s="113" t="s">
        <v>1352</v>
      </c>
      <c r="D39" s="113" t="s">
        <v>1351</v>
      </c>
      <c r="F39" s="113" t="s">
        <v>1034</v>
      </c>
    </row>
    <row r="40" spans="2:6" x14ac:dyDescent="0.25">
      <c r="B40" s="113" t="s">
        <v>1073</v>
      </c>
      <c r="C40" s="113" t="s">
        <v>1350</v>
      </c>
      <c r="D40" s="113" t="s">
        <v>1349</v>
      </c>
      <c r="E40" s="113" t="s">
        <v>143</v>
      </c>
      <c r="F40" s="113" t="s">
        <v>1077</v>
      </c>
    </row>
    <row r="41" spans="2:6" x14ac:dyDescent="0.25">
      <c r="B41" s="113" t="s">
        <v>1073</v>
      </c>
      <c r="C41" s="113" t="s">
        <v>1348</v>
      </c>
      <c r="D41" s="113" t="s">
        <v>1347</v>
      </c>
      <c r="E41" s="113" t="s">
        <v>143</v>
      </c>
      <c r="F41" s="113" t="s">
        <v>1077</v>
      </c>
    </row>
    <row r="42" spans="2:6" x14ac:dyDescent="0.25">
      <c r="B42" s="113" t="s">
        <v>1073</v>
      </c>
      <c r="C42" s="113" t="s">
        <v>43</v>
      </c>
      <c r="D42" s="113" t="s">
        <v>1346</v>
      </c>
      <c r="E42" s="113" t="s">
        <v>143</v>
      </c>
      <c r="F42" s="113" t="s">
        <v>1077</v>
      </c>
    </row>
    <row r="43" spans="2:6" x14ac:dyDescent="0.25">
      <c r="B43" s="113" t="s">
        <v>1073</v>
      </c>
      <c r="C43" s="113" t="s">
        <v>1345</v>
      </c>
      <c r="D43" s="113" t="s">
        <v>1344</v>
      </c>
      <c r="E43" s="113" t="s">
        <v>1309</v>
      </c>
      <c r="F43" s="113" t="s">
        <v>1308</v>
      </c>
    </row>
    <row r="44" spans="2:6" x14ac:dyDescent="0.25">
      <c r="B44" s="113" t="s">
        <v>1073</v>
      </c>
      <c r="C44" s="113" t="s">
        <v>40</v>
      </c>
      <c r="D44" s="113" t="s">
        <v>1343</v>
      </c>
      <c r="E44" s="113" t="s">
        <v>143</v>
      </c>
      <c r="F44" s="113" t="s">
        <v>1077</v>
      </c>
    </row>
    <row r="45" spans="2:6" x14ac:dyDescent="0.25">
      <c r="B45" s="113" t="s">
        <v>1073</v>
      </c>
      <c r="C45" s="113" t="s">
        <v>1342</v>
      </c>
      <c r="D45" s="113" t="s">
        <v>1341</v>
      </c>
      <c r="E45" s="113" t="s">
        <v>143</v>
      </c>
      <c r="F45" s="113" t="s">
        <v>1077</v>
      </c>
    </row>
    <row r="46" spans="2:6" x14ac:dyDescent="0.25">
      <c r="B46" s="113" t="s">
        <v>1073</v>
      </c>
      <c r="C46" s="113" t="s">
        <v>42</v>
      </c>
      <c r="D46" s="113" t="s">
        <v>1340</v>
      </c>
      <c r="E46" s="113" t="s">
        <v>902</v>
      </c>
      <c r="F46" s="113" t="s">
        <v>1339</v>
      </c>
    </row>
    <row r="47" spans="2:6" x14ac:dyDescent="0.25">
      <c r="B47" s="113" t="s">
        <v>1073</v>
      </c>
      <c r="C47" s="113" t="s">
        <v>592</v>
      </c>
      <c r="D47" s="113" t="s">
        <v>1338</v>
      </c>
      <c r="E47" s="113" t="s">
        <v>143</v>
      </c>
      <c r="F47" s="113" t="s">
        <v>1077</v>
      </c>
    </row>
    <row r="48" spans="2:6" x14ac:dyDescent="0.25">
      <c r="B48" s="113" t="s">
        <v>1073</v>
      </c>
      <c r="C48" s="113" t="s">
        <v>1337</v>
      </c>
      <c r="D48" s="113" t="s">
        <v>1267</v>
      </c>
      <c r="E48" s="113" t="s">
        <v>143</v>
      </c>
      <c r="F48" s="113" t="s">
        <v>1077</v>
      </c>
    </row>
    <row r="49" spans="2:6" x14ac:dyDescent="0.25">
      <c r="B49" s="113" t="s">
        <v>1073</v>
      </c>
      <c r="C49" s="113" t="s">
        <v>595</v>
      </c>
      <c r="D49" s="113" t="s">
        <v>1265</v>
      </c>
      <c r="E49" s="113" t="s">
        <v>143</v>
      </c>
      <c r="F49" s="113" t="s">
        <v>1077</v>
      </c>
    </row>
    <row r="50" spans="2:6" x14ac:dyDescent="0.25">
      <c r="B50" s="113" t="s">
        <v>1073</v>
      </c>
      <c r="C50" s="113" t="s">
        <v>41</v>
      </c>
      <c r="D50" s="113" t="s">
        <v>1336</v>
      </c>
      <c r="E50" s="113" t="s">
        <v>143</v>
      </c>
      <c r="F50" s="113" t="s">
        <v>1077</v>
      </c>
    </row>
    <row r="51" spans="2:6" x14ac:dyDescent="0.25">
      <c r="B51" s="113" t="s">
        <v>1073</v>
      </c>
      <c r="C51" s="113" t="s">
        <v>1335</v>
      </c>
      <c r="D51" s="113" t="s">
        <v>1334</v>
      </c>
      <c r="E51" s="113" t="s">
        <v>143</v>
      </c>
      <c r="F51" s="113" t="s">
        <v>1077</v>
      </c>
    </row>
    <row r="52" spans="2:6" x14ac:dyDescent="0.25">
      <c r="B52" s="113" t="s">
        <v>1073</v>
      </c>
      <c r="C52" s="113" t="s">
        <v>1333</v>
      </c>
      <c r="D52" s="113" t="s">
        <v>1332</v>
      </c>
      <c r="E52" s="113" t="s">
        <v>1309</v>
      </c>
      <c r="F52" s="113" t="s">
        <v>1308</v>
      </c>
    </row>
    <row r="53" spans="2:6" x14ac:dyDescent="0.25">
      <c r="B53" s="113" t="s">
        <v>1073</v>
      </c>
      <c r="C53" s="113" t="s">
        <v>1331</v>
      </c>
      <c r="D53" s="113" t="s">
        <v>1330</v>
      </c>
      <c r="E53" s="113" t="s">
        <v>1309</v>
      </c>
      <c r="F53" s="113" t="s">
        <v>1308</v>
      </c>
    </row>
    <row r="54" spans="2:6" x14ac:dyDescent="0.25">
      <c r="B54" s="113" t="s">
        <v>1073</v>
      </c>
      <c r="C54" s="113" t="s">
        <v>1329</v>
      </c>
      <c r="D54" s="113" t="s">
        <v>1328</v>
      </c>
      <c r="E54" s="113" t="s">
        <v>1309</v>
      </c>
      <c r="F54" s="113" t="s">
        <v>1308</v>
      </c>
    </row>
    <row r="55" spans="2:6" x14ac:dyDescent="0.25">
      <c r="B55" s="113" t="s">
        <v>1073</v>
      </c>
      <c r="C55" s="113" t="s">
        <v>1327</v>
      </c>
      <c r="D55" s="113" t="s">
        <v>1326</v>
      </c>
      <c r="E55" s="113" t="s">
        <v>143</v>
      </c>
      <c r="F55" s="113" t="s">
        <v>1077</v>
      </c>
    </row>
    <row r="56" spans="2:6" x14ac:dyDescent="0.25">
      <c r="B56" s="113" t="s">
        <v>1073</v>
      </c>
      <c r="C56" s="113" t="s">
        <v>1325</v>
      </c>
      <c r="D56" s="113" t="s">
        <v>1324</v>
      </c>
      <c r="E56" s="113" t="s">
        <v>143</v>
      </c>
      <c r="F56" s="113" t="s">
        <v>1077</v>
      </c>
    </row>
    <row r="57" spans="2:6" x14ac:dyDescent="0.25">
      <c r="B57" s="113" t="s">
        <v>1073</v>
      </c>
      <c r="C57" s="113" t="s">
        <v>1323</v>
      </c>
      <c r="D57" s="113" t="s">
        <v>1322</v>
      </c>
      <c r="E57" s="113" t="s">
        <v>143</v>
      </c>
      <c r="F57" s="113" t="s">
        <v>1077</v>
      </c>
    </row>
    <row r="58" spans="2:6" x14ac:dyDescent="0.25">
      <c r="B58" s="113" t="s">
        <v>1073</v>
      </c>
      <c r="C58" s="113" t="s">
        <v>1321</v>
      </c>
      <c r="D58" s="113" t="s">
        <v>1320</v>
      </c>
      <c r="E58" s="113" t="s">
        <v>1309</v>
      </c>
      <c r="F58" s="113" t="s">
        <v>1308</v>
      </c>
    </row>
    <row r="59" spans="2:6" x14ac:dyDescent="0.25">
      <c r="B59" s="113" t="s">
        <v>1073</v>
      </c>
      <c r="C59" s="113" t="s">
        <v>1319</v>
      </c>
      <c r="D59" s="113" t="s">
        <v>1318</v>
      </c>
      <c r="E59" s="113" t="s">
        <v>1309</v>
      </c>
      <c r="F59" s="113" t="s">
        <v>1308</v>
      </c>
    </row>
    <row r="60" spans="2:6" x14ac:dyDescent="0.25">
      <c r="B60" s="113" t="s">
        <v>1073</v>
      </c>
      <c r="C60" s="113" t="s">
        <v>1317</v>
      </c>
      <c r="D60" s="113" t="s">
        <v>1316</v>
      </c>
      <c r="E60" s="113" t="s">
        <v>1309</v>
      </c>
      <c r="F60" s="113" t="s">
        <v>1308</v>
      </c>
    </row>
    <row r="61" spans="2:6" x14ac:dyDescent="0.25">
      <c r="B61" s="113" t="s">
        <v>1073</v>
      </c>
      <c r="C61" s="113" t="s">
        <v>1315</v>
      </c>
      <c r="D61" s="113" t="s">
        <v>1314</v>
      </c>
      <c r="E61" s="113" t="s">
        <v>143</v>
      </c>
      <c r="F61" s="113" t="s">
        <v>1077</v>
      </c>
    </row>
    <row r="62" spans="2:6" x14ac:dyDescent="0.25">
      <c r="B62" s="113" t="s">
        <v>1073</v>
      </c>
      <c r="C62" s="113" t="s">
        <v>1313</v>
      </c>
      <c r="D62" s="113" t="s">
        <v>1312</v>
      </c>
      <c r="E62" s="113" t="s">
        <v>1309</v>
      </c>
      <c r="F62" s="113" t="s">
        <v>1308</v>
      </c>
    </row>
    <row r="63" spans="2:6" x14ac:dyDescent="0.25">
      <c r="B63" s="113" t="s">
        <v>1073</v>
      </c>
      <c r="C63" s="113" t="s">
        <v>1311</v>
      </c>
      <c r="D63" s="113" t="s">
        <v>1310</v>
      </c>
      <c r="E63" s="113" t="s">
        <v>1309</v>
      </c>
      <c r="F63" s="113" t="s">
        <v>1308</v>
      </c>
    </row>
    <row r="64" spans="2:6" x14ac:dyDescent="0.25">
      <c r="B64" s="113" t="s">
        <v>1044</v>
      </c>
      <c r="C64" s="113" t="s">
        <v>170</v>
      </c>
      <c r="D64" s="113" t="s">
        <v>1307</v>
      </c>
      <c r="E64" s="113" t="s">
        <v>1056</v>
      </c>
      <c r="F64" s="113" t="s">
        <v>1045</v>
      </c>
    </row>
    <row r="65" spans="2:6" x14ac:dyDescent="0.25">
      <c r="B65" s="113" t="s">
        <v>1044</v>
      </c>
      <c r="C65" s="113" t="s">
        <v>1306</v>
      </c>
      <c r="D65" s="113" t="s">
        <v>1305</v>
      </c>
      <c r="E65" s="113" t="s">
        <v>1056</v>
      </c>
      <c r="F65" s="113" t="s">
        <v>1045</v>
      </c>
    </row>
    <row r="66" spans="2:6" x14ac:dyDescent="0.25">
      <c r="B66" s="113" t="s">
        <v>1044</v>
      </c>
      <c r="C66" s="113" t="s">
        <v>1304</v>
      </c>
      <c r="D66" s="113" t="s">
        <v>1303</v>
      </c>
      <c r="E66" s="113" t="s">
        <v>1056</v>
      </c>
      <c r="F66" s="113" t="s">
        <v>1045</v>
      </c>
    </row>
    <row r="67" spans="2:6" x14ac:dyDescent="0.25">
      <c r="B67" s="113" t="s">
        <v>1044</v>
      </c>
      <c r="C67" s="113" t="s">
        <v>539</v>
      </c>
      <c r="D67" s="113" t="s">
        <v>1302</v>
      </c>
      <c r="E67" s="113" t="s">
        <v>1056</v>
      </c>
      <c r="F67" s="113" t="s">
        <v>1045</v>
      </c>
    </row>
    <row r="68" spans="2:6" x14ac:dyDescent="0.25">
      <c r="B68" s="113" t="s">
        <v>1044</v>
      </c>
      <c r="C68" s="113" t="s">
        <v>172</v>
      </c>
      <c r="D68" s="113" t="s">
        <v>1301</v>
      </c>
      <c r="E68" s="113" t="s">
        <v>1056</v>
      </c>
      <c r="F68" s="113" t="s">
        <v>1045</v>
      </c>
    </row>
    <row r="69" spans="2:6" x14ac:dyDescent="0.25">
      <c r="B69" s="113" t="s">
        <v>1044</v>
      </c>
      <c r="C69" s="113" t="s">
        <v>1300</v>
      </c>
      <c r="D69" s="113" t="s">
        <v>1299</v>
      </c>
      <c r="E69" s="113" t="s">
        <v>1056</v>
      </c>
      <c r="F69" s="113" t="s">
        <v>1045</v>
      </c>
    </row>
    <row r="70" spans="2:6" x14ac:dyDescent="0.25">
      <c r="B70" s="113" t="s">
        <v>1044</v>
      </c>
      <c r="C70" s="113" t="s">
        <v>1298</v>
      </c>
      <c r="D70" s="113" t="s">
        <v>1297</v>
      </c>
      <c r="E70" s="113" t="s">
        <v>1056</v>
      </c>
      <c r="F70" s="113" t="s">
        <v>1045</v>
      </c>
    </row>
    <row r="71" spans="2:6" x14ac:dyDescent="0.25">
      <c r="B71" s="113" t="s">
        <v>1044</v>
      </c>
      <c r="C71" s="113" t="s">
        <v>1296</v>
      </c>
      <c r="D71" s="113" t="s">
        <v>1295</v>
      </c>
      <c r="E71" s="113" t="s">
        <v>1041</v>
      </c>
      <c r="F71" s="113" t="s">
        <v>1045</v>
      </c>
    </row>
    <row r="72" spans="2:6" x14ac:dyDescent="0.25">
      <c r="B72" s="113" t="s">
        <v>1044</v>
      </c>
      <c r="C72" s="113" t="s">
        <v>175</v>
      </c>
      <c r="D72" s="113" t="s">
        <v>1294</v>
      </c>
      <c r="E72" s="113" t="s">
        <v>1056</v>
      </c>
      <c r="F72" s="113" t="s">
        <v>1045</v>
      </c>
    </row>
    <row r="73" spans="2:6" x14ac:dyDescent="0.25">
      <c r="B73" s="113" t="s">
        <v>1044</v>
      </c>
      <c r="C73" s="113" t="s">
        <v>1293</v>
      </c>
      <c r="D73" s="113" t="s">
        <v>1292</v>
      </c>
      <c r="E73" s="113" t="s">
        <v>1056</v>
      </c>
      <c r="F73" s="113" t="s">
        <v>1045</v>
      </c>
    </row>
    <row r="74" spans="2:6" x14ac:dyDescent="0.25">
      <c r="B74" s="113" t="s">
        <v>1044</v>
      </c>
      <c r="C74" s="113" t="s">
        <v>1291</v>
      </c>
      <c r="D74" s="113" t="s">
        <v>1290</v>
      </c>
      <c r="E74" s="113" t="s">
        <v>1056</v>
      </c>
      <c r="F74" s="113" t="s">
        <v>1045</v>
      </c>
    </row>
    <row r="75" spans="2:6" x14ac:dyDescent="0.25">
      <c r="B75" s="113" t="s">
        <v>1044</v>
      </c>
      <c r="C75" s="113" t="s">
        <v>540</v>
      </c>
      <c r="D75" s="113" t="s">
        <v>1289</v>
      </c>
      <c r="E75" s="113" t="s">
        <v>1056</v>
      </c>
      <c r="F75" s="113" t="s">
        <v>1045</v>
      </c>
    </row>
    <row r="76" spans="2:6" x14ac:dyDescent="0.25">
      <c r="B76" s="113" t="s">
        <v>1044</v>
      </c>
      <c r="C76" s="113" t="s">
        <v>541</v>
      </c>
      <c r="D76" s="113" t="s">
        <v>1288</v>
      </c>
      <c r="E76" s="113" t="s">
        <v>1056</v>
      </c>
      <c r="F76" s="113" t="s">
        <v>1045</v>
      </c>
    </row>
    <row r="77" spans="2:6" x14ac:dyDescent="0.25">
      <c r="B77" s="113" t="s">
        <v>1044</v>
      </c>
      <c r="C77" s="113" t="s">
        <v>179</v>
      </c>
      <c r="D77" s="113" t="s">
        <v>1287</v>
      </c>
      <c r="E77" s="113" t="s">
        <v>1056</v>
      </c>
      <c r="F77" s="113" t="s">
        <v>1045</v>
      </c>
    </row>
    <row r="78" spans="2:6" x14ac:dyDescent="0.25">
      <c r="B78" s="113" t="s">
        <v>1044</v>
      </c>
      <c r="C78" s="113" t="s">
        <v>1286</v>
      </c>
      <c r="D78" s="113" t="s">
        <v>1285</v>
      </c>
      <c r="E78" s="113" t="s">
        <v>1056</v>
      </c>
      <c r="F78" s="113" t="s">
        <v>1045</v>
      </c>
    </row>
    <row r="79" spans="2:6" x14ac:dyDescent="0.25">
      <c r="B79" s="113" t="s">
        <v>1044</v>
      </c>
      <c r="C79" s="113" t="s">
        <v>1284</v>
      </c>
      <c r="D79" s="113" t="s">
        <v>1283</v>
      </c>
      <c r="E79" s="113" t="s">
        <v>1056</v>
      </c>
      <c r="F79" s="113" t="s">
        <v>1045</v>
      </c>
    </row>
    <row r="80" spans="2:6" x14ac:dyDescent="0.25">
      <c r="B80" s="113" t="s">
        <v>1044</v>
      </c>
      <c r="C80" s="113" t="s">
        <v>181</v>
      </c>
      <c r="D80" s="113" t="s">
        <v>1282</v>
      </c>
      <c r="E80" s="113" t="s">
        <v>1056</v>
      </c>
      <c r="F80" s="113" t="s">
        <v>1045</v>
      </c>
    </row>
    <row r="81" spans="2:6" x14ac:dyDescent="0.25">
      <c r="B81" s="113" t="s">
        <v>1044</v>
      </c>
      <c r="C81" s="113" t="s">
        <v>1281</v>
      </c>
      <c r="D81" s="113" t="s">
        <v>1280</v>
      </c>
      <c r="E81" s="113" t="s">
        <v>1056</v>
      </c>
      <c r="F81" s="113" t="s">
        <v>1045</v>
      </c>
    </row>
    <row r="82" spans="2:6" x14ac:dyDescent="0.25">
      <c r="B82" s="113" t="s">
        <v>1044</v>
      </c>
      <c r="C82" s="113" t="s">
        <v>1279</v>
      </c>
      <c r="D82" s="113" t="s">
        <v>1278</v>
      </c>
      <c r="E82" s="113" t="s">
        <v>1056</v>
      </c>
      <c r="F82" s="113" t="s">
        <v>1045</v>
      </c>
    </row>
    <row r="83" spans="2:6" x14ac:dyDescent="0.25">
      <c r="B83" s="113" t="s">
        <v>1044</v>
      </c>
      <c r="C83" s="113" t="s">
        <v>542</v>
      </c>
      <c r="D83" s="113" t="s">
        <v>1277</v>
      </c>
      <c r="E83" s="113" t="s">
        <v>1056</v>
      </c>
      <c r="F83" s="113" t="s">
        <v>1045</v>
      </c>
    </row>
    <row r="84" spans="2:6" x14ac:dyDescent="0.25">
      <c r="B84" s="113" t="s">
        <v>1044</v>
      </c>
      <c r="C84" s="113" t="s">
        <v>1276</v>
      </c>
      <c r="D84" s="113" t="s">
        <v>1275</v>
      </c>
      <c r="E84" s="113" t="s">
        <v>1041</v>
      </c>
      <c r="F84" s="113" t="s">
        <v>1045</v>
      </c>
    </row>
    <row r="85" spans="2:6" x14ac:dyDescent="0.25">
      <c r="B85" s="113" t="s">
        <v>1044</v>
      </c>
      <c r="C85" s="113" t="s">
        <v>1274</v>
      </c>
      <c r="D85" s="113" t="s">
        <v>1273</v>
      </c>
      <c r="E85" s="113" t="s">
        <v>1041</v>
      </c>
      <c r="F85" s="113" t="s">
        <v>1045</v>
      </c>
    </row>
    <row r="86" spans="2:6" x14ac:dyDescent="0.25">
      <c r="B86" s="113" t="s">
        <v>1044</v>
      </c>
      <c r="C86" s="113" t="s">
        <v>1272</v>
      </c>
      <c r="D86" s="113" t="s">
        <v>1271</v>
      </c>
      <c r="E86" s="113" t="s">
        <v>1041</v>
      </c>
      <c r="F86" s="113" t="s">
        <v>1045</v>
      </c>
    </row>
    <row r="87" spans="2:6" x14ac:dyDescent="0.25">
      <c r="B87" s="113" t="s">
        <v>1044</v>
      </c>
      <c r="C87" s="113" t="s">
        <v>1270</v>
      </c>
      <c r="D87" s="113" t="s">
        <v>1269</v>
      </c>
      <c r="E87" s="113" t="s">
        <v>1041</v>
      </c>
      <c r="F87" s="113" t="s">
        <v>1045</v>
      </c>
    </row>
    <row r="88" spans="2:6" x14ac:dyDescent="0.25">
      <c r="B88" s="113" t="s">
        <v>1044</v>
      </c>
      <c r="C88" s="113" t="s">
        <v>1268</v>
      </c>
      <c r="D88" s="113" t="s">
        <v>1267</v>
      </c>
      <c r="E88" s="113" t="s">
        <v>1041</v>
      </c>
      <c r="F88" s="113" t="s">
        <v>1045</v>
      </c>
    </row>
    <row r="89" spans="2:6" x14ac:dyDescent="0.25">
      <c r="B89" s="113" t="s">
        <v>1044</v>
      </c>
      <c r="C89" s="113" t="s">
        <v>1266</v>
      </c>
      <c r="D89" s="113" t="s">
        <v>1265</v>
      </c>
      <c r="E89" s="113" t="s">
        <v>1041</v>
      </c>
      <c r="F89" s="113" t="s">
        <v>1045</v>
      </c>
    </row>
    <row r="90" spans="2:6" x14ac:dyDescent="0.25">
      <c r="B90" s="113" t="s">
        <v>1044</v>
      </c>
      <c r="C90" s="113" t="s">
        <v>1264</v>
      </c>
      <c r="D90" s="113" t="s">
        <v>1263</v>
      </c>
      <c r="E90" s="113" t="s">
        <v>1056</v>
      </c>
      <c r="F90" s="113" t="s">
        <v>1045</v>
      </c>
    </row>
    <row r="91" spans="2:6" x14ac:dyDescent="0.25">
      <c r="B91" s="113" t="s">
        <v>1044</v>
      </c>
      <c r="C91" s="113" t="s">
        <v>1262</v>
      </c>
      <c r="D91" s="113" t="s">
        <v>1261</v>
      </c>
      <c r="E91" s="113" t="s">
        <v>1041</v>
      </c>
      <c r="F91" s="113" t="s">
        <v>1045</v>
      </c>
    </row>
    <row r="92" spans="2:6" x14ac:dyDescent="0.25">
      <c r="B92" s="113" t="s">
        <v>1260</v>
      </c>
      <c r="C92" s="113" t="s">
        <v>1101</v>
      </c>
      <c r="D92" s="113" t="s">
        <v>1259</v>
      </c>
      <c r="F92" s="113" t="s">
        <v>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287"/>
  <sheetViews>
    <sheetView tabSelected="1" zoomScaleNormal="100" workbookViewId="0">
      <selection activeCell="K34" sqref="K34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15.85546875" style="113" bestFit="1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1515</v>
      </c>
      <c r="B1" s="113" t="s">
        <v>1084</v>
      </c>
    </row>
    <row r="2" spans="1:41" x14ac:dyDescent="0.25">
      <c r="A2" s="113" t="s">
        <v>1052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917</v>
      </c>
      <c r="C3" s="113" t="s">
        <v>170</v>
      </c>
      <c r="D3" s="113" t="s">
        <v>707</v>
      </c>
      <c r="E3" s="113" t="s">
        <v>707</v>
      </c>
      <c r="F3" s="113" t="s">
        <v>707</v>
      </c>
      <c r="G3" s="113" t="s">
        <v>707</v>
      </c>
      <c r="H3" s="113" t="s">
        <v>707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917</v>
      </c>
      <c r="C4" s="113" t="s">
        <v>1306</v>
      </c>
      <c r="D4" s="113" t="s">
        <v>707</v>
      </c>
      <c r="E4" s="113" t="s">
        <v>707</v>
      </c>
      <c r="F4" s="113" t="s">
        <v>707</v>
      </c>
      <c r="G4" s="113" t="s">
        <v>707</v>
      </c>
      <c r="H4" s="113" t="s">
        <v>707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917</v>
      </c>
      <c r="C5" s="113" t="s">
        <v>1304</v>
      </c>
      <c r="D5" s="113" t="s">
        <v>707</v>
      </c>
      <c r="E5" s="113" t="s">
        <v>707</v>
      </c>
      <c r="F5" s="113" t="s">
        <v>707</v>
      </c>
      <c r="G5" s="113" t="s">
        <v>707</v>
      </c>
      <c r="H5" s="113" t="s">
        <v>707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917</v>
      </c>
      <c r="C6" s="113" t="s">
        <v>539</v>
      </c>
      <c r="D6" s="113" t="s">
        <v>707</v>
      </c>
      <c r="E6" s="113" t="s">
        <v>707</v>
      </c>
      <c r="F6" s="113" t="s">
        <v>707</v>
      </c>
      <c r="G6" s="113" t="s">
        <v>707</v>
      </c>
      <c r="H6" s="113" t="s">
        <v>707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917</v>
      </c>
      <c r="C7" s="113" t="s">
        <v>172</v>
      </c>
      <c r="D7" s="113" t="s">
        <v>707</v>
      </c>
      <c r="E7" s="113" t="s">
        <v>707</v>
      </c>
      <c r="F7" s="113" t="s">
        <v>707</v>
      </c>
      <c r="G7" s="113" t="s">
        <v>707</v>
      </c>
      <c r="H7" s="113" t="s">
        <v>707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917</v>
      </c>
      <c r="C8" s="113" t="s">
        <v>1300</v>
      </c>
      <c r="D8" s="113" t="s">
        <v>707</v>
      </c>
      <c r="E8" s="113" t="s">
        <v>707</v>
      </c>
      <c r="F8" s="113" t="s">
        <v>707</v>
      </c>
      <c r="G8" s="113" t="s">
        <v>707</v>
      </c>
      <c r="H8" s="113" t="s">
        <v>707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917</v>
      </c>
      <c r="C9" s="113" t="s">
        <v>1298</v>
      </c>
      <c r="D9" s="113" t="s">
        <v>707</v>
      </c>
      <c r="E9" s="113" t="s">
        <v>707</v>
      </c>
      <c r="F9" s="113" t="s">
        <v>707</v>
      </c>
      <c r="G9" s="113" t="s">
        <v>707</v>
      </c>
      <c r="H9" s="113" t="s">
        <v>707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917</v>
      </c>
      <c r="C10" s="113" t="s">
        <v>1296</v>
      </c>
      <c r="D10" s="113" t="s">
        <v>707</v>
      </c>
      <c r="E10" s="113" t="s">
        <v>707</v>
      </c>
      <c r="F10" s="113" t="s">
        <v>707</v>
      </c>
      <c r="G10" s="113" t="s">
        <v>707</v>
      </c>
      <c r="H10" s="113" t="s">
        <v>707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917</v>
      </c>
      <c r="C11" s="113" t="s">
        <v>175</v>
      </c>
      <c r="D11" s="113" t="s">
        <v>707</v>
      </c>
      <c r="E11" s="113" t="s">
        <v>707</v>
      </c>
      <c r="F11" s="113" t="s">
        <v>707</v>
      </c>
      <c r="G11" s="113" t="s">
        <v>707</v>
      </c>
      <c r="H11" s="113" t="s">
        <v>707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917</v>
      </c>
      <c r="C12" s="113" t="s">
        <v>1293</v>
      </c>
      <c r="D12" s="113" t="s">
        <v>707</v>
      </c>
      <c r="E12" s="113" t="s">
        <v>707</v>
      </c>
      <c r="F12" s="113" t="s">
        <v>707</v>
      </c>
      <c r="G12" s="113" t="s">
        <v>707</v>
      </c>
      <c r="H12" s="113" t="s">
        <v>707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917</v>
      </c>
      <c r="C13" s="113" t="s">
        <v>1291</v>
      </c>
      <c r="D13" s="113" t="s">
        <v>707</v>
      </c>
      <c r="E13" s="113" t="s">
        <v>707</v>
      </c>
      <c r="F13" s="113" t="s">
        <v>707</v>
      </c>
      <c r="G13" s="113" t="s">
        <v>707</v>
      </c>
      <c r="H13" s="113" t="s">
        <v>707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917</v>
      </c>
      <c r="C14" s="113" t="s">
        <v>540</v>
      </c>
      <c r="D14" s="113" t="s">
        <v>707</v>
      </c>
      <c r="E14" s="113" t="s">
        <v>707</v>
      </c>
      <c r="F14" s="113" t="s">
        <v>707</v>
      </c>
      <c r="G14" s="113" t="s">
        <v>707</v>
      </c>
      <c r="H14" s="113" t="s">
        <v>707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917</v>
      </c>
      <c r="C15" s="113" t="s">
        <v>541</v>
      </c>
      <c r="D15" s="113" t="s">
        <v>707</v>
      </c>
      <c r="E15" s="113" t="s">
        <v>707</v>
      </c>
      <c r="F15" s="113" t="s">
        <v>707</v>
      </c>
      <c r="G15" s="113" t="s">
        <v>707</v>
      </c>
      <c r="H15" s="113" t="s">
        <v>707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917</v>
      </c>
      <c r="C16" s="113" t="s">
        <v>179</v>
      </c>
      <c r="D16" s="113" t="s">
        <v>707</v>
      </c>
      <c r="E16" s="113" t="s">
        <v>707</v>
      </c>
      <c r="F16" s="113" t="s">
        <v>707</v>
      </c>
      <c r="G16" s="113" t="s">
        <v>707</v>
      </c>
      <c r="H16" s="113" t="s">
        <v>707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917</v>
      </c>
      <c r="C17" s="113" t="s">
        <v>1286</v>
      </c>
      <c r="D17" s="113" t="s">
        <v>707</v>
      </c>
      <c r="E17" s="113" t="s">
        <v>707</v>
      </c>
      <c r="F17" s="113" t="s">
        <v>707</v>
      </c>
      <c r="G17" s="113" t="s">
        <v>707</v>
      </c>
      <c r="H17" s="113" t="s">
        <v>707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917</v>
      </c>
      <c r="C18" s="113" t="s">
        <v>1284</v>
      </c>
      <c r="D18" s="113" t="s">
        <v>707</v>
      </c>
      <c r="E18" s="113" t="s">
        <v>707</v>
      </c>
      <c r="F18" s="113" t="s">
        <v>707</v>
      </c>
      <c r="G18" s="113" t="s">
        <v>707</v>
      </c>
      <c r="H18" s="113" t="s">
        <v>707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917</v>
      </c>
      <c r="C19" s="113" t="s">
        <v>181</v>
      </c>
      <c r="D19" s="113" t="s">
        <v>707</v>
      </c>
      <c r="E19" s="113" t="s">
        <v>707</v>
      </c>
      <c r="F19" s="113" t="s">
        <v>707</v>
      </c>
      <c r="G19" s="113" t="s">
        <v>707</v>
      </c>
      <c r="H19" s="113" t="s">
        <v>707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917</v>
      </c>
      <c r="C20" s="113" t="s">
        <v>1281</v>
      </c>
      <c r="D20" s="113" t="s">
        <v>707</v>
      </c>
      <c r="E20" s="113" t="s">
        <v>707</v>
      </c>
      <c r="F20" s="113" t="s">
        <v>707</v>
      </c>
      <c r="G20" s="113" t="s">
        <v>707</v>
      </c>
      <c r="H20" s="113" t="s">
        <v>707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917</v>
      </c>
      <c r="C21" s="113" t="s">
        <v>1279</v>
      </c>
      <c r="D21" s="113" t="s">
        <v>707</v>
      </c>
      <c r="E21" s="113" t="s">
        <v>707</v>
      </c>
      <c r="F21" s="113" t="s">
        <v>707</v>
      </c>
      <c r="G21" s="113" t="s">
        <v>707</v>
      </c>
      <c r="H21" s="113" t="s">
        <v>707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917</v>
      </c>
      <c r="C22" s="113" t="s">
        <v>542</v>
      </c>
      <c r="D22" s="113" t="s">
        <v>707</v>
      </c>
      <c r="E22" s="113" t="s">
        <v>707</v>
      </c>
      <c r="F22" s="113" t="s">
        <v>707</v>
      </c>
      <c r="G22" s="113" t="s">
        <v>707</v>
      </c>
      <c r="H22" s="113" t="s">
        <v>707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917</v>
      </c>
      <c r="C23" s="113" t="s">
        <v>1264</v>
      </c>
      <c r="D23" s="113" t="s">
        <v>707</v>
      </c>
      <c r="E23" s="113" t="s">
        <v>707</v>
      </c>
      <c r="F23" s="113" t="s">
        <v>707</v>
      </c>
      <c r="G23" s="113" t="s">
        <v>707</v>
      </c>
      <c r="H23" s="113" t="s">
        <v>707</v>
      </c>
      <c r="I23" s="113">
        <v>0</v>
      </c>
      <c r="J23" s="620">
        <f>'Iron &amp; Steel'!O109</f>
        <v>0</v>
      </c>
    </row>
    <row r="24" spans="2:18" x14ac:dyDescent="0.25">
      <c r="B24" s="620" t="s">
        <v>1456</v>
      </c>
      <c r="C24" s="620" t="s">
        <v>707</v>
      </c>
      <c r="D24" s="620" t="s">
        <v>42</v>
      </c>
      <c r="E24" s="620" t="s">
        <v>707</v>
      </c>
      <c r="F24" s="620" t="s">
        <v>707</v>
      </c>
      <c r="G24" s="620" t="s">
        <v>707</v>
      </c>
      <c r="H24" s="620" t="s">
        <v>707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926</v>
      </c>
      <c r="C25" s="113" t="s">
        <v>1276</v>
      </c>
      <c r="D25" s="113" t="s">
        <v>707</v>
      </c>
      <c r="E25" s="113" t="s">
        <v>1090</v>
      </c>
      <c r="F25" s="113" t="s">
        <v>707</v>
      </c>
      <c r="G25" s="113" t="s">
        <v>1101</v>
      </c>
      <c r="H25" s="113" t="s">
        <v>707</v>
      </c>
      <c r="I25" s="113">
        <v>0</v>
      </c>
      <c r="J25" s="113">
        <v>1</v>
      </c>
    </row>
    <row r="26" spans="2:18" x14ac:dyDescent="0.25">
      <c r="B26" s="113" t="s">
        <v>926</v>
      </c>
      <c r="C26" s="113" t="s">
        <v>1274</v>
      </c>
      <c r="D26" s="113" t="s">
        <v>707</v>
      </c>
      <c r="E26" s="113" t="s">
        <v>1090</v>
      </c>
      <c r="F26" s="113" t="s">
        <v>707</v>
      </c>
      <c r="G26" s="113" t="s">
        <v>1101</v>
      </c>
      <c r="H26" s="113" t="s">
        <v>707</v>
      </c>
      <c r="I26" s="113">
        <v>0</v>
      </c>
      <c r="J26" s="113">
        <v>1</v>
      </c>
    </row>
    <row r="27" spans="2:18" x14ac:dyDescent="0.25">
      <c r="B27" s="113" t="s">
        <v>926</v>
      </c>
      <c r="C27" s="113" t="s">
        <v>1272</v>
      </c>
      <c r="D27" s="113" t="s">
        <v>707</v>
      </c>
      <c r="E27" s="113" t="s">
        <v>1090</v>
      </c>
      <c r="F27" s="113" t="s">
        <v>707</v>
      </c>
      <c r="G27" s="113" t="s">
        <v>1101</v>
      </c>
      <c r="H27" s="113" t="s">
        <v>707</v>
      </c>
      <c r="I27" s="113">
        <v>0</v>
      </c>
      <c r="J27" s="113">
        <v>1</v>
      </c>
    </row>
    <row r="28" spans="2:18" x14ac:dyDescent="0.25">
      <c r="B28" s="113" t="s">
        <v>926</v>
      </c>
      <c r="C28" s="113" t="s">
        <v>1270</v>
      </c>
      <c r="D28" s="113" t="s">
        <v>707</v>
      </c>
      <c r="E28" s="113" t="s">
        <v>1090</v>
      </c>
      <c r="F28" s="113" t="s">
        <v>707</v>
      </c>
      <c r="G28" s="113" t="s">
        <v>1101</v>
      </c>
      <c r="H28" s="113" t="s">
        <v>707</v>
      </c>
      <c r="I28" s="113">
        <v>0</v>
      </c>
      <c r="J28" s="113">
        <v>1</v>
      </c>
    </row>
    <row r="29" spans="2:18" x14ac:dyDescent="0.25">
      <c r="B29" s="113" t="s">
        <v>926</v>
      </c>
      <c r="C29" s="113" t="s">
        <v>1268</v>
      </c>
      <c r="D29" s="113" t="s">
        <v>707</v>
      </c>
      <c r="E29" s="113" t="s">
        <v>1090</v>
      </c>
      <c r="F29" s="113" t="s">
        <v>707</v>
      </c>
      <c r="G29" s="113" t="s">
        <v>1101</v>
      </c>
      <c r="H29" s="113" t="s">
        <v>707</v>
      </c>
      <c r="I29" s="113">
        <v>0</v>
      </c>
      <c r="J29" s="113">
        <v>1</v>
      </c>
    </row>
    <row r="30" spans="2:18" x14ac:dyDescent="0.25">
      <c r="B30" s="113" t="s">
        <v>926</v>
      </c>
      <c r="C30" s="113" t="s">
        <v>1266</v>
      </c>
      <c r="D30" s="113" t="s">
        <v>707</v>
      </c>
      <c r="E30" s="113" t="s">
        <v>1090</v>
      </c>
      <c r="F30" s="113" t="s">
        <v>707</v>
      </c>
      <c r="G30" s="113" t="s">
        <v>1101</v>
      </c>
      <c r="H30" s="113" t="s">
        <v>707</v>
      </c>
      <c r="I30" s="113">
        <v>0</v>
      </c>
      <c r="J30" s="113">
        <v>1</v>
      </c>
    </row>
    <row r="31" spans="2:18" x14ac:dyDescent="0.25">
      <c r="B31" s="113" t="s">
        <v>926</v>
      </c>
      <c r="C31" s="113" t="s">
        <v>1262</v>
      </c>
      <c r="D31" s="113" t="s">
        <v>707</v>
      </c>
      <c r="E31" s="113" t="s">
        <v>1090</v>
      </c>
      <c r="F31" s="113" t="s">
        <v>707</v>
      </c>
      <c r="G31" s="113" t="s">
        <v>1101</v>
      </c>
      <c r="H31" s="113" t="s">
        <v>707</v>
      </c>
      <c r="I31" s="113">
        <v>0</v>
      </c>
      <c r="J31" s="113">
        <v>1</v>
      </c>
    </row>
    <row r="32" spans="2:18" x14ac:dyDescent="0.25">
      <c r="B32" s="113" t="s">
        <v>1455</v>
      </c>
      <c r="C32" s="113" t="s">
        <v>1296</v>
      </c>
      <c r="D32" s="113" t="s">
        <v>1454</v>
      </c>
      <c r="E32" s="113" t="s">
        <v>1090</v>
      </c>
      <c r="F32" s="113" t="s">
        <v>707</v>
      </c>
      <c r="G32" s="113" t="s">
        <v>1101</v>
      </c>
      <c r="H32" s="113" t="s">
        <v>707</v>
      </c>
      <c r="I32" s="113">
        <v>0</v>
      </c>
      <c r="J32" s="113">
        <v>17.329999999999998</v>
      </c>
    </row>
    <row r="33" spans="2:28" x14ac:dyDescent="0.25">
      <c r="B33" s="113" t="s">
        <v>1455</v>
      </c>
      <c r="C33" s="113" t="s">
        <v>170</v>
      </c>
      <c r="D33" s="113" t="s">
        <v>1454</v>
      </c>
      <c r="E33" s="113" t="s">
        <v>1090</v>
      </c>
      <c r="F33" s="113" t="s">
        <v>707</v>
      </c>
      <c r="G33" s="113" t="s">
        <v>1101</v>
      </c>
      <c r="H33" s="113" t="s">
        <v>707</v>
      </c>
      <c r="I33" s="113">
        <v>0</v>
      </c>
      <c r="J33" s="626">
        <v>2810</v>
      </c>
    </row>
    <row r="34" spans="2:28" x14ac:dyDescent="0.25">
      <c r="B34" s="113" t="s">
        <v>1455</v>
      </c>
      <c r="C34" s="555" t="s">
        <v>539</v>
      </c>
      <c r="D34" s="113" t="s">
        <v>1454</v>
      </c>
      <c r="E34" s="113" t="s">
        <v>1090</v>
      </c>
      <c r="F34" s="113" t="s">
        <v>707</v>
      </c>
      <c r="G34" s="113" t="s">
        <v>1101</v>
      </c>
      <c r="H34" s="113" t="s">
        <v>707</v>
      </c>
      <c r="I34" s="113">
        <v>0</v>
      </c>
      <c r="J34" s="626">
        <v>2810</v>
      </c>
    </row>
    <row r="35" spans="2:28" x14ac:dyDescent="0.25">
      <c r="B35" s="113" t="s">
        <v>1455</v>
      </c>
      <c r="C35" s="555" t="s">
        <v>172</v>
      </c>
      <c r="D35" s="113" t="s">
        <v>1454</v>
      </c>
      <c r="E35" s="113" t="s">
        <v>1090</v>
      </c>
      <c r="F35" s="113" t="s">
        <v>707</v>
      </c>
      <c r="G35" s="113" t="s">
        <v>1101</v>
      </c>
      <c r="H35" s="113" t="s">
        <v>707</v>
      </c>
      <c r="I35" s="113">
        <v>0</v>
      </c>
      <c r="J35" s="626">
        <v>2126.7142857142858</v>
      </c>
    </row>
    <row r="36" spans="2:28" x14ac:dyDescent="0.25">
      <c r="B36" s="113" t="s">
        <v>1455</v>
      </c>
      <c r="C36" s="555" t="s">
        <v>175</v>
      </c>
      <c r="D36" s="113" t="s">
        <v>1454</v>
      </c>
      <c r="E36" s="113" t="s">
        <v>1090</v>
      </c>
      <c r="F36" s="113" t="s">
        <v>707</v>
      </c>
      <c r="G36" s="113" t="s">
        <v>1101</v>
      </c>
      <c r="H36" s="113" t="s">
        <v>707</v>
      </c>
      <c r="I36" s="113">
        <v>0</v>
      </c>
      <c r="J36" s="626">
        <v>1605</v>
      </c>
    </row>
    <row r="37" spans="2:28" x14ac:dyDescent="0.25">
      <c r="B37" s="113" t="s">
        <v>1455</v>
      </c>
      <c r="C37" s="113" t="s">
        <v>540</v>
      </c>
      <c r="D37" s="113" t="s">
        <v>1454</v>
      </c>
      <c r="E37" s="113" t="s">
        <v>1090</v>
      </c>
      <c r="F37" s="113" t="s">
        <v>707</v>
      </c>
      <c r="G37" s="113" t="s">
        <v>1101</v>
      </c>
      <c r="H37" s="113" t="s">
        <v>707</v>
      </c>
      <c r="I37" s="113">
        <v>0</v>
      </c>
      <c r="J37" s="626">
        <v>1605</v>
      </c>
    </row>
    <row r="38" spans="2:28" x14ac:dyDescent="0.25">
      <c r="B38" s="113" t="s">
        <v>1455</v>
      </c>
      <c r="C38" s="113" t="s">
        <v>541</v>
      </c>
      <c r="D38" s="113" t="s">
        <v>1454</v>
      </c>
      <c r="E38" s="113" t="s">
        <v>1090</v>
      </c>
      <c r="F38" s="113" t="s">
        <v>707</v>
      </c>
      <c r="G38" s="113" t="s">
        <v>1101</v>
      </c>
      <c r="H38" s="113" t="s">
        <v>707</v>
      </c>
      <c r="I38" s="113">
        <v>0</v>
      </c>
      <c r="J38" s="626">
        <v>1605</v>
      </c>
    </row>
    <row r="39" spans="2:28" x14ac:dyDescent="0.25">
      <c r="B39" s="113" t="s">
        <v>1455</v>
      </c>
      <c r="C39" s="555" t="s">
        <v>179</v>
      </c>
      <c r="D39" s="113" t="s">
        <v>1454</v>
      </c>
      <c r="E39" s="113" t="s">
        <v>1090</v>
      </c>
      <c r="F39" s="113" t="s">
        <v>707</v>
      </c>
      <c r="G39" s="113" t="s">
        <v>1101</v>
      </c>
      <c r="H39" s="113" t="s">
        <v>707</v>
      </c>
      <c r="I39" s="113">
        <v>0</v>
      </c>
      <c r="J39" s="626">
        <v>1540</v>
      </c>
    </row>
    <row r="40" spans="2:28" x14ac:dyDescent="0.25">
      <c r="B40" s="113" t="s">
        <v>1455</v>
      </c>
      <c r="C40" s="555" t="s">
        <v>181</v>
      </c>
      <c r="D40" s="113" t="s">
        <v>1454</v>
      </c>
      <c r="E40" s="113" t="s">
        <v>1090</v>
      </c>
      <c r="F40" s="113" t="s">
        <v>707</v>
      </c>
      <c r="G40" s="113" t="s">
        <v>1101</v>
      </c>
      <c r="H40" s="113" t="s">
        <v>707</v>
      </c>
      <c r="I40" s="113">
        <v>0</v>
      </c>
      <c r="J40" s="626">
        <v>80</v>
      </c>
    </row>
    <row r="41" spans="2:28" x14ac:dyDescent="0.25">
      <c r="B41" s="113" t="s">
        <v>1455</v>
      </c>
      <c r="C41" s="555" t="s">
        <v>542</v>
      </c>
      <c r="D41" s="113" t="s">
        <v>1454</v>
      </c>
      <c r="E41" s="113" t="s">
        <v>1090</v>
      </c>
      <c r="F41" s="113" t="s">
        <v>707</v>
      </c>
      <c r="G41" s="113" t="s">
        <v>1101</v>
      </c>
      <c r="H41" s="113" t="s">
        <v>707</v>
      </c>
      <c r="I41" s="113">
        <v>0</v>
      </c>
      <c r="J41" s="626">
        <v>80</v>
      </c>
      <c r="L41" s="625"/>
    </row>
    <row r="42" spans="2:28" x14ac:dyDescent="0.25">
      <c r="B42" s="620" t="s">
        <v>906</v>
      </c>
      <c r="C42" s="620" t="s">
        <v>170</v>
      </c>
      <c r="D42" s="620" t="s">
        <v>707</v>
      </c>
      <c r="E42" s="620" t="s">
        <v>1390</v>
      </c>
      <c r="F42" s="620" t="s">
        <v>1392</v>
      </c>
      <c r="G42" s="620" t="s">
        <v>1101</v>
      </c>
      <c r="H42" s="620" t="s">
        <v>707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16.42657042314022</v>
      </c>
    </row>
    <row r="43" spans="2:28" x14ac:dyDescent="0.25">
      <c r="B43" s="113" t="s">
        <v>906</v>
      </c>
      <c r="C43" s="113" t="s">
        <v>539</v>
      </c>
      <c r="D43" s="113" t="s">
        <v>707</v>
      </c>
      <c r="E43" s="113" t="s">
        <v>1386</v>
      </c>
      <c r="F43" s="113" t="s">
        <v>1388</v>
      </c>
      <c r="G43" s="113" t="s">
        <v>1101</v>
      </c>
      <c r="H43" s="113" t="s">
        <v>707</v>
      </c>
      <c r="I43" s="113">
        <f>IF(pamsindex,3,0)</f>
        <v>3</v>
      </c>
      <c r="J43" s="113">
        <v>19.7</v>
      </c>
      <c r="O43" s="622">
        <f>O42</f>
        <v>16.42657042314022</v>
      </c>
      <c r="AB43" s="622">
        <f>PAMS!M16</f>
        <v>16.015906162561713</v>
      </c>
    </row>
    <row r="44" spans="2:28" x14ac:dyDescent="0.25">
      <c r="B44" s="620" t="s">
        <v>906</v>
      </c>
      <c r="C44" s="620" t="s">
        <v>172</v>
      </c>
      <c r="D44" s="620" t="s">
        <v>707</v>
      </c>
      <c r="E44" s="620" t="s">
        <v>1382</v>
      </c>
      <c r="F44" s="620" t="s">
        <v>1384</v>
      </c>
      <c r="G44" s="620" t="s">
        <v>1101</v>
      </c>
      <c r="H44" s="620" t="s">
        <v>707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</row>
    <row r="45" spans="2:28" x14ac:dyDescent="0.25">
      <c r="B45" s="113" t="s">
        <v>906</v>
      </c>
      <c r="C45" s="113" t="s">
        <v>1296</v>
      </c>
      <c r="D45" s="113" t="s">
        <v>707</v>
      </c>
      <c r="E45" s="113" t="s">
        <v>43</v>
      </c>
      <c r="F45" s="113" t="s">
        <v>1348</v>
      </c>
      <c r="G45" s="113" t="s">
        <v>1101</v>
      </c>
      <c r="H45" s="113" t="s">
        <v>707</v>
      </c>
      <c r="I45" s="113">
        <v>0</v>
      </c>
      <c r="J45" s="113">
        <v>1.6</v>
      </c>
    </row>
    <row r="46" spans="2:28" x14ac:dyDescent="0.25">
      <c r="B46" s="113" t="s">
        <v>906</v>
      </c>
      <c r="C46" s="113" t="s">
        <v>1296</v>
      </c>
      <c r="D46" s="113" t="s">
        <v>707</v>
      </c>
      <c r="E46" s="113" t="s">
        <v>1342</v>
      </c>
      <c r="F46" s="113" t="s">
        <v>43</v>
      </c>
      <c r="G46" s="113" t="s">
        <v>1101</v>
      </c>
      <c r="H46" s="113" t="s">
        <v>707</v>
      </c>
      <c r="I46" s="113">
        <v>0</v>
      </c>
      <c r="J46" s="113">
        <v>0.6</v>
      </c>
    </row>
    <row r="47" spans="2:28" x14ac:dyDescent="0.25">
      <c r="B47" s="620" t="s">
        <v>906</v>
      </c>
      <c r="C47" s="620" t="s">
        <v>175</v>
      </c>
      <c r="D47" s="620" t="s">
        <v>707</v>
      </c>
      <c r="E47" s="620" t="s">
        <v>1378</v>
      </c>
      <c r="F47" s="620" t="s">
        <v>1380</v>
      </c>
      <c r="G47" s="620" t="s">
        <v>1101</v>
      </c>
      <c r="H47" s="620" t="s">
        <v>707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27.743824076135091</v>
      </c>
    </row>
    <row r="48" spans="2:28" x14ac:dyDescent="0.25">
      <c r="B48" s="113" t="s">
        <v>906</v>
      </c>
      <c r="C48" s="113" t="s">
        <v>540</v>
      </c>
      <c r="D48" s="113" t="s">
        <v>707</v>
      </c>
      <c r="E48" s="113" t="s">
        <v>1370</v>
      </c>
      <c r="F48" s="113" t="s">
        <v>1372</v>
      </c>
      <c r="G48" s="113" t="s">
        <v>1101</v>
      </c>
      <c r="H48" s="113" t="s">
        <v>707</v>
      </c>
      <c r="I48" s="113">
        <f>IF(pamsindex,3,0)</f>
        <v>3</v>
      </c>
      <c r="J48" s="113">
        <v>20.3</v>
      </c>
      <c r="M48" s="113">
        <f>IF(pamsindex,J48,"")</f>
        <v>20.3</v>
      </c>
      <c r="O48" s="622">
        <f>O47</f>
        <v>27.743824076135091</v>
      </c>
      <c r="AB48" s="622">
        <f>PAMS!M17</f>
        <v>27.050228474231712</v>
      </c>
    </row>
    <row r="49" spans="2:48" x14ac:dyDescent="0.25">
      <c r="B49" s="113" t="s">
        <v>906</v>
      </c>
      <c r="C49" s="113" t="s">
        <v>541</v>
      </c>
      <c r="D49" s="113" t="s">
        <v>707</v>
      </c>
      <c r="E49" s="113" t="s">
        <v>1374</v>
      </c>
      <c r="F49" s="113" t="s">
        <v>1376</v>
      </c>
      <c r="G49" s="113" t="s">
        <v>1101</v>
      </c>
      <c r="H49" s="113" t="s">
        <v>707</v>
      </c>
      <c r="I49" s="113">
        <f>IF(pamsindex,3,0)</f>
        <v>3</v>
      </c>
      <c r="J49" s="113">
        <v>14.6</v>
      </c>
      <c r="M49" s="113">
        <f>IF(pamsindex,J49,"")</f>
        <v>14.6</v>
      </c>
      <c r="O49" s="622">
        <f>O48*80%</f>
        <v>22.195059260908074</v>
      </c>
      <c r="AB49" s="622">
        <f>PAMS!M18</f>
        <v>21.640182779385373</v>
      </c>
    </row>
    <row r="50" spans="2:48" x14ac:dyDescent="0.25">
      <c r="B50" s="620" t="s">
        <v>906</v>
      </c>
      <c r="C50" s="620" t="s">
        <v>179</v>
      </c>
      <c r="D50" s="620" t="s">
        <v>707</v>
      </c>
      <c r="E50" s="620" t="s">
        <v>1366</v>
      </c>
      <c r="F50" s="620" t="s">
        <v>1368</v>
      </c>
      <c r="G50" s="620" t="s">
        <v>1101</v>
      </c>
      <c r="H50" s="620" t="s">
        <v>707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</row>
    <row r="51" spans="2:48" x14ac:dyDescent="0.25">
      <c r="B51" s="620" t="s">
        <v>906</v>
      </c>
      <c r="C51" s="620" t="s">
        <v>181</v>
      </c>
      <c r="D51" s="620" t="s">
        <v>707</v>
      </c>
      <c r="E51" s="620" t="s">
        <v>1358</v>
      </c>
      <c r="F51" s="620" t="s">
        <v>1360</v>
      </c>
      <c r="G51" s="620" t="s">
        <v>1101</v>
      </c>
      <c r="H51" s="620" t="s">
        <v>707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</row>
    <row r="52" spans="2:48" x14ac:dyDescent="0.25">
      <c r="B52" s="113" t="s">
        <v>906</v>
      </c>
      <c r="C52" s="113" t="s">
        <v>542</v>
      </c>
      <c r="D52" s="113" t="s">
        <v>707</v>
      </c>
      <c r="E52" s="113" t="s">
        <v>1354</v>
      </c>
      <c r="F52" s="113" t="s">
        <v>1356</v>
      </c>
      <c r="G52" s="113" t="s">
        <v>1101</v>
      </c>
      <c r="H52" s="113" t="s">
        <v>707</v>
      </c>
      <c r="I52" s="113">
        <f>IF(pamsindex,3,0)</f>
        <v>3</v>
      </c>
      <c r="J52" s="113">
        <v>6.6</v>
      </c>
      <c r="M52" s="113">
        <f>IF(pamsindex,J52,"")</f>
        <v>6.6</v>
      </c>
      <c r="O52" s="622">
        <f>'Iron &amp; Steel'!Z19</f>
        <v>5.4887322803632257</v>
      </c>
      <c r="AB52" s="622">
        <f>PAMS!M19</f>
        <v>5.3515139733541446</v>
      </c>
    </row>
    <row r="53" spans="2:48" x14ac:dyDescent="0.25">
      <c r="B53" s="620" t="s">
        <v>908</v>
      </c>
      <c r="C53" s="620" t="s">
        <v>170</v>
      </c>
      <c r="D53" s="620" t="s">
        <v>43</v>
      </c>
      <c r="E53" s="620" t="s">
        <v>1392</v>
      </c>
      <c r="F53" s="620" t="s">
        <v>707</v>
      </c>
      <c r="G53" s="620" t="s">
        <v>1101</v>
      </c>
      <c r="H53" s="620" t="s">
        <v>593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0.54033090194192068</v>
      </c>
      <c r="AN53" s="622">
        <f>IF(IF(H53="UP",J53+0.1,IF(H53="LO",J53-0.1,J53))&lt;0,0,IF(H53="UP",J53+0.1,IF(H53="LO",J53-0.1,J53)))</f>
        <v>0.3219489785577504</v>
      </c>
    </row>
    <row r="54" spans="2:48" x14ac:dyDescent="0.25">
      <c r="B54" s="620" t="s">
        <v>908</v>
      </c>
      <c r="C54" s="113" t="s">
        <v>170</v>
      </c>
      <c r="D54" s="113" t="s">
        <v>43</v>
      </c>
      <c r="E54" s="113" t="s">
        <v>1392</v>
      </c>
      <c r="F54" s="113" t="s">
        <v>707</v>
      </c>
      <c r="G54" s="113" t="s">
        <v>1101</v>
      </c>
      <c r="H54" s="113" t="s">
        <v>594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0.54573421096133989</v>
      </c>
    </row>
    <row r="55" spans="2:48" x14ac:dyDescent="0.25">
      <c r="B55" s="620" t="s">
        <v>908</v>
      </c>
      <c r="C55" s="113" t="s">
        <v>170</v>
      </c>
      <c r="D55" s="113" t="s">
        <v>40</v>
      </c>
      <c r="E55" s="113" t="s">
        <v>1392</v>
      </c>
      <c r="F55" s="113" t="s">
        <v>707</v>
      </c>
      <c r="G55" s="113" t="s">
        <v>1101</v>
      </c>
      <c r="H55" s="113" t="s">
        <v>593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0.26361053874824431</v>
      </c>
    </row>
    <row r="56" spans="2:48" x14ac:dyDescent="0.25">
      <c r="B56" s="620" t="s">
        <v>908</v>
      </c>
      <c r="C56" s="113" t="s">
        <v>170</v>
      </c>
      <c r="D56" s="113" t="s">
        <v>40</v>
      </c>
      <c r="E56" s="113" t="s">
        <v>1392</v>
      </c>
      <c r="F56" s="113" t="s">
        <v>707</v>
      </c>
      <c r="G56" s="113" t="s">
        <v>1101</v>
      </c>
      <c r="H56" s="113" t="s">
        <v>594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0.26624664413572674</v>
      </c>
      <c r="AN56" s="622">
        <f>IF(IF(H56="UP",J56+0.1,IF(H56="LO",J56-0.1,J56))&lt;0,0,IF(H56="UP",J56+0.1,IF(H56="LO",J56-0.1,J56)))</f>
        <v>0.30494664672805016</v>
      </c>
    </row>
    <row r="57" spans="2:48" x14ac:dyDescent="0.25">
      <c r="B57" s="620" t="s">
        <v>908</v>
      </c>
      <c r="C57" s="113" t="s">
        <v>170</v>
      </c>
      <c r="D57" s="113" t="s">
        <v>39</v>
      </c>
      <c r="E57" s="113" t="s">
        <v>1392</v>
      </c>
      <c r="F57" s="113" t="s">
        <v>707</v>
      </c>
      <c r="G57" s="113" t="s">
        <v>1101</v>
      </c>
      <c r="H57" s="113" t="s">
        <v>1102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0.12782206880423377</v>
      </c>
    </row>
    <row r="58" spans="2:48" x14ac:dyDescent="0.25">
      <c r="B58" s="620" t="s">
        <v>908</v>
      </c>
      <c r="C58" s="113" t="s">
        <v>170</v>
      </c>
      <c r="D58" s="113" t="s">
        <v>592</v>
      </c>
      <c r="E58" s="113" t="s">
        <v>1392</v>
      </c>
      <c r="F58" s="113" t="s">
        <v>707</v>
      </c>
      <c r="G58" s="113" t="s">
        <v>1101</v>
      </c>
      <c r="H58" s="113" t="s">
        <v>593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3.2055167215532178E-2</v>
      </c>
    </row>
    <row r="59" spans="2:48" x14ac:dyDescent="0.25">
      <c r="B59" s="620" t="s">
        <v>908</v>
      </c>
      <c r="C59" s="113" t="s">
        <v>170</v>
      </c>
      <c r="D59" s="113" t="s">
        <v>592</v>
      </c>
      <c r="E59" s="113" t="s">
        <v>1392</v>
      </c>
      <c r="F59" s="113" t="s">
        <v>707</v>
      </c>
      <c r="G59" s="113" t="s">
        <v>1101</v>
      </c>
      <c r="H59" s="113" t="s">
        <v>594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3.2375718887687498E-2</v>
      </c>
      <c r="AN59" s="622">
        <f>IF(IF(H59="UP",J59+0.1,IF(H59="LO",J59-0.1,J59))&lt;0,0,IF(H59="UP",J59+0.1,IF(H59="LO",J59-0.1,J59)))</f>
        <v>0.33508585948217529</v>
      </c>
    </row>
    <row r="60" spans="2:48" x14ac:dyDescent="0.25">
      <c r="B60" s="620" t="s">
        <v>908</v>
      </c>
      <c r="C60" s="113" t="s">
        <v>170</v>
      </c>
      <c r="D60" s="113" t="s">
        <v>1337</v>
      </c>
      <c r="E60" s="113" t="s">
        <v>1392</v>
      </c>
      <c r="F60" s="113" t="s">
        <v>707</v>
      </c>
      <c r="G60" s="113" t="s">
        <v>1101</v>
      </c>
      <c r="H60" s="113" t="s">
        <v>593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908</v>
      </c>
      <c r="C61" s="113" t="s">
        <v>170</v>
      </c>
      <c r="D61" s="113" t="s">
        <v>1337</v>
      </c>
      <c r="E61" s="113" t="s">
        <v>1392</v>
      </c>
      <c r="F61" s="113" t="s">
        <v>707</v>
      </c>
      <c r="G61" s="113" t="s">
        <v>1101</v>
      </c>
      <c r="H61" s="113" t="s">
        <v>594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>
        <f>IF(IF(H61="UP",J61+0.1,IF(H61="LO",J61-0.1,J61))&lt;0,0,IF(H61="UP",J61+0.1,IF(H61="LO",J61-0.1,J61)))</f>
        <v>0.10500000000000001</v>
      </c>
    </row>
    <row r="62" spans="2:48" x14ac:dyDescent="0.25">
      <c r="B62" s="620" t="s">
        <v>908</v>
      </c>
      <c r="C62" s="113" t="s">
        <v>539</v>
      </c>
      <c r="D62" s="113" t="s">
        <v>43</v>
      </c>
      <c r="E62" s="113" t="s">
        <v>1388</v>
      </c>
      <c r="F62" s="113" t="s">
        <v>707</v>
      </c>
      <c r="G62" s="113" t="s">
        <v>1101</v>
      </c>
      <c r="H62" s="113" t="s">
        <v>593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0.54033090194192068</v>
      </c>
      <c r="AV62" s="622"/>
    </row>
    <row r="63" spans="2:48" x14ac:dyDescent="0.25">
      <c r="B63" s="620" t="s">
        <v>908</v>
      </c>
      <c r="C63" s="113" t="s">
        <v>539</v>
      </c>
      <c r="D63" s="113" t="s">
        <v>43</v>
      </c>
      <c r="E63" s="113" t="s">
        <v>1388</v>
      </c>
      <c r="F63" s="113" t="s">
        <v>707</v>
      </c>
      <c r="G63" s="113" t="s">
        <v>1101</v>
      </c>
      <c r="H63" s="113" t="s">
        <v>594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0.54573421096133989</v>
      </c>
    </row>
    <row r="64" spans="2:48" x14ac:dyDescent="0.25">
      <c r="B64" s="620" t="s">
        <v>908</v>
      </c>
      <c r="C64" s="113" t="s">
        <v>539</v>
      </c>
      <c r="D64" s="113" t="s">
        <v>40</v>
      </c>
      <c r="E64" s="113" t="s">
        <v>1388</v>
      </c>
      <c r="F64" s="113" t="s">
        <v>707</v>
      </c>
      <c r="G64" s="113" t="s">
        <v>1101</v>
      </c>
      <c r="H64" s="113" t="s">
        <v>593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0.26361053874824431</v>
      </c>
      <c r="AV64" s="622"/>
    </row>
    <row r="65" spans="2:48" x14ac:dyDescent="0.25">
      <c r="B65" s="620" t="s">
        <v>908</v>
      </c>
      <c r="C65" s="113" t="s">
        <v>539</v>
      </c>
      <c r="D65" s="113" t="s">
        <v>40</v>
      </c>
      <c r="E65" s="113" t="s">
        <v>1388</v>
      </c>
      <c r="F65" s="113" t="s">
        <v>707</v>
      </c>
      <c r="G65" s="113" t="s">
        <v>1101</v>
      </c>
      <c r="H65" s="113" t="s">
        <v>594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0.26624664413572674</v>
      </c>
    </row>
    <row r="66" spans="2:48" x14ac:dyDescent="0.25">
      <c r="B66" s="620" t="s">
        <v>908</v>
      </c>
      <c r="C66" s="113" t="s">
        <v>539</v>
      </c>
      <c r="D66" s="113" t="s">
        <v>39</v>
      </c>
      <c r="E66" s="113" t="s">
        <v>1388</v>
      </c>
      <c r="F66" s="113" t="s">
        <v>707</v>
      </c>
      <c r="G66" s="113" t="s">
        <v>1101</v>
      </c>
      <c r="H66" s="113" t="s">
        <v>1102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0.12782206880423377</v>
      </c>
    </row>
    <row r="67" spans="2:48" x14ac:dyDescent="0.25">
      <c r="B67" s="620" t="s">
        <v>908</v>
      </c>
      <c r="C67" s="113" t="s">
        <v>539</v>
      </c>
      <c r="D67" s="113" t="s">
        <v>592</v>
      </c>
      <c r="E67" s="113" t="s">
        <v>1388</v>
      </c>
      <c r="F67" s="113" t="s">
        <v>707</v>
      </c>
      <c r="G67" s="113" t="s">
        <v>1101</v>
      </c>
      <c r="H67" s="113" t="s">
        <v>593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3.2055167215532178E-2</v>
      </c>
      <c r="AV67" s="622"/>
    </row>
    <row r="68" spans="2:48" x14ac:dyDescent="0.25">
      <c r="B68" s="620" t="s">
        <v>908</v>
      </c>
      <c r="C68" s="113" t="s">
        <v>539</v>
      </c>
      <c r="D68" s="113" t="s">
        <v>592</v>
      </c>
      <c r="E68" s="113" t="s">
        <v>1388</v>
      </c>
      <c r="F68" s="113" t="s">
        <v>707</v>
      </c>
      <c r="G68" s="113" t="s">
        <v>1101</v>
      </c>
      <c r="H68" s="113" t="s">
        <v>594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3.2375718887687498E-2</v>
      </c>
    </row>
    <row r="69" spans="2:48" x14ac:dyDescent="0.25">
      <c r="B69" s="620" t="s">
        <v>908</v>
      </c>
      <c r="C69" s="113" t="s">
        <v>539</v>
      </c>
      <c r="D69" s="113" t="s">
        <v>1337</v>
      </c>
      <c r="E69" s="113" t="s">
        <v>1388</v>
      </c>
      <c r="F69" s="113" t="s">
        <v>707</v>
      </c>
      <c r="G69" s="113" t="s">
        <v>1101</v>
      </c>
      <c r="H69" s="113" t="s">
        <v>593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908</v>
      </c>
      <c r="C70" s="113" t="s">
        <v>539</v>
      </c>
      <c r="D70" s="113" t="s">
        <v>1337</v>
      </c>
      <c r="E70" s="113" t="s">
        <v>1388</v>
      </c>
      <c r="F70" s="113" t="s">
        <v>707</v>
      </c>
      <c r="G70" s="113" t="s">
        <v>1101</v>
      </c>
      <c r="H70" s="113" t="s">
        <v>594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908</v>
      </c>
      <c r="C71" s="113" t="s">
        <v>172</v>
      </c>
      <c r="D71" s="113" t="s">
        <v>43</v>
      </c>
      <c r="E71" s="113" t="s">
        <v>1384</v>
      </c>
      <c r="F71" s="113" t="s">
        <v>707</v>
      </c>
      <c r="G71" s="113" t="s">
        <v>1101</v>
      </c>
      <c r="H71" s="113" t="s">
        <v>1102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908</v>
      </c>
      <c r="C72" s="113" t="s">
        <v>172</v>
      </c>
      <c r="D72" s="113" t="s">
        <v>40</v>
      </c>
      <c r="E72" s="113" t="s">
        <v>1384</v>
      </c>
      <c r="F72" s="113" t="s">
        <v>707</v>
      </c>
      <c r="G72" s="113" t="s">
        <v>1101</v>
      </c>
      <c r="H72" s="113" t="s">
        <v>1102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908</v>
      </c>
      <c r="C73" s="113" t="s">
        <v>172</v>
      </c>
      <c r="D73" s="113" t="s">
        <v>39</v>
      </c>
      <c r="E73" s="113" t="s">
        <v>1384</v>
      </c>
      <c r="F73" s="113" t="s">
        <v>707</v>
      </c>
      <c r="G73" s="113" t="s">
        <v>1101</v>
      </c>
      <c r="H73" s="113" t="s">
        <v>1102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908</v>
      </c>
      <c r="C74" s="113" t="s">
        <v>172</v>
      </c>
      <c r="D74" s="113" t="s">
        <v>592</v>
      </c>
      <c r="E74" s="113" t="s">
        <v>1384</v>
      </c>
      <c r="F74" s="113" t="s">
        <v>707</v>
      </c>
      <c r="G74" s="113" t="s">
        <v>1101</v>
      </c>
      <c r="H74" s="113" t="s">
        <v>1102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908</v>
      </c>
      <c r="C75" s="113" t="s">
        <v>172</v>
      </c>
      <c r="D75" s="113" t="s">
        <v>595</v>
      </c>
      <c r="E75" s="113" t="s">
        <v>1384</v>
      </c>
      <c r="F75" s="113" t="s">
        <v>707</v>
      </c>
      <c r="G75" s="113" t="s">
        <v>1101</v>
      </c>
      <c r="H75" s="113" t="s">
        <v>1102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908</v>
      </c>
      <c r="C76" s="113" t="s">
        <v>175</v>
      </c>
      <c r="D76" s="113" t="s">
        <v>40</v>
      </c>
      <c r="E76" s="113" t="s">
        <v>1380</v>
      </c>
      <c r="F76" s="113" t="s">
        <v>707</v>
      </c>
      <c r="G76" s="113" t="s">
        <v>1101</v>
      </c>
      <c r="H76" s="113" t="s">
        <v>593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0.74238447012267461</v>
      </c>
      <c r="AN76" s="622">
        <f>IF(IF(H76="UP",J76+0.1,IF(H76="LO",J76-0.1,J76))&lt;0,0,IF(H76="UP",J76+0.1,IF(H76="LO",J76-0.1,J76)))</f>
        <v>0.56708375644280073</v>
      </c>
    </row>
    <row r="77" spans="2:48" x14ac:dyDescent="0.25">
      <c r="B77" s="620" t="s">
        <v>908</v>
      </c>
      <c r="C77" s="113" t="s">
        <v>175</v>
      </c>
      <c r="D77" s="113" t="s">
        <v>40</v>
      </c>
      <c r="E77" s="113" t="s">
        <v>1380</v>
      </c>
      <c r="F77" s="113" t="s">
        <v>707</v>
      </c>
      <c r="G77" s="113" t="s">
        <v>1101</v>
      </c>
      <c r="H77" s="113" t="s">
        <v>594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0.74980831482390131</v>
      </c>
    </row>
    <row r="78" spans="2:48" x14ac:dyDescent="0.25">
      <c r="B78" s="620" t="s">
        <v>908</v>
      </c>
      <c r="C78" s="113" t="s">
        <v>175</v>
      </c>
      <c r="D78" s="113" t="s">
        <v>39</v>
      </c>
      <c r="E78" s="113" t="s">
        <v>1380</v>
      </c>
      <c r="F78" s="113" t="s">
        <v>707</v>
      </c>
      <c r="G78" s="113" t="s">
        <v>1101</v>
      </c>
      <c r="H78" s="113" t="s">
        <v>1102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0.17683462777941716</v>
      </c>
    </row>
    <row r="79" spans="2:48" x14ac:dyDescent="0.25">
      <c r="B79" s="620" t="s">
        <v>908</v>
      </c>
      <c r="C79" s="113" t="s">
        <v>175</v>
      </c>
      <c r="D79" s="113" t="s">
        <v>592</v>
      </c>
      <c r="E79" s="113" t="s">
        <v>1380</v>
      </c>
      <c r="F79" s="113" t="s">
        <v>707</v>
      </c>
      <c r="G79" s="113" t="s">
        <v>1101</v>
      </c>
      <c r="H79" s="113" t="s">
        <v>593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8.2531739996714287E-2</v>
      </c>
    </row>
    <row r="80" spans="2:48" x14ac:dyDescent="0.25">
      <c r="B80" s="620" t="s">
        <v>908</v>
      </c>
      <c r="C80" s="113" t="s">
        <v>175</v>
      </c>
      <c r="D80" s="113" t="s">
        <v>592</v>
      </c>
      <c r="E80" s="113" t="s">
        <v>1380</v>
      </c>
      <c r="F80" s="113" t="s">
        <v>707</v>
      </c>
      <c r="G80" s="113" t="s">
        <v>1101</v>
      </c>
      <c r="H80" s="113" t="s">
        <v>594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8.3357057396681436E-2</v>
      </c>
      <c r="AN80" s="622">
        <f>IF(IF(H80="UP",J80+0.1,IF(H80="LO",J80-0.1,J80))&lt;0,0,IF(H80="UP",J80+0.1,IF(H80="LO",J80-0.1,J80)))</f>
        <v>0.11212879557168728</v>
      </c>
    </row>
    <row r="81" spans="2:48" x14ac:dyDescent="0.25">
      <c r="B81" s="620" t="s">
        <v>908</v>
      </c>
      <c r="C81" s="113" t="s">
        <v>175</v>
      </c>
      <c r="D81" s="113" t="s">
        <v>1337</v>
      </c>
      <c r="E81" s="113" t="s">
        <v>1380</v>
      </c>
      <c r="F81" s="113" t="s">
        <v>707</v>
      </c>
      <c r="G81" s="113" t="s">
        <v>1101</v>
      </c>
      <c r="H81" s="113" t="s">
        <v>593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908</v>
      </c>
      <c r="C82" s="113" t="s">
        <v>175</v>
      </c>
      <c r="D82" s="113" t="s">
        <v>1337</v>
      </c>
      <c r="E82" s="113" t="s">
        <v>1380</v>
      </c>
      <c r="F82" s="113" t="s">
        <v>707</v>
      </c>
      <c r="G82" s="113" t="s">
        <v>1101</v>
      </c>
      <c r="H82" s="113" t="s">
        <v>594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>
        <f>IF(IF(H82="UP",J82+0.1,IF(H82="LO",J82-0.1,J82))&lt;0,0,IF(H82="UP",J82+0.1,IF(H82="LO",J82-0.1,J82)))</f>
        <v>0.11</v>
      </c>
    </row>
    <row r="83" spans="2:48" x14ac:dyDescent="0.25">
      <c r="B83" s="620" t="s">
        <v>908</v>
      </c>
      <c r="C83" s="113" t="s">
        <v>540</v>
      </c>
      <c r="D83" s="113" t="s">
        <v>40</v>
      </c>
      <c r="E83" s="113" t="s">
        <v>1372</v>
      </c>
      <c r="F83" s="113" t="s">
        <v>707</v>
      </c>
      <c r="G83" s="113" t="s">
        <v>1101</v>
      </c>
      <c r="H83" s="113" t="s">
        <v>593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0.74238447012267461</v>
      </c>
      <c r="AV83" s="622"/>
    </row>
    <row r="84" spans="2:48" x14ac:dyDescent="0.25">
      <c r="B84" s="620" t="s">
        <v>908</v>
      </c>
      <c r="C84" s="113" t="s">
        <v>540</v>
      </c>
      <c r="D84" s="113" t="s">
        <v>40</v>
      </c>
      <c r="E84" s="113" t="s">
        <v>1372</v>
      </c>
      <c r="F84" s="113" t="s">
        <v>707</v>
      </c>
      <c r="G84" s="113" t="s">
        <v>1101</v>
      </c>
      <c r="H84" s="113" t="s">
        <v>594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0.74980831482390131</v>
      </c>
    </row>
    <row r="85" spans="2:48" x14ac:dyDescent="0.25">
      <c r="B85" s="620" t="s">
        <v>908</v>
      </c>
      <c r="C85" s="113" t="s">
        <v>540</v>
      </c>
      <c r="D85" s="113" t="s">
        <v>39</v>
      </c>
      <c r="E85" s="113" t="s">
        <v>1372</v>
      </c>
      <c r="F85" s="113" t="s">
        <v>707</v>
      </c>
      <c r="G85" s="113" t="s">
        <v>1101</v>
      </c>
      <c r="H85" s="113" t="s">
        <v>1102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0.17683462777941716</v>
      </c>
      <c r="AV85" s="622"/>
    </row>
    <row r="86" spans="2:48" x14ac:dyDescent="0.25">
      <c r="B86" s="620" t="s">
        <v>908</v>
      </c>
      <c r="C86" s="113" t="s">
        <v>540</v>
      </c>
      <c r="D86" s="113" t="s">
        <v>592</v>
      </c>
      <c r="E86" s="113" t="s">
        <v>1372</v>
      </c>
      <c r="F86" s="113" t="s">
        <v>707</v>
      </c>
      <c r="G86" s="113" t="s">
        <v>1101</v>
      </c>
      <c r="H86" s="113" t="s">
        <v>593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8.2531739996714287E-2</v>
      </c>
      <c r="AV86" s="622"/>
    </row>
    <row r="87" spans="2:48" x14ac:dyDescent="0.25">
      <c r="B87" s="620" t="s">
        <v>908</v>
      </c>
      <c r="C87" s="113" t="s">
        <v>540</v>
      </c>
      <c r="D87" s="113" t="s">
        <v>592</v>
      </c>
      <c r="E87" s="113" t="s">
        <v>1372</v>
      </c>
      <c r="F87" s="113" t="s">
        <v>707</v>
      </c>
      <c r="G87" s="113" t="s">
        <v>1101</v>
      </c>
      <c r="H87" s="113" t="s">
        <v>594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8.3357057396681436E-2</v>
      </c>
    </row>
    <row r="88" spans="2:48" x14ac:dyDescent="0.25">
      <c r="B88" s="620" t="s">
        <v>908</v>
      </c>
      <c r="C88" s="113" t="s">
        <v>540</v>
      </c>
      <c r="D88" s="113" t="s">
        <v>1337</v>
      </c>
      <c r="E88" s="113" t="s">
        <v>1372</v>
      </c>
      <c r="F88" s="113" t="s">
        <v>707</v>
      </c>
      <c r="G88" s="113" t="s">
        <v>1101</v>
      </c>
      <c r="H88" s="113" t="s">
        <v>593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908</v>
      </c>
      <c r="C89" s="113" t="s">
        <v>540</v>
      </c>
      <c r="D89" s="113" t="s">
        <v>1337</v>
      </c>
      <c r="E89" s="113" t="s">
        <v>1372</v>
      </c>
      <c r="F89" s="113" t="s">
        <v>707</v>
      </c>
      <c r="G89" s="113" t="s">
        <v>1101</v>
      </c>
      <c r="H89" s="113" t="s">
        <v>594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908</v>
      </c>
      <c r="C90" s="113" t="s">
        <v>541</v>
      </c>
      <c r="D90" s="113" t="s">
        <v>39</v>
      </c>
      <c r="E90" s="113" t="s">
        <v>1376</v>
      </c>
      <c r="F90" s="113" t="s">
        <v>707</v>
      </c>
      <c r="G90" s="113" t="s">
        <v>1101</v>
      </c>
      <c r="H90" s="113" t="s">
        <v>1102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908</v>
      </c>
      <c r="C91" s="113" t="s">
        <v>541</v>
      </c>
      <c r="D91" s="113" t="s">
        <v>592</v>
      </c>
      <c r="E91" s="113" t="s">
        <v>1376</v>
      </c>
      <c r="F91" s="113" t="s">
        <v>707</v>
      </c>
      <c r="G91" s="113" t="s">
        <v>1101</v>
      </c>
      <c r="H91" s="113" t="s">
        <v>1102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908</v>
      </c>
      <c r="C92" s="113" t="s">
        <v>541</v>
      </c>
      <c r="D92" s="113" t="s">
        <v>1337</v>
      </c>
      <c r="E92" s="113" t="s">
        <v>1376</v>
      </c>
      <c r="F92" s="113" t="s">
        <v>707</v>
      </c>
      <c r="G92" s="113" t="s">
        <v>1101</v>
      </c>
      <c r="H92" s="113" t="s">
        <v>1102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908</v>
      </c>
      <c r="C93" s="113" t="s">
        <v>179</v>
      </c>
      <c r="D93" s="113" t="s">
        <v>43</v>
      </c>
      <c r="E93" s="113" t="s">
        <v>1368</v>
      </c>
      <c r="F93" s="113" t="s">
        <v>707</v>
      </c>
      <c r="G93" s="113" t="s">
        <v>1101</v>
      </c>
      <c r="H93" s="113" t="s">
        <v>1102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908</v>
      </c>
      <c r="C94" s="113" t="s">
        <v>179</v>
      </c>
      <c r="D94" s="113" t="s">
        <v>40</v>
      </c>
      <c r="E94" s="113" t="s">
        <v>1368</v>
      </c>
      <c r="F94" s="113" t="s">
        <v>707</v>
      </c>
      <c r="G94" s="113" t="s">
        <v>1101</v>
      </c>
      <c r="H94" s="113" t="s">
        <v>1102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908</v>
      </c>
      <c r="C95" s="113" t="s">
        <v>179</v>
      </c>
      <c r="D95" s="113" t="s">
        <v>39</v>
      </c>
      <c r="E95" s="113" t="s">
        <v>1368</v>
      </c>
      <c r="F95" s="113" t="s">
        <v>707</v>
      </c>
      <c r="G95" s="113" t="s">
        <v>1101</v>
      </c>
      <c r="H95" s="113" t="s">
        <v>1102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908</v>
      </c>
      <c r="C96" s="113" t="s">
        <v>179</v>
      </c>
      <c r="D96" s="113" t="s">
        <v>592</v>
      </c>
      <c r="E96" s="113" t="s">
        <v>1368</v>
      </c>
      <c r="F96" s="113" t="s">
        <v>707</v>
      </c>
      <c r="G96" s="113" t="s">
        <v>1101</v>
      </c>
      <c r="H96" s="113" t="s">
        <v>1102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908</v>
      </c>
      <c r="C97" s="113" t="s">
        <v>179</v>
      </c>
      <c r="D97" s="113" t="s">
        <v>1337</v>
      </c>
      <c r="E97" s="113" t="s">
        <v>1368</v>
      </c>
      <c r="F97" s="113" t="s">
        <v>707</v>
      </c>
      <c r="G97" s="113" t="s">
        <v>1101</v>
      </c>
      <c r="H97" s="113" t="s">
        <v>1102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908</v>
      </c>
      <c r="C98" s="113" t="s">
        <v>181</v>
      </c>
      <c r="D98" s="113" t="s">
        <v>40</v>
      </c>
      <c r="E98" s="113" t="s">
        <v>1360</v>
      </c>
      <c r="F98" s="113" t="s">
        <v>707</v>
      </c>
      <c r="G98" s="113" t="s">
        <v>1101</v>
      </c>
      <c r="H98" s="113" t="s">
        <v>593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>
        <f>IF(IF(H98="UP",J98+0.1,IF(H98="LO",J98-0.1,J98))&lt;0,0,IF(H98="UP",J98+0.1,IF(H98="LO",J98-0.1,J98)))</f>
        <v>0.15</v>
      </c>
    </row>
    <row r="99" spans="2:48" x14ac:dyDescent="0.25">
      <c r="B99" s="620" t="s">
        <v>908</v>
      </c>
      <c r="C99" s="113" t="s">
        <v>181</v>
      </c>
      <c r="D99" s="113" t="s">
        <v>40</v>
      </c>
      <c r="E99" s="113" t="s">
        <v>1360</v>
      </c>
      <c r="F99" s="113" t="s">
        <v>707</v>
      </c>
      <c r="G99" s="113" t="s">
        <v>1101</v>
      </c>
      <c r="H99" s="113" t="s">
        <v>594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908</v>
      </c>
      <c r="C100" s="113" t="s">
        <v>181</v>
      </c>
      <c r="D100" s="113" t="s">
        <v>39</v>
      </c>
      <c r="E100" s="113" t="s">
        <v>1360</v>
      </c>
      <c r="F100" s="113" t="s">
        <v>707</v>
      </c>
      <c r="G100" s="113" t="s">
        <v>1101</v>
      </c>
      <c r="H100" s="113" t="s">
        <v>1102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908</v>
      </c>
      <c r="C101" s="113" t="s">
        <v>181</v>
      </c>
      <c r="D101" s="113" t="s">
        <v>592</v>
      </c>
      <c r="E101" s="113" t="s">
        <v>1360</v>
      </c>
      <c r="F101" s="113" t="s">
        <v>707</v>
      </c>
      <c r="G101" s="113" t="s">
        <v>1101</v>
      </c>
      <c r="H101" s="113" t="s">
        <v>593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908</v>
      </c>
      <c r="C102" s="113" t="s">
        <v>181</v>
      </c>
      <c r="D102" s="113" t="s">
        <v>592</v>
      </c>
      <c r="E102" s="113" t="s">
        <v>1360</v>
      </c>
      <c r="F102" s="113" t="s">
        <v>707</v>
      </c>
      <c r="G102" s="113" t="s">
        <v>1101</v>
      </c>
      <c r="H102" s="113" t="s">
        <v>594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>
        <f>IF(IF(H102="UP",J102+0.1,IF(H102="LO",J102-0.1,J102))&lt;0,0,IF(H102="UP",J102+0.1,IF(H102="LO",J102-0.1,J102)))</f>
        <v>0.1</v>
      </c>
    </row>
    <row r="103" spans="2:48" x14ac:dyDescent="0.25">
      <c r="B103" s="620" t="s">
        <v>908</v>
      </c>
      <c r="C103" s="113" t="s">
        <v>181</v>
      </c>
      <c r="D103" s="113" t="s">
        <v>1337</v>
      </c>
      <c r="E103" s="113" t="s">
        <v>1360</v>
      </c>
      <c r="F103" s="113" t="s">
        <v>707</v>
      </c>
      <c r="G103" s="113" t="s">
        <v>1101</v>
      </c>
      <c r="H103" s="113" t="s">
        <v>593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908</v>
      </c>
      <c r="C104" s="113" t="s">
        <v>181</v>
      </c>
      <c r="D104" s="113" t="s">
        <v>1337</v>
      </c>
      <c r="E104" s="113" t="s">
        <v>1360</v>
      </c>
      <c r="F104" s="113" t="s">
        <v>707</v>
      </c>
      <c r="G104" s="113" t="s">
        <v>1101</v>
      </c>
      <c r="H104" s="113" t="s">
        <v>594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>
        <f>IF(IF(H104="UP",J104+0.1,IF(H104="LO",J104-0.1,J104))&lt;0,0,IF(H104="UP",J104+0.1,IF(H104="LO",J104-0.1,J104)))</f>
        <v>0.1</v>
      </c>
    </row>
    <row r="105" spans="2:48" x14ac:dyDescent="0.25">
      <c r="B105" s="620" t="s">
        <v>908</v>
      </c>
      <c r="C105" s="113" t="s">
        <v>542</v>
      </c>
      <c r="D105" s="113" t="s">
        <v>40</v>
      </c>
      <c r="E105" s="113" t="s">
        <v>1356</v>
      </c>
      <c r="F105" s="113" t="s">
        <v>707</v>
      </c>
      <c r="G105" s="113" t="s">
        <v>1101</v>
      </c>
      <c r="H105" s="113" t="s">
        <v>593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908</v>
      </c>
      <c r="C106" s="113" t="s">
        <v>542</v>
      </c>
      <c r="D106" s="113" t="s">
        <v>40</v>
      </c>
      <c r="E106" s="113" t="s">
        <v>1356</v>
      </c>
      <c r="F106" s="113" t="s">
        <v>707</v>
      </c>
      <c r="G106" s="113" t="s">
        <v>1101</v>
      </c>
      <c r="H106" s="113" t="s">
        <v>594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908</v>
      </c>
      <c r="C107" s="113" t="s">
        <v>542</v>
      </c>
      <c r="D107" s="113" t="s">
        <v>39</v>
      </c>
      <c r="E107" s="113" t="s">
        <v>1356</v>
      </c>
      <c r="F107" s="113" t="s">
        <v>707</v>
      </c>
      <c r="G107" s="113" t="s">
        <v>1101</v>
      </c>
      <c r="H107" s="113" t="s">
        <v>1102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908</v>
      </c>
      <c r="C108" s="113" t="s">
        <v>542</v>
      </c>
      <c r="D108" s="113" t="s">
        <v>592</v>
      </c>
      <c r="E108" s="113" t="s">
        <v>1356</v>
      </c>
      <c r="F108" s="113" t="s">
        <v>707</v>
      </c>
      <c r="G108" s="113" t="s">
        <v>1101</v>
      </c>
      <c r="H108" s="113" t="s">
        <v>593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908</v>
      </c>
      <c r="C109" s="113" t="s">
        <v>542</v>
      </c>
      <c r="D109" s="113" t="s">
        <v>592</v>
      </c>
      <c r="E109" s="113" t="s">
        <v>1356</v>
      </c>
      <c r="F109" s="113" t="s">
        <v>707</v>
      </c>
      <c r="G109" s="113" t="s">
        <v>1101</v>
      </c>
      <c r="H109" s="113" t="s">
        <v>594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908</v>
      </c>
      <c r="C110" s="113" t="s">
        <v>542</v>
      </c>
      <c r="D110" s="113" t="s">
        <v>1337</v>
      </c>
      <c r="E110" s="113" t="s">
        <v>1356</v>
      </c>
      <c r="F110" s="113" t="s">
        <v>707</v>
      </c>
      <c r="G110" s="113" t="s">
        <v>1101</v>
      </c>
      <c r="H110" s="113" t="s">
        <v>593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908</v>
      </c>
      <c r="C111" s="620" t="s">
        <v>542</v>
      </c>
      <c r="D111" s="620" t="s">
        <v>1337</v>
      </c>
      <c r="E111" s="620" t="s">
        <v>1356</v>
      </c>
      <c r="F111" s="620" t="s">
        <v>707</v>
      </c>
      <c r="G111" s="620" t="s">
        <v>1101</v>
      </c>
      <c r="H111" s="620" t="s">
        <v>594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1453</v>
      </c>
      <c r="C112" s="113" t="s">
        <v>170</v>
      </c>
      <c r="D112" s="113" t="s">
        <v>707</v>
      </c>
      <c r="E112" s="113" t="s">
        <v>707</v>
      </c>
      <c r="F112" s="113" t="s">
        <v>707</v>
      </c>
      <c r="G112" s="113" t="s">
        <v>1101</v>
      </c>
      <c r="H112" s="113" t="s">
        <v>1102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1453</v>
      </c>
      <c r="C113" s="113" t="s">
        <v>172</v>
      </c>
      <c r="D113" s="113" t="s">
        <v>707</v>
      </c>
      <c r="E113" s="113" t="s">
        <v>707</v>
      </c>
      <c r="F113" s="113" t="s">
        <v>707</v>
      </c>
      <c r="G113" s="113" t="s">
        <v>1101</v>
      </c>
      <c r="H113" s="113" t="s">
        <v>1102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AN113" s="622"/>
    </row>
    <row r="114" spans="2:40" x14ac:dyDescent="0.25">
      <c r="B114" s="620" t="s">
        <v>1453</v>
      </c>
      <c r="C114" s="113" t="s">
        <v>175</v>
      </c>
      <c r="D114" s="113" t="s">
        <v>707</v>
      </c>
      <c r="E114" s="113" t="s">
        <v>707</v>
      </c>
      <c r="F114" s="113" t="s">
        <v>707</v>
      </c>
      <c r="G114" s="113" t="s">
        <v>1101</v>
      </c>
      <c r="H114" s="113" t="s">
        <v>1102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1453</v>
      </c>
      <c r="C115" s="113" t="s">
        <v>179</v>
      </c>
      <c r="D115" s="113" t="s">
        <v>707</v>
      </c>
      <c r="E115" s="113" t="s">
        <v>707</v>
      </c>
      <c r="F115" s="113" t="s">
        <v>707</v>
      </c>
      <c r="G115" s="113" t="s">
        <v>1101</v>
      </c>
      <c r="H115" s="113" t="s">
        <v>1102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1453</v>
      </c>
      <c r="C116" s="113" t="s">
        <v>181</v>
      </c>
      <c r="D116" s="113" t="s">
        <v>707</v>
      </c>
      <c r="E116" s="113" t="s">
        <v>707</v>
      </c>
      <c r="F116" s="113" t="s">
        <v>707</v>
      </c>
      <c r="G116" s="113" t="s">
        <v>1101</v>
      </c>
      <c r="H116" s="113" t="s">
        <v>1102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979</v>
      </c>
      <c r="C117" s="113" t="s">
        <v>170</v>
      </c>
      <c r="D117" s="113" t="s">
        <v>707</v>
      </c>
      <c r="E117" s="113" t="s">
        <v>707</v>
      </c>
      <c r="F117" s="113" t="s">
        <v>707</v>
      </c>
      <c r="G117" s="113" t="s">
        <v>707</v>
      </c>
      <c r="H117" s="113" t="s">
        <v>594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979</v>
      </c>
      <c r="C118" s="113" t="s">
        <v>172</v>
      </c>
      <c r="D118" s="113" t="s">
        <v>707</v>
      </c>
      <c r="E118" s="113" t="s">
        <v>707</v>
      </c>
      <c r="F118" s="113" t="s">
        <v>707</v>
      </c>
      <c r="G118" s="113" t="s">
        <v>707</v>
      </c>
      <c r="H118" s="113" t="s">
        <v>594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979</v>
      </c>
      <c r="C119" s="113" t="s">
        <v>175</v>
      </c>
      <c r="D119" s="113" t="s">
        <v>707</v>
      </c>
      <c r="E119" s="113" t="s">
        <v>707</v>
      </c>
      <c r="F119" s="113" t="s">
        <v>707</v>
      </c>
      <c r="G119" s="113" t="s">
        <v>707</v>
      </c>
      <c r="H119" s="113" t="s">
        <v>594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979</v>
      </c>
      <c r="C120" s="113" t="s">
        <v>179</v>
      </c>
      <c r="D120" s="113" t="s">
        <v>707</v>
      </c>
      <c r="E120" s="113" t="s">
        <v>707</v>
      </c>
      <c r="F120" s="113" t="s">
        <v>707</v>
      </c>
      <c r="G120" s="113" t="s">
        <v>707</v>
      </c>
      <c r="H120" s="113" t="s">
        <v>594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979</v>
      </c>
      <c r="C121" s="113" t="s">
        <v>181</v>
      </c>
      <c r="D121" s="113" t="s">
        <v>707</v>
      </c>
      <c r="E121" s="113" t="s">
        <v>707</v>
      </c>
      <c r="F121" s="113" t="s">
        <v>707</v>
      </c>
      <c r="G121" s="113" t="s">
        <v>707</v>
      </c>
      <c r="H121" s="113" t="s">
        <v>594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979</v>
      </c>
      <c r="C122" s="113" t="s">
        <v>170</v>
      </c>
      <c r="D122" s="113" t="s">
        <v>707</v>
      </c>
      <c r="E122" s="113" t="s">
        <v>707</v>
      </c>
      <c r="F122" s="113" t="s">
        <v>707</v>
      </c>
      <c r="G122" s="113" t="s">
        <v>707</v>
      </c>
      <c r="H122" s="113" t="s">
        <v>593</v>
      </c>
      <c r="I122" s="113">
        <v>5</v>
      </c>
      <c r="J122" s="113">
        <v>0</v>
      </c>
      <c r="O122" s="623">
        <f>J122</f>
        <v>0</v>
      </c>
      <c r="S122" s="623">
        <f>SUMIFS('Iron &amp; Steel'!$V$13:$V$17,'Iron &amp; Steel'!$L$13:$L$17,'IS-TSData'!C122)</f>
        <v>0</v>
      </c>
      <c r="AN122" s="622"/>
    </row>
    <row r="123" spans="2:40" ht="18" customHeight="1" x14ac:dyDescent="0.25">
      <c r="B123" s="620" t="s">
        <v>979</v>
      </c>
      <c r="C123" s="113" t="s">
        <v>172</v>
      </c>
      <c r="D123" s="113" t="s">
        <v>707</v>
      </c>
      <c r="E123" s="113" t="s">
        <v>707</v>
      </c>
      <c r="F123" s="113" t="s">
        <v>707</v>
      </c>
      <c r="G123" s="113" t="s">
        <v>707</v>
      </c>
      <c r="H123" s="113" t="s">
        <v>593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979</v>
      </c>
      <c r="C124" s="113" t="s">
        <v>175</v>
      </c>
      <c r="D124" s="113" t="s">
        <v>707</v>
      </c>
      <c r="E124" s="113" t="s">
        <v>707</v>
      </c>
      <c r="F124" s="113" t="s">
        <v>707</v>
      </c>
      <c r="G124" s="113" t="s">
        <v>707</v>
      </c>
      <c r="H124" s="113" t="s">
        <v>593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979</v>
      </c>
      <c r="C125" s="113" t="s">
        <v>179</v>
      </c>
      <c r="D125" s="113" t="s">
        <v>707</v>
      </c>
      <c r="E125" s="113" t="s">
        <v>707</v>
      </c>
      <c r="F125" s="113" t="s">
        <v>707</v>
      </c>
      <c r="G125" s="113" t="s">
        <v>707</v>
      </c>
      <c r="H125" s="113" t="s">
        <v>593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979</v>
      </c>
      <c r="C126" s="113" t="s">
        <v>181</v>
      </c>
      <c r="D126" s="113" t="s">
        <v>707</v>
      </c>
      <c r="E126" s="113" t="s">
        <v>707</v>
      </c>
      <c r="F126" s="113" t="s">
        <v>707</v>
      </c>
      <c r="G126" s="113" t="s">
        <v>707</v>
      </c>
      <c r="H126" s="113" t="s">
        <v>593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979</v>
      </c>
      <c r="C127" s="113" t="s">
        <v>1306</v>
      </c>
      <c r="D127" s="113" t="s">
        <v>707</v>
      </c>
      <c r="E127" s="113" t="s">
        <v>707</v>
      </c>
      <c r="F127" s="113" t="s">
        <v>707</v>
      </c>
      <c r="G127" s="113" t="s">
        <v>707</v>
      </c>
      <c r="H127" s="113" t="s">
        <v>594</v>
      </c>
      <c r="I127" s="113">
        <v>0</v>
      </c>
      <c r="J127" s="113">
        <v>1</v>
      </c>
    </row>
    <row r="128" spans="2:40" x14ac:dyDescent="0.25">
      <c r="B128" s="113" t="s">
        <v>979</v>
      </c>
      <c r="C128" s="113" t="s">
        <v>1304</v>
      </c>
      <c r="D128" s="113" t="s">
        <v>707</v>
      </c>
      <c r="E128" s="113" t="s">
        <v>707</v>
      </c>
      <c r="F128" s="113" t="s">
        <v>707</v>
      </c>
      <c r="G128" s="113" t="s">
        <v>707</v>
      </c>
      <c r="H128" s="113" t="s">
        <v>594</v>
      </c>
      <c r="I128" s="113">
        <v>0</v>
      </c>
      <c r="J128" s="113">
        <v>1</v>
      </c>
    </row>
    <row r="129" spans="2:10" x14ac:dyDescent="0.25">
      <c r="B129" s="113" t="s">
        <v>979</v>
      </c>
      <c r="C129" s="113" t="s">
        <v>539</v>
      </c>
      <c r="D129" s="113" t="s">
        <v>707</v>
      </c>
      <c r="E129" s="113" t="s">
        <v>707</v>
      </c>
      <c r="F129" s="113" t="s">
        <v>707</v>
      </c>
      <c r="G129" s="113" t="s">
        <v>707</v>
      </c>
      <c r="H129" s="113" t="s">
        <v>594</v>
      </c>
      <c r="I129" s="113">
        <v>0</v>
      </c>
      <c r="J129" s="113">
        <v>0.85</v>
      </c>
    </row>
    <row r="130" spans="2:10" x14ac:dyDescent="0.25">
      <c r="B130" s="113" t="s">
        <v>979</v>
      </c>
      <c r="C130" s="113" t="s">
        <v>1300</v>
      </c>
      <c r="D130" s="113" t="s">
        <v>707</v>
      </c>
      <c r="E130" s="113" t="s">
        <v>707</v>
      </c>
      <c r="F130" s="113" t="s">
        <v>707</v>
      </c>
      <c r="G130" s="113" t="s">
        <v>707</v>
      </c>
      <c r="H130" s="113" t="s">
        <v>594</v>
      </c>
      <c r="I130" s="113">
        <v>0</v>
      </c>
      <c r="J130" s="113">
        <v>1</v>
      </c>
    </row>
    <row r="131" spans="2:10" x14ac:dyDescent="0.25">
      <c r="B131" s="113" t="s">
        <v>979</v>
      </c>
      <c r="C131" s="113" t="s">
        <v>1298</v>
      </c>
      <c r="D131" s="113" t="s">
        <v>707</v>
      </c>
      <c r="E131" s="113" t="s">
        <v>707</v>
      </c>
      <c r="F131" s="113" t="s">
        <v>707</v>
      </c>
      <c r="G131" s="113" t="s">
        <v>707</v>
      </c>
      <c r="H131" s="113" t="s">
        <v>594</v>
      </c>
      <c r="I131" s="113">
        <v>0</v>
      </c>
      <c r="J131" s="113">
        <v>1</v>
      </c>
    </row>
    <row r="132" spans="2:10" x14ac:dyDescent="0.25">
      <c r="B132" s="113" t="s">
        <v>979</v>
      </c>
      <c r="C132" s="113" t="s">
        <v>1293</v>
      </c>
      <c r="D132" s="113" t="s">
        <v>707</v>
      </c>
      <c r="E132" s="113" t="s">
        <v>707</v>
      </c>
      <c r="F132" s="113" t="s">
        <v>707</v>
      </c>
      <c r="G132" s="113" t="s">
        <v>707</v>
      </c>
      <c r="H132" s="113" t="s">
        <v>594</v>
      </c>
      <c r="I132" s="113">
        <v>0</v>
      </c>
      <c r="J132" s="113">
        <v>1</v>
      </c>
    </row>
    <row r="133" spans="2:10" x14ac:dyDescent="0.25">
      <c r="B133" s="113" t="s">
        <v>979</v>
      </c>
      <c r="C133" s="113" t="s">
        <v>1291</v>
      </c>
      <c r="D133" s="113" t="s">
        <v>707</v>
      </c>
      <c r="E133" s="113" t="s">
        <v>707</v>
      </c>
      <c r="F133" s="113" t="s">
        <v>707</v>
      </c>
      <c r="G133" s="113" t="s">
        <v>707</v>
      </c>
      <c r="H133" s="113" t="s">
        <v>594</v>
      </c>
      <c r="I133" s="113">
        <v>0</v>
      </c>
      <c r="J133" s="113">
        <v>1</v>
      </c>
    </row>
    <row r="134" spans="2:10" x14ac:dyDescent="0.25">
      <c r="B134" s="113" t="s">
        <v>979</v>
      </c>
      <c r="C134" s="113" t="s">
        <v>540</v>
      </c>
      <c r="D134" s="113" t="s">
        <v>707</v>
      </c>
      <c r="E134" s="113" t="s">
        <v>707</v>
      </c>
      <c r="F134" s="113" t="s">
        <v>707</v>
      </c>
      <c r="G134" s="113" t="s">
        <v>707</v>
      </c>
      <c r="H134" s="113" t="s">
        <v>594</v>
      </c>
      <c r="I134" s="113">
        <v>0</v>
      </c>
      <c r="J134" s="113">
        <v>0.85</v>
      </c>
    </row>
    <row r="135" spans="2:10" x14ac:dyDescent="0.25">
      <c r="B135" s="113" t="s">
        <v>979</v>
      </c>
      <c r="C135" s="113" t="s">
        <v>541</v>
      </c>
      <c r="D135" s="113" t="s">
        <v>707</v>
      </c>
      <c r="E135" s="113" t="s">
        <v>707</v>
      </c>
      <c r="F135" s="113" t="s">
        <v>707</v>
      </c>
      <c r="G135" s="113" t="s">
        <v>707</v>
      </c>
      <c r="H135" s="113" t="s">
        <v>594</v>
      </c>
      <c r="I135" s="113">
        <v>0</v>
      </c>
      <c r="J135" s="113">
        <v>0.85</v>
      </c>
    </row>
    <row r="136" spans="2:10" x14ac:dyDescent="0.25">
      <c r="B136" s="113" t="s">
        <v>979</v>
      </c>
      <c r="C136" s="113" t="s">
        <v>1286</v>
      </c>
      <c r="D136" s="113" t="s">
        <v>707</v>
      </c>
      <c r="E136" s="113" t="s">
        <v>707</v>
      </c>
      <c r="F136" s="113" t="s">
        <v>707</v>
      </c>
      <c r="G136" s="113" t="s">
        <v>707</v>
      </c>
      <c r="H136" s="113" t="s">
        <v>594</v>
      </c>
      <c r="I136" s="113">
        <v>0</v>
      </c>
      <c r="J136" s="113">
        <v>1</v>
      </c>
    </row>
    <row r="137" spans="2:10" x14ac:dyDescent="0.25">
      <c r="B137" s="113" t="s">
        <v>979</v>
      </c>
      <c r="C137" s="113" t="s">
        <v>1284</v>
      </c>
      <c r="D137" s="113" t="s">
        <v>707</v>
      </c>
      <c r="E137" s="113" t="s">
        <v>707</v>
      </c>
      <c r="F137" s="113" t="s">
        <v>707</v>
      </c>
      <c r="G137" s="113" t="s">
        <v>707</v>
      </c>
      <c r="H137" s="113" t="s">
        <v>594</v>
      </c>
      <c r="I137" s="113">
        <v>0</v>
      </c>
      <c r="J137" s="113">
        <v>1</v>
      </c>
    </row>
    <row r="138" spans="2:10" x14ac:dyDescent="0.25">
      <c r="B138" s="113" t="s">
        <v>979</v>
      </c>
      <c r="C138" s="113" t="s">
        <v>1281</v>
      </c>
      <c r="D138" s="113" t="s">
        <v>707</v>
      </c>
      <c r="E138" s="113" t="s">
        <v>707</v>
      </c>
      <c r="F138" s="113" t="s">
        <v>707</v>
      </c>
      <c r="G138" s="113" t="s">
        <v>707</v>
      </c>
      <c r="H138" s="113" t="s">
        <v>594</v>
      </c>
      <c r="I138" s="113">
        <v>0</v>
      </c>
      <c r="J138" s="113">
        <v>1</v>
      </c>
    </row>
    <row r="139" spans="2:10" x14ac:dyDescent="0.25">
      <c r="B139" s="113" t="s">
        <v>979</v>
      </c>
      <c r="C139" s="113" t="s">
        <v>1279</v>
      </c>
      <c r="D139" s="113" t="s">
        <v>707</v>
      </c>
      <c r="E139" s="113" t="s">
        <v>707</v>
      </c>
      <c r="F139" s="113" t="s">
        <v>707</v>
      </c>
      <c r="G139" s="113" t="s">
        <v>707</v>
      </c>
      <c r="H139" s="113" t="s">
        <v>594</v>
      </c>
      <c r="I139" s="113">
        <v>0</v>
      </c>
      <c r="J139" s="113">
        <v>1</v>
      </c>
    </row>
    <row r="140" spans="2:10" x14ac:dyDescent="0.25">
      <c r="B140" s="113" t="s">
        <v>979</v>
      </c>
      <c r="C140" s="113" t="s">
        <v>542</v>
      </c>
      <c r="D140" s="113" t="s">
        <v>707</v>
      </c>
      <c r="E140" s="113" t="s">
        <v>707</v>
      </c>
      <c r="F140" s="113" t="s">
        <v>707</v>
      </c>
      <c r="G140" s="113" t="s">
        <v>707</v>
      </c>
      <c r="H140" s="113" t="s">
        <v>594</v>
      </c>
      <c r="I140" s="113">
        <v>0</v>
      </c>
      <c r="J140" s="113">
        <v>0.85</v>
      </c>
    </row>
    <row r="141" spans="2:10" x14ac:dyDescent="0.25">
      <c r="B141" s="113" t="s">
        <v>979</v>
      </c>
      <c r="C141" s="113" t="s">
        <v>1276</v>
      </c>
      <c r="D141" s="113" t="s">
        <v>707</v>
      </c>
      <c r="E141" s="113" t="s">
        <v>707</v>
      </c>
      <c r="F141" s="113" t="s">
        <v>707</v>
      </c>
      <c r="G141" s="113" t="s">
        <v>707</v>
      </c>
      <c r="H141" s="113" t="s">
        <v>594</v>
      </c>
      <c r="I141" s="113">
        <v>0</v>
      </c>
      <c r="J141" s="113">
        <v>1</v>
      </c>
    </row>
    <row r="142" spans="2:10" x14ac:dyDescent="0.25">
      <c r="B142" s="113" t="s">
        <v>979</v>
      </c>
      <c r="C142" s="113" t="s">
        <v>1270</v>
      </c>
      <c r="D142" s="113" t="s">
        <v>707</v>
      </c>
      <c r="E142" s="113" t="s">
        <v>707</v>
      </c>
      <c r="F142" s="113" t="s">
        <v>707</v>
      </c>
      <c r="G142" s="113" t="s">
        <v>707</v>
      </c>
      <c r="H142" s="113" t="s">
        <v>594</v>
      </c>
      <c r="I142" s="113">
        <v>0</v>
      </c>
      <c r="J142" s="113">
        <v>1</v>
      </c>
    </row>
    <row r="143" spans="2:10" x14ac:dyDescent="0.25">
      <c r="B143" s="113" t="s">
        <v>979</v>
      </c>
      <c r="C143" s="113" t="s">
        <v>1268</v>
      </c>
      <c r="D143" s="113" t="s">
        <v>707</v>
      </c>
      <c r="E143" s="113" t="s">
        <v>707</v>
      </c>
      <c r="F143" s="113" t="s">
        <v>707</v>
      </c>
      <c r="G143" s="113" t="s">
        <v>707</v>
      </c>
      <c r="H143" s="113" t="s">
        <v>594</v>
      </c>
      <c r="I143" s="113">
        <v>0</v>
      </c>
      <c r="J143" s="113">
        <v>1</v>
      </c>
    </row>
    <row r="144" spans="2:10" x14ac:dyDescent="0.25">
      <c r="B144" s="113" t="s">
        <v>979</v>
      </c>
      <c r="C144" s="113" t="s">
        <v>1266</v>
      </c>
      <c r="D144" s="113" t="s">
        <v>707</v>
      </c>
      <c r="E144" s="113" t="s">
        <v>707</v>
      </c>
      <c r="F144" s="113" t="s">
        <v>707</v>
      </c>
      <c r="G144" s="113" t="s">
        <v>707</v>
      </c>
      <c r="H144" s="113" t="s">
        <v>594</v>
      </c>
      <c r="I144" s="113">
        <v>0</v>
      </c>
      <c r="J144" s="113">
        <v>1</v>
      </c>
    </row>
    <row r="145" spans="2:10" x14ac:dyDescent="0.25">
      <c r="B145" s="113" t="s">
        <v>979</v>
      </c>
      <c r="C145" s="113" t="s">
        <v>1262</v>
      </c>
      <c r="D145" s="113" t="s">
        <v>707</v>
      </c>
      <c r="E145" s="113" t="s">
        <v>707</v>
      </c>
      <c r="F145" s="113" t="s">
        <v>707</v>
      </c>
      <c r="G145" s="113" t="s">
        <v>707</v>
      </c>
      <c r="H145" s="113" t="s">
        <v>594</v>
      </c>
      <c r="I145" s="113">
        <v>0</v>
      </c>
      <c r="J145" s="113">
        <v>1</v>
      </c>
    </row>
    <row r="146" spans="2:10" x14ac:dyDescent="0.25">
      <c r="B146" s="113" t="s">
        <v>1452</v>
      </c>
      <c r="C146" s="113" t="s">
        <v>170</v>
      </c>
      <c r="D146" s="113" t="s">
        <v>707</v>
      </c>
      <c r="E146" s="113" t="s">
        <v>707</v>
      </c>
      <c r="F146" s="113" t="s">
        <v>707</v>
      </c>
      <c r="G146" s="113" t="s">
        <v>707</v>
      </c>
      <c r="H146" s="113" t="s">
        <v>1102</v>
      </c>
      <c r="I146" s="113">
        <v>3</v>
      </c>
      <c r="J146" s="113">
        <v>0</v>
      </c>
    </row>
    <row r="147" spans="2:10" x14ac:dyDescent="0.25">
      <c r="B147" s="113" t="s">
        <v>1452</v>
      </c>
      <c r="C147" s="113" t="s">
        <v>172</v>
      </c>
      <c r="D147" s="113" t="s">
        <v>707</v>
      </c>
      <c r="E147" s="113" t="s">
        <v>707</v>
      </c>
      <c r="F147" s="113" t="s">
        <v>707</v>
      </c>
      <c r="G147" s="113" t="s">
        <v>707</v>
      </c>
      <c r="H147" s="113" t="s">
        <v>1102</v>
      </c>
      <c r="I147" s="113">
        <v>3</v>
      </c>
      <c r="J147" s="113">
        <v>0</v>
      </c>
    </row>
    <row r="148" spans="2:10" x14ac:dyDescent="0.25">
      <c r="B148" s="113" t="s">
        <v>1452</v>
      </c>
      <c r="C148" s="113" t="s">
        <v>175</v>
      </c>
      <c r="D148" s="113" t="s">
        <v>707</v>
      </c>
      <c r="E148" s="113" t="s">
        <v>707</v>
      </c>
      <c r="F148" s="113" t="s">
        <v>707</v>
      </c>
      <c r="G148" s="113" t="s">
        <v>707</v>
      </c>
      <c r="H148" s="113" t="s">
        <v>1102</v>
      </c>
      <c r="I148" s="113">
        <v>3</v>
      </c>
      <c r="J148" s="113">
        <v>0</v>
      </c>
    </row>
    <row r="149" spans="2:10" x14ac:dyDescent="0.25">
      <c r="B149" s="113" t="s">
        <v>1452</v>
      </c>
      <c r="C149" s="113" t="s">
        <v>179</v>
      </c>
      <c r="D149" s="113" t="s">
        <v>707</v>
      </c>
      <c r="E149" s="113" t="s">
        <v>707</v>
      </c>
      <c r="F149" s="113" t="s">
        <v>707</v>
      </c>
      <c r="G149" s="113" t="s">
        <v>707</v>
      </c>
      <c r="H149" s="113" t="s">
        <v>1102</v>
      </c>
      <c r="I149" s="113">
        <v>3</v>
      </c>
      <c r="J149" s="113">
        <v>0</v>
      </c>
    </row>
    <row r="150" spans="2:10" x14ac:dyDescent="0.25">
      <c r="B150" s="113" t="s">
        <v>1452</v>
      </c>
      <c r="C150" s="113" t="s">
        <v>181</v>
      </c>
      <c r="D150" s="113" t="s">
        <v>707</v>
      </c>
      <c r="E150" s="113" t="s">
        <v>707</v>
      </c>
      <c r="F150" s="113" t="s">
        <v>707</v>
      </c>
      <c r="G150" s="113" t="s">
        <v>707</v>
      </c>
      <c r="H150" s="113" t="s">
        <v>1102</v>
      </c>
      <c r="I150" s="113">
        <v>3</v>
      </c>
      <c r="J150" s="113">
        <v>0</v>
      </c>
    </row>
    <row r="151" spans="2:10" x14ac:dyDescent="0.25">
      <c r="B151" s="113" t="s">
        <v>1088</v>
      </c>
      <c r="C151" s="113" t="s">
        <v>1306</v>
      </c>
      <c r="D151" s="113" t="s">
        <v>707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1088</v>
      </c>
      <c r="C152" s="113" t="s">
        <v>1304</v>
      </c>
      <c r="D152" s="113" t="s">
        <v>707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1088</v>
      </c>
      <c r="C153" s="113" t="s">
        <v>539</v>
      </c>
      <c r="D153" s="113" t="s">
        <v>707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1088</v>
      </c>
      <c r="C154" s="113" t="s">
        <v>1300</v>
      </c>
      <c r="D154" s="113" t="s">
        <v>707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1088</v>
      </c>
      <c r="C155" s="113" t="s">
        <v>1298</v>
      </c>
      <c r="D155" s="113" t="s">
        <v>707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1088</v>
      </c>
      <c r="C156" s="113" t="s">
        <v>1293</v>
      </c>
      <c r="D156" s="113" t="s">
        <v>707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1088</v>
      </c>
      <c r="C157" s="113" t="s">
        <v>1291</v>
      </c>
      <c r="D157" s="113" t="s">
        <v>707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1088</v>
      </c>
      <c r="C158" s="113" t="s">
        <v>540</v>
      </c>
      <c r="D158" s="113" t="s">
        <v>707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1088</v>
      </c>
      <c r="C159" s="113" t="s">
        <v>541</v>
      </c>
      <c r="D159" s="113" t="s">
        <v>707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1088</v>
      </c>
      <c r="C160" s="113" t="s">
        <v>1286</v>
      </c>
      <c r="D160" s="113" t="s">
        <v>707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1088</v>
      </c>
      <c r="C161" s="113" t="s">
        <v>1284</v>
      </c>
      <c r="D161" s="113" t="s">
        <v>707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1088</v>
      </c>
      <c r="C162" s="113" t="s">
        <v>1281</v>
      </c>
      <c r="D162" s="113" t="s">
        <v>707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1088</v>
      </c>
      <c r="C163" s="113" t="s">
        <v>1279</v>
      </c>
      <c r="D163" s="113" t="s">
        <v>707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1088</v>
      </c>
      <c r="C164" s="113" t="s">
        <v>542</v>
      </c>
      <c r="D164" s="113" t="s">
        <v>707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1088</v>
      </c>
      <c r="C165" s="113" t="s">
        <v>1276</v>
      </c>
      <c r="D165" s="113" t="s">
        <v>707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1088</v>
      </c>
      <c r="C166" s="113" t="s">
        <v>1270</v>
      </c>
      <c r="D166" s="113" t="s">
        <v>707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1088</v>
      </c>
      <c r="C167" s="113" t="s">
        <v>1268</v>
      </c>
      <c r="D167" s="113" t="s">
        <v>707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1088</v>
      </c>
      <c r="C168" s="113" t="s">
        <v>1266</v>
      </c>
      <c r="D168" s="113" t="s">
        <v>707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1088</v>
      </c>
      <c r="C169" s="113" t="s">
        <v>1262</v>
      </c>
      <c r="D169" s="113" t="s">
        <v>707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1087</v>
      </c>
      <c r="C170" s="113" t="s">
        <v>540</v>
      </c>
      <c r="D170" s="113" t="s">
        <v>707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0</v>
      </c>
      <c r="J170" s="113">
        <v>5</v>
      </c>
    </row>
    <row r="171" spans="2:10" x14ac:dyDescent="0.25">
      <c r="B171" s="113" t="s">
        <v>1086</v>
      </c>
      <c r="C171" s="113" t="s">
        <v>170</v>
      </c>
      <c r="D171" s="113" t="s">
        <v>707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0</v>
      </c>
      <c r="J171" s="113">
        <v>25</v>
      </c>
    </row>
    <row r="172" spans="2:10" x14ac:dyDescent="0.25">
      <c r="B172" s="113" t="s">
        <v>1086</v>
      </c>
      <c r="C172" s="113" t="s">
        <v>1306</v>
      </c>
      <c r="D172" s="113" t="s">
        <v>707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0</v>
      </c>
      <c r="J172" s="113">
        <v>100</v>
      </c>
    </row>
    <row r="173" spans="2:10" x14ac:dyDescent="0.25">
      <c r="B173" s="113" t="s">
        <v>1086</v>
      </c>
      <c r="C173" s="113" t="s">
        <v>1304</v>
      </c>
      <c r="D173" s="113" t="s">
        <v>707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0</v>
      </c>
      <c r="J173" s="113">
        <v>100</v>
      </c>
    </row>
    <row r="174" spans="2:10" x14ac:dyDescent="0.25">
      <c r="B174" s="113" t="s">
        <v>1086</v>
      </c>
      <c r="C174" s="113" t="s">
        <v>539</v>
      </c>
      <c r="D174" s="113" t="s">
        <v>707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0</v>
      </c>
      <c r="J174" s="113">
        <v>25</v>
      </c>
    </row>
    <row r="175" spans="2:10" x14ac:dyDescent="0.25">
      <c r="B175" s="113" t="s">
        <v>1086</v>
      </c>
      <c r="C175" s="113" t="s">
        <v>172</v>
      </c>
      <c r="D175" s="113" t="s">
        <v>707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0</v>
      </c>
      <c r="J175" s="113">
        <v>25</v>
      </c>
    </row>
    <row r="176" spans="2:10" x14ac:dyDescent="0.25">
      <c r="B176" s="113" t="s">
        <v>1086</v>
      </c>
      <c r="C176" s="113" t="s">
        <v>1300</v>
      </c>
      <c r="D176" s="113" t="s">
        <v>707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0</v>
      </c>
      <c r="J176" s="113">
        <v>100</v>
      </c>
    </row>
    <row r="177" spans="2:10" x14ac:dyDescent="0.25">
      <c r="B177" s="113" t="s">
        <v>1086</v>
      </c>
      <c r="C177" s="113" t="s">
        <v>1298</v>
      </c>
      <c r="D177" s="113" t="s">
        <v>707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0</v>
      </c>
      <c r="J177" s="113">
        <v>100</v>
      </c>
    </row>
    <row r="178" spans="2:10" x14ac:dyDescent="0.25">
      <c r="B178" s="113" t="s">
        <v>1086</v>
      </c>
      <c r="C178" s="113" t="s">
        <v>175</v>
      </c>
      <c r="D178" s="113" t="s">
        <v>707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0</v>
      </c>
      <c r="J178" s="113">
        <v>25</v>
      </c>
    </row>
    <row r="179" spans="2:10" x14ac:dyDescent="0.25">
      <c r="B179" s="113" t="s">
        <v>1086</v>
      </c>
      <c r="C179" s="113" t="s">
        <v>1293</v>
      </c>
      <c r="D179" s="113" t="s">
        <v>707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0</v>
      </c>
      <c r="J179" s="113">
        <v>100</v>
      </c>
    </row>
    <row r="180" spans="2:10" x14ac:dyDescent="0.25">
      <c r="B180" s="113" t="s">
        <v>1086</v>
      </c>
      <c r="C180" s="113" t="s">
        <v>1291</v>
      </c>
      <c r="D180" s="113" t="s">
        <v>707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0</v>
      </c>
      <c r="J180" s="113">
        <v>100</v>
      </c>
    </row>
    <row r="181" spans="2:10" x14ac:dyDescent="0.25">
      <c r="B181" s="113" t="s">
        <v>1086</v>
      </c>
      <c r="C181" s="113" t="s">
        <v>540</v>
      </c>
      <c r="D181" s="113" t="s">
        <v>707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0</v>
      </c>
      <c r="J181" s="113">
        <v>25</v>
      </c>
    </row>
    <row r="182" spans="2:10" x14ac:dyDescent="0.25">
      <c r="B182" s="113" t="s">
        <v>1086</v>
      </c>
      <c r="C182" s="113" t="s">
        <v>541</v>
      </c>
      <c r="D182" s="113" t="s">
        <v>707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0</v>
      </c>
      <c r="J182" s="113">
        <v>25</v>
      </c>
    </row>
    <row r="183" spans="2:10" x14ac:dyDescent="0.25">
      <c r="B183" s="113" t="s">
        <v>1086</v>
      </c>
      <c r="C183" s="113" t="s">
        <v>179</v>
      </c>
      <c r="D183" s="113" t="s">
        <v>707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0</v>
      </c>
      <c r="J183" s="113">
        <v>25</v>
      </c>
    </row>
    <row r="184" spans="2:10" x14ac:dyDescent="0.25">
      <c r="B184" s="113" t="s">
        <v>1086</v>
      </c>
      <c r="C184" s="113" t="s">
        <v>1286</v>
      </c>
      <c r="D184" s="113" t="s">
        <v>707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0</v>
      </c>
      <c r="J184" s="113">
        <v>100</v>
      </c>
    </row>
    <row r="185" spans="2:10" x14ac:dyDescent="0.25">
      <c r="B185" s="113" t="s">
        <v>1086</v>
      </c>
      <c r="C185" s="113" t="s">
        <v>1284</v>
      </c>
      <c r="D185" s="113" t="s">
        <v>707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0</v>
      </c>
      <c r="J185" s="113">
        <v>100</v>
      </c>
    </row>
    <row r="186" spans="2:10" x14ac:dyDescent="0.25">
      <c r="B186" s="113" t="s">
        <v>1086</v>
      </c>
      <c r="C186" s="113" t="s">
        <v>181</v>
      </c>
      <c r="D186" s="113" t="s">
        <v>707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0</v>
      </c>
      <c r="J186" s="113">
        <v>25</v>
      </c>
    </row>
    <row r="187" spans="2:10" x14ac:dyDescent="0.25">
      <c r="B187" s="113" t="s">
        <v>1086</v>
      </c>
      <c r="C187" s="113" t="s">
        <v>1281</v>
      </c>
      <c r="D187" s="113" t="s">
        <v>707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0</v>
      </c>
      <c r="J187" s="113">
        <v>100</v>
      </c>
    </row>
    <row r="188" spans="2:10" x14ac:dyDescent="0.25">
      <c r="B188" s="113" t="s">
        <v>1086</v>
      </c>
      <c r="C188" s="113" t="s">
        <v>1279</v>
      </c>
      <c r="D188" s="113" t="s">
        <v>707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0</v>
      </c>
      <c r="J188" s="113">
        <v>100</v>
      </c>
    </row>
    <row r="189" spans="2:10" x14ac:dyDescent="0.25">
      <c r="B189" s="113" t="s">
        <v>1086</v>
      </c>
      <c r="C189" s="113" t="s">
        <v>542</v>
      </c>
      <c r="D189" s="113" t="s">
        <v>707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0</v>
      </c>
      <c r="J189" s="113">
        <v>25</v>
      </c>
    </row>
    <row r="190" spans="2:10" x14ac:dyDescent="0.25">
      <c r="B190" s="113" t="s">
        <v>1086</v>
      </c>
      <c r="C190" s="113" t="s">
        <v>1276</v>
      </c>
      <c r="D190" s="113" t="s">
        <v>707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0</v>
      </c>
      <c r="J190" s="113">
        <v>60</v>
      </c>
    </row>
    <row r="191" spans="2:10" x14ac:dyDescent="0.25">
      <c r="B191" s="113" t="s">
        <v>1086</v>
      </c>
      <c r="C191" s="113" t="s">
        <v>1270</v>
      </c>
      <c r="D191" s="113" t="s">
        <v>707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0</v>
      </c>
      <c r="J191" s="113">
        <v>60</v>
      </c>
    </row>
    <row r="192" spans="2:10" x14ac:dyDescent="0.25">
      <c r="B192" s="113" t="s">
        <v>1086</v>
      </c>
      <c r="C192" s="113" t="s">
        <v>1268</v>
      </c>
      <c r="D192" s="113" t="s">
        <v>707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0</v>
      </c>
      <c r="J192" s="113">
        <v>60</v>
      </c>
    </row>
    <row r="193" spans="2:10" x14ac:dyDescent="0.25">
      <c r="B193" s="113" t="s">
        <v>1086</v>
      </c>
      <c r="C193" s="113" t="s">
        <v>1266</v>
      </c>
      <c r="D193" s="113" t="s">
        <v>707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0</v>
      </c>
      <c r="J193" s="113">
        <v>60</v>
      </c>
    </row>
    <row r="194" spans="2:10" x14ac:dyDescent="0.25">
      <c r="B194" s="113" t="s">
        <v>1086</v>
      </c>
      <c r="C194" s="113" t="s">
        <v>1262</v>
      </c>
      <c r="D194" s="113" t="s">
        <v>707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0</v>
      </c>
      <c r="J194" s="113">
        <v>60</v>
      </c>
    </row>
    <row r="195" spans="2:10" x14ac:dyDescent="0.25">
      <c r="B195" s="113" t="s">
        <v>909</v>
      </c>
      <c r="C195" s="113" t="s">
        <v>170</v>
      </c>
      <c r="D195" s="113" t="s">
        <v>707</v>
      </c>
      <c r="E195" s="113" t="s">
        <v>41</v>
      </c>
      <c r="F195" s="113" t="s">
        <v>707</v>
      </c>
      <c r="G195" s="113" t="s">
        <v>707</v>
      </c>
      <c r="H195" s="113" t="s">
        <v>707</v>
      </c>
      <c r="I195" s="113">
        <v>0</v>
      </c>
      <c r="J195" s="113">
        <v>0.1</v>
      </c>
    </row>
    <row r="196" spans="2:10" x14ac:dyDescent="0.25">
      <c r="B196" s="113" t="s">
        <v>909</v>
      </c>
      <c r="C196" s="113" t="s">
        <v>1306</v>
      </c>
      <c r="D196" s="113" t="s">
        <v>707</v>
      </c>
      <c r="E196" s="113" t="s">
        <v>41</v>
      </c>
      <c r="F196" s="113" t="s">
        <v>707</v>
      </c>
      <c r="G196" s="113" t="s">
        <v>707</v>
      </c>
      <c r="H196" s="113" t="s">
        <v>707</v>
      </c>
      <c r="I196" s="113">
        <v>0</v>
      </c>
      <c r="J196" s="113">
        <v>0.1</v>
      </c>
    </row>
    <row r="197" spans="2:10" x14ac:dyDescent="0.25">
      <c r="B197" s="113" t="s">
        <v>909</v>
      </c>
      <c r="C197" s="113" t="s">
        <v>1304</v>
      </c>
      <c r="D197" s="113" t="s">
        <v>707</v>
      </c>
      <c r="E197" s="113" t="s">
        <v>41</v>
      </c>
      <c r="F197" s="113" t="s">
        <v>707</v>
      </c>
      <c r="G197" s="113" t="s">
        <v>707</v>
      </c>
      <c r="H197" s="113" t="s">
        <v>707</v>
      </c>
      <c r="I197" s="113">
        <v>0</v>
      </c>
      <c r="J197" s="113">
        <v>0.1</v>
      </c>
    </row>
    <row r="198" spans="2:10" x14ac:dyDescent="0.25">
      <c r="B198" s="113" t="s">
        <v>909</v>
      </c>
      <c r="C198" s="113" t="s">
        <v>539</v>
      </c>
      <c r="D198" s="113" t="s">
        <v>707</v>
      </c>
      <c r="E198" s="113" t="s">
        <v>41</v>
      </c>
      <c r="F198" s="113" t="s">
        <v>707</v>
      </c>
      <c r="G198" s="113" t="s">
        <v>707</v>
      </c>
      <c r="H198" s="113" t="s">
        <v>707</v>
      </c>
      <c r="I198" s="113">
        <v>0</v>
      </c>
      <c r="J198" s="113">
        <v>0.1</v>
      </c>
    </row>
    <row r="199" spans="2:10" x14ac:dyDescent="0.25">
      <c r="B199" s="113" t="s">
        <v>909</v>
      </c>
      <c r="C199" s="113" t="s">
        <v>172</v>
      </c>
      <c r="D199" s="113" t="s">
        <v>707</v>
      </c>
      <c r="E199" s="113" t="s">
        <v>41</v>
      </c>
      <c r="F199" s="113" t="s">
        <v>707</v>
      </c>
      <c r="G199" s="113" t="s">
        <v>707</v>
      </c>
      <c r="H199" s="113" t="s">
        <v>707</v>
      </c>
      <c r="I199" s="113">
        <v>0</v>
      </c>
      <c r="J199" s="113">
        <v>0.1</v>
      </c>
    </row>
    <row r="200" spans="2:10" x14ac:dyDescent="0.25">
      <c r="B200" s="113" t="s">
        <v>909</v>
      </c>
      <c r="C200" s="113" t="s">
        <v>1300</v>
      </c>
      <c r="D200" s="113" t="s">
        <v>707</v>
      </c>
      <c r="E200" s="113" t="s">
        <v>41</v>
      </c>
      <c r="F200" s="113" t="s">
        <v>707</v>
      </c>
      <c r="G200" s="113" t="s">
        <v>707</v>
      </c>
      <c r="H200" s="113" t="s">
        <v>707</v>
      </c>
      <c r="I200" s="113">
        <v>0</v>
      </c>
      <c r="J200" s="113">
        <v>0.1</v>
      </c>
    </row>
    <row r="201" spans="2:10" x14ac:dyDescent="0.25">
      <c r="B201" s="113" t="s">
        <v>909</v>
      </c>
      <c r="C201" s="113" t="s">
        <v>1298</v>
      </c>
      <c r="D201" s="113" t="s">
        <v>707</v>
      </c>
      <c r="E201" s="113" t="s">
        <v>41</v>
      </c>
      <c r="F201" s="113" t="s">
        <v>707</v>
      </c>
      <c r="G201" s="113" t="s">
        <v>707</v>
      </c>
      <c r="H201" s="113" t="s">
        <v>707</v>
      </c>
      <c r="I201" s="113">
        <v>0</v>
      </c>
      <c r="J201" s="113">
        <v>0.1</v>
      </c>
    </row>
    <row r="202" spans="2:10" x14ac:dyDescent="0.25">
      <c r="B202" s="113" t="s">
        <v>909</v>
      </c>
      <c r="C202" s="113" t="s">
        <v>175</v>
      </c>
      <c r="D202" s="113" t="s">
        <v>707</v>
      </c>
      <c r="E202" s="113" t="s">
        <v>41</v>
      </c>
      <c r="F202" s="113" t="s">
        <v>707</v>
      </c>
      <c r="G202" s="113" t="s">
        <v>707</v>
      </c>
      <c r="H202" s="113" t="s">
        <v>707</v>
      </c>
      <c r="I202" s="113">
        <v>0</v>
      </c>
      <c r="J202" s="113">
        <v>0.1</v>
      </c>
    </row>
    <row r="203" spans="2:10" x14ac:dyDescent="0.25">
      <c r="B203" s="113" t="s">
        <v>909</v>
      </c>
      <c r="C203" s="113" t="s">
        <v>1293</v>
      </c>
      <c r="D203" s="113" t="s">
        <v>707</v>
      </c>
      <c r="E203" s="113" t="s">
        <v>41</v>
      </c>
      <c r="F203" s="113" t="s">
        <v>707</v>
      </c>
      <c r="G203" s="113" t="s">
        <v>707</v>
      </c>
      <c r="H203" s="113" t="s">
        <v>707</v>
      </c>
      <c r="I203" s="113">
        <v>0</v>
      </c>
      <c r="J203" s="113">
        <v>0.1</v>
      </c>
    </row>
    <row r="204" spans="2:10" x14ac:dyDescent="0.25">
      <c r="B204" s="113" t="s">
        <v>909</v>
      </c>
      <c r="C204" s="113" t="s">
        <v>1291</v>
      </c>
      <c r="D204" s="113" t="s">
        <v>707</v>
      </c>
      <c r="E204" s="113" t="s">
        <v>41</v>
      </c>
      <c r="F204" s="113" t="s">
        <v>707</v>
      </c>
      <c r="G204" s="113" t="s">
        <v>707</v>
      </c>
      <c r="H204" s="113" t="s">
        <v>707</v>
      </c>
      <c r="I204" s="113">
        <v>0</v>
      </c>
      <c r="J204" s="113">
        <v>0.1</v>
      </c>
    </row>
    <row r="205" spans="2:10" x14ac:dyDescent="0.25">
      <c r="B205" s="113" t="s">
        <v>909</v>
      </c>
      <c r="C205" s="113" t="s">
        <v>540</v>
      </c>
      <c r="D205" s="113" t="s">
        <v>707</v>
      </c>
      <c r="E205" s="113" t="s">
        <v>41</v>
      </c>
      <c r="F205" s="113" t="s">
        <v>707</v>
      </c>
      <c r="G205" s="113" t="s">
        <v>707</v>
      </c>
      <c r="H205" s="113" t="s">
        <v>707</v>
      </c>
      <c r="I205" s="113">
        <v>0</v>
      </c>
      <c r="J205" s="113">
        <v>0.1</v>
      </c>
    </row>
    <row r="206" spans="2:10" x14ac:dyDescent="0.25">
      <c r="B206" s="113" t="s">
        <v>909</v>
      </c>
      <c r="C206" s="113" t="s">
        <v>541</v>
      </c>
      <c r="D206" s="113" t="s">
        <v>707</v>
      </c>
      <c r="E206" s="113" t="s">
        <v>41</v>
      </c>
      <c r="F206" s="113" t="s">
        <v>707</v>
      </c>
      <c r="G206" s="113" t="s">
        <v>707</v>
      </c>
      <c r="H206" s="113" t="s">
        <v>707</v>
      </c>
      <c r="I206" s="113">
        <v>0</v>
      </c>
      <c r="J206" s="113">
        <v>0.1</v>
      </c>
    </row>
    <row r="207" spans="2:10" x14ac:dyDescent="0.25">
      <c r="B207" s="113" t="s">
        <v>909</v>
      </c>
      <c r="C207" s="113" t="s">
        <v>179</v>
      </c>
      <c r="D207" s="113" t="s">
        <v>707</v>
      </c>
      <c r="E207" s="113" t="s">
        <v>41</v>
      </c>
      <c r="F207" s="113" t="s">
        <v>707</v>
      </c>
      <c r="G207" s="113" t="s">
        <v>707</v>
      </c>
      <c r="H207" s="113" t="s">
        <v>707</v>
      </c>
      <c r="I207" s="113">
        <v>0</v>
      </c>
      <c r="J207" s="113">
        <v>0.1</v>
      </c>
    </row>
    <row r="208" spans="2:10" x14ac:dyDescent="0.25">
      <c r="B208" s="113" t="s">
        <v>909</v>
      </c>
      <c r="C208" s="113" t="s">
        <v>1286</v>
      </c>
      <c r="D208" s="113" t="s">
        <v>707</v>
      </c>
      <c r="E208" s="113" t="s">
        <v>41</v>
      </c>
      <c r="F208" s="113" t="s">
        <v>707</v>
      </c>
      <c r="G208" s="113" t="s">
        <v>707</v>
      </c>
      <c r="H208" s="113" t="s">
        <v>707</v>
      </c>
      <c r="I208" s="113">
        <v>0</v>
      </c>
      <c r="J208" s="113">
        <v>0.1</v>
      </c>
    </row>
    <row r="209" spans="2:41" x14ac:dyDescent="0.25">
      <c r="B209" s="113" t="s">
        <v>909</v>
      </c>
      <c r="C209" s="113" t="s">
        <v>181</v>
      </c>
      <c r="D209" s="113" t="s">
        <v>707</v>
      </c>
      <c r="E209" s="113" t="s">
        <v>41</v>
      </c>
      <c r="F209" s="113" t="s">
        <v>707</v>
      </c>
      <c r="G209" s="113" t="s">
        <v>707</v>
      </c>
      <c r="H209" s="113" t="s">
        <v>707</v>
      </c>
      <c r="I209" s="113">
        <v>0</v>
      </c>
      <c r="J209" s="113">
        <v>1</v>
      </c>
    </row>
    <row r="210" spans="2:41" x14ac:dyDescent="0.25">
      <c r="B210" s="113" t="s">
        <v>909</v>
      </c>
      <c r="C210" s="113" t="s">
        <v>1281</v>
      </c>
      <c r="D210" s="113" t="s">
        <v>707</v>
      </c>
      <c r="E210" s="113" t="s">
        <v>41</v>
      </c>
      <c r="F210" s="113" t="s">
        <v>707</v>
      </c>
      <c r="G210" s="113" t="s">
        <v>707</v>
      </c>
      <c r="H210" s="113" t="s">
        <v>707</v>
      </c>
      <c r="I210" s="113">
        <v>0</v>
      </c>
      <c r="J210" s="113">
        <v>1</v>
      </c>
    </row>
    <row r="211" spans="2:41" x14ac:dyDescent="0.25">
      <c r="B211" s="113" t="s">
        <v>909</v>
      </c>
      <c r="C211" s="113" t="s">
        <v>1279</v>
      </c>
      <c r="D211" s="113" t="s">
        <v>707</v>
      </c>
      <c r="E211" s="113" t="s">
        <v>41</v>
      </c>
      <c r="F211" s="113" t="s">
        <v>707</v>
      </c>
      <c r="G211" s="113" t="s">
        <v>707</v>
      </c>
      <c r="H211" s="113" t="s">
        <v>707</v>
      </c>
      <c r="I211" s="113">
        <v>0</v>
      </c>
      <c r="J211" s="113">
        <v>1</v>
      </c>
    </row>
    <row r="212" spans="2:41" x14ac:dyDescent="0.25">
      <c r="B212" s="113" t="s">
        <v>909</v>
      </c>
      <c r="C212" s="113" t="s">
        <v>542</v>
      </c>
      <c r="D212" s="113" t="s">
        <v>707</v>
      </c>
      <c r="E212" s="113" t="s">
        <v>41</v>
      </c>
      <c r="F212" s="113" t="s">
        <v>707</v>
      </c>
      <c r="G212" s="113" t="s">
        <v>707</v>
      </c>
      <c r="H212" s="113" t="s">
        <v>707</v>
      </c>
      <c r="I212" s="113">
        <v>0</v>
      </c>
      <c r="J212" s="113">
        <v>1</v>
      </c>
    </row>
    <row r="213" spans="2:41" x14ac:dyDescent="0.25">
      <c r="B213" s="620" t="s">
        <v>1451</v>
      </c>
      <c r="C213" s="620" t="s">
        <v>170</v>
      </c>
      <c r="D213" s="620" t="s">
        <v>707</v>
      </c>
      <c r="E213" s="620" t="s">
        <v>707</v>
      </c>
      <c r="F213" s="620" t="s">
        <v>707</v>
      </c>
      <c r="G213" s="620" t="s">
        <v>707</v>
      </c>
      <c r="H213" s="620" t="s">
        <v>707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2:41" x14ac:dyDescent="0.25">
      <c r="B214" s="620" t="s">
        <v>1451</v>
      </c>
      <c r="C214" s="620" t="s">
        <v>172</v>
      </c>
      <c r="D214" s="620" t="s">
        <v>707</v>
      </c>
      <c r="E214" s="620" t="s">
        <v>707</v>
      </c>
      <c r="F214" s="620" t="s">
        <v>707</v>
      </c>
      <c r="G214" s="620" t="s">
        <v>707</v>
      </c>
      <c r="H214" s="620" t="s">
        <v>707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2:41" x14ac:dyDescent="0.25">
      <c r="B215" s="620" t="s">
        <v>1451</v>
      </c>
      <c r="C215" s="620" t="s">
        <v>175</v>
      </c>
      <c r="D215" s="620" t="s">
        <v>707</v>
      </c>
      <c r="E215" s="620" t="s">
        <v>707</v>
      </c>
      <c r="F215" s="620" t="s">
        <v>707</v>
      </c>
      <c r="G215" s="620" t="s">
        <v>707</v>
      </c>
      <c r="H215" s="620" t="s">
        <v>707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2:41" x14ac:dyDescent="0.25">
      <c r="B216" s="620" t="s">
        <v>1451</v>
      </c>
      <c r="C216" s="620" t="s">
        <v>179</v>
      </c>
      <c r="D216" s="620" t="s">
        <v>707</v>
      </c>
      <c r="E216" s="620" t="s">
        <v>707</v>
      </c>
      <c r="F216" s="620" t="s">
        <v>707</v>
      </c>
      <c r="G216" s="620" t="s">
        <v>707</v>
      </c>
      <c r="H216" s="620" t="s">
        <v>707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2:41" x14ac:dyDescent="0.25">
      <c r="B217" s="620" t="s">
        <v>1451</v>
      </c>
      <c r="C217" s="620" t="s">
        <v>181</v>
      </c>
      <c r="D217" s="620" t="s">
        <v>707</v>
      </c>
      <c r="E217" s="620" t="s">
        <v>707</v>
      </c>
      <c r="F217" s="620" t="s">
        <v>707</v>
      </c>
      <c r="G217" s="620" t="s">
        <v>707</v>
      </c>
      <c r="H217" s="620" t="s">
        <v>707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2:41" x14ac:dyDescent="0.25">
      <c r="B218" s="620" t="s">
        <v>1451</v>
      </c>
      <c r="C218" s="620" t="s">
        <v>1276</v>
      </c>
      <c r="D218" s="620" t="s">
        <v>707</v>
      </c>
      <c r="E218" s="620" t="s">
        <v>707</v>
      </c>
      <c r="F218" s="620" t="s">
        <v>707</v>
      </c>
      <c r="G218" s="620" t="s">
        <v>707</v>
      </c>
      <c r="H218" s="620" t="s">
        <v>707</v>
      </c>
      <c r="I218" s="620">
        <v>0</v>
      </c>
      <c r="J218" s="620">
        <v>0</v>
      </c>
    </row>
    <row r="219" spans="2:41" x14ac:dyDescent="0.25">
      <c r="B219" s="620" t="s">
        <v>1451</v>
      </c>
      <c r="C219" s="620" t="s">
        <v>1270</v>
      </c>
      <c r="D219" s="620" t="s">
        <v>707</v>
      </c>
      <c r="E219" s="620" t="s">
        <v>707</v>
      </c>
      <c r="F219" s="620" t="s">
        <v>707</v>
      </c>
      <c r="G219" s="620" t="s">
        <v>707</v>
      </c>
      <c r="H219" s="620" t="s">
        <v>707</v>
      </c>
      <c r="I219" s="620">
        <v>0</v>
      </c>
      <c r="J219" s="620">
        <v>0</v>
      </c>
    </row>
    <row r="220" spans="2:41" x14ac:dyDescent="0.25">
      <c r="B220" s="620" t="s">
        <v>1451</v>
      </c>
      <c r="C220" s="620" t="s">
        <v>1268</v>
      </c>
      <c r="D220" s="620" t="s">
        <v>707</v>
      </c>
      <c r="E220" s="620" t="s">
        <v>707</v>
      </c>
      <c r="F220" s="620" t="s">
        <v>707</v>
      </c>
      <c r="G220" s="620" t="s">
        <v>707</v>
      </c>
      <c r="H220" s="620" t="s">
        <v>707</v>
      </c>
      <c r="I220" s="620">
        <v>0</v>
      </c>
      <c r="J220" s="620">
        <v>0</v>
      </c>
    </row>
    <row r="221" spans="2:41" x14ac:dyDescent="0.25">
      <c r="B221" s="620" t="s">
        <v>1451</v>
      </c>
      <c r="C221" s="620" t="s">
        <v>1266</v>
      </c>
      <c r="D221" s="620" t="s">
        <v>707</v>
      </c>
      <c r="E221" s="620" t="s">
        <v>707</v>
      </c>
      <c r="F221" s="620" t="s">
        <v>707</v>
      </c>
      <c r="G221" s="620" t="s">
        <v>707</v>
      </c>
      <c r="H221" s="620" t="s">
        <v>707</v>
      </c>
      <c r="I221" s="620">
        <v>0</v>
      </c>
      <c r="J221" s="620">
        <v>0</v>
      </c>
    </row>
    <row r="222" spans="2:41" x14ac:dyDescent="0.25">
      <c r="B222" s="620" t="s">
        <v>1451</v>
      </c>
      <c r="C222" s="620" t="s">
        <v>1262</v>
      </c>
      <c r="D222" s="620" t="s">
        <v>707</v>
      </c>
      <c r="E222" s="620" t="s">
        <v>707</v>
      </c>
      <c r="F222" s="620" t="s">
        <v>707</v>
      </c>
      <c r="G222" s="620" t="s">
        <v>707</v>
      </c>
      <c r="H222" s="620" t="s">
        <v>707</v>
      </c>
      <c r="I222" s="620">
        <v>0</v>
      </c>
      <c r="J222" s="620">
        <v>0</v>
      </c>
    </row>
    <row r="223" spans="2:41" x14ac:dyDescent="0.25">
      <c r="B223" s="113" t="s">
        <v>1450</v>
      </c>
      <c r="C223" s="113" t="s">
        <v>1429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594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2:41" x14ac:dyDescent="0.25">
      <c r="B224" s="113" t="s">
        <v>1450</v>
      </c>
      <c r="C224" s="113" t="s">
        <v>1427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tr">
        <f>PAMS!E$59</f>
        <v>FX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2:41" x14ac:dyDescent="0.25">
      <c r="B225" s="113" t="s">
        <v>1450</v>
      </c>
      <c r="C225" s="113" t="s">
        <v>1425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tr">
        <f>PAMS!E$59</f>
        <v>FX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2:41" x14ac:dyDescent="0.25">
      <c r="B226" s="113" t="s">
        <v>1450</v>
      </c>
      <c r="C226" s="113" t="s">
        <v>1423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594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2:41" x14ac:dyDescent="0.25">
      <c r="B227" s="113" t="s">
        <v>1450</v>
      </c>
      <c r="C227" s="113" t="s">
        <v>1421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tr">
        <f>PAMS!E$59</f>
        <v>FX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2:41" x14ac:dyDescent="0.25">
      <c r="B228" s="113" t="s">
        <v>1450</v>
      </c>
      <c r="C228" s="113" t="s">
        <v>1419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tr">
        <f>PAMS!E$59</f>
        <v>FX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2:41" x14ac:dyDescent="0.25">
      <c r="B229" s="113" t="s">
        <v>1450</v>
      </c>
      <c r="C229" s="113" t="s">
        <v>1417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594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2:41" x14ac:dyDescent="0.25">
      <c r="B230" s="113" t="s">
        <v>1450</v>
      </c>
      <c r="C230" s="113" t="s">
        <v>1415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tr">
        <f>PAMS!E$59</f>
        <v>FX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2:41" x14ac:dyDescent="0.25">
      <c r="B231" s="113" t="s">
        <v>1450</v>
      </c>
      <c r="C231" s="113" t="s">
        <v>1413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tr">
        <f>PAMS!E$59</f>
        <v>FX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2:41" x14ac:dyDescent="0.25">
      <c r="B232" s="620" t="s">
        <v>1450</v>
      </c>
      <c r="C232" s="620" t="s">
        <v>1411</v>
      </c>
      <c r="D232" s="620" t="s">
        <v>707</v>
      </c>
      <c r="E232" s="620" t="s">
        <v>707</v>
      </c>
      <c r="F232" s="620" t="s">
        <v>707</v>
      </c>
      <c r="G232" s="620" t="s">
        <v>707</v>
      </c>
      <c r="H232" s="620" t="s">
        <v>594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2:41" x14ac:dyDescent="0.25">
      <c r="B233" s="113" t="s">
        <v>1450</v>
      </c>
      <c r="C233" s="113" t="s">
        <v>1409</v>
      </c>
      <c r="D233" s="113" t="s">
        <v>707</v>
      </c>
      <c r="E233" s="113" t="s">
        <v>707</v>
      </c>
      <c r="F233" s="113" t="s">
        <v>707</v>
      </c>
      <c r="G233" s="113" t="s">
        <v>707</v>
      </c>
      <c r="H233" s="113" t="str">
        <f>PAMS!E$59</f>
        <v>FX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2:41" x14ac:dyDescent="0.25">
      <c r="B234" s="113" t="s">
        <v>1450</v>
      </c>
      <c r="C234" s="113" t="s">
        <v>1407</v>
      </c>
      <c r="D234" s="113" t="s">
        <v>707</v>
      </c>
      <c r="E234" s="113" t="s">
        <v>707</v>
      </c>
      <c r="F234" s="113" t="s">
        <v>707</v>
      </c>
      <c r="G234" s="113" t="s">
        <v>707</v>
      </c>
      <c r="H234" s="113" t="str">
        <f>PAMS!E$59</f>
        <v>FX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2:41" x14ac:dyDescent="0.25">
      <c r="B235" s="620" t="s">
        <v>1450</v>
      </c>
      <c r="C235" s="620" t="s">
        <v>1405</v>
      </c>
      <c r="D235" s="620" t="s">
        <v>707</v>
      </c>
      <c r="E235" s="620" t="s">
        <v>707</v>
      </c>
      <c r="F235" s="620" t="s">
        <v>707</v>
      </c>
      <c r="G235" s="620" t="s">
        <v>707</v>
      </c>
      <c r="H235" s="620" t="s">
        <v>594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2:41" x14ac:dyDescent="0.25">
      <c r="B236" s="113" t="s">
        <v>1450</v>
      </c>
      <c r="C236" s="113" t="s">
        <v>1403</v>
      </c>
      <c r="D236" s="113" t="s">
        <v>707</v>
      </c>
      <c r="E236" s="113" t="s">
        <v>707</v>
      </c>
      <c r="F236" s="113" t="s">
        <v>707</v>
      </c>
      <c r="G236" s="113" t="s">
        <v>707</v>
      </c>
      <c r="H236" s="113" t="s">
        <v>594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2:41" x14ac:dyDescent="0.25">
      <c r="B237" s="113" t="s">
        <v>1450</v>
      </c>
      <c r="C237" s="113" t="s">
        <v>1401</v>
      </c>
      <c r="D237" s="113" t="s">
        <v>707</v>
      </c>
      <c r="E237" s="113" t="s">
        <v>707</v>
      </c>
      <c r="F237" s="113" t="s">
        <v>707</v>
      </c>
      <c r="G237" s="113" t="s">
        <v>707</v>
      </c>
      <c r="H237" s="113" t="s">
        <v>593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2:41" x14ac:dyDescent="0.25">
      <c r="B238" s="113" t="s">
        <v>1450</v>
      </c>
      <c r="C238" s="113" t="s">
        <v>1399</v>
      </c>
      <c r="D238" s="113" t="s">
        <v>707</v>
      </c>
      <c r="E238" s="113" t="s">
        <v>707</v>
      </c>
      <c r="F238" s="113" t="s">
        <v>707</v>
      </c>
      <c r="G238" s="113" t="s">
        <v>707</v>
      </c>
      <c r="H238" s="113" t="str">
        <f>PAMS!E$59</f>
        <v>FX</v>
      </c>
      <c r="I238" s="113">
        <f>PAMS!F$59</f>
        <v>3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2:41" x14ac:dyDescent="0.25">
      <c r="B239" s="113" t="s">
        <v>1450</v>
      </c>
      <c r="C239" s="113" t="s">
        <v>1396</v>
      </c>
      <c r="D239" s="113" t="s">
        <v>707</v>
      </c>
      <c r="E239" s="113" t="s">
        <v>707</v>
      </c>
      <c r="F239" s="113" t="s">
        <v>707</v>
      </c>
      <c r="G239" s="113" t="s">
        <v>707</v>
      </c>
      <c r="H239" s="113" t="str">
        <f>PAMS!E$59</f>
        <v>FX</v>
      </c>
      <c r="I239" s="113">
        <f>PAMS!F$59</f>
        <v>3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2:41" x14ac:dyDescent="0.25">
      <c r="B240" s="113" t="s">
        <v>1438</v>
      </c>
      <c r="C240" s="113" t="s">
        <v>1427</v>
      </c>
      <c r="D240" s="113" t="s">
        <v>1431</v>
      </c>
      <c r="E240" s="113" t="s">
        <v>1436</v>
      </c>
      <c r="F240" s="113" t="s">
        <v>707</v>
      </c>
      <c r="G240" s="113" t="s">
        <v>1101</v>
      </c>
      <c r="H240" s="113" t="s">
        <v>707</v>
      </c>
      <c r="I240" s="620">
        <f>PAMS!F$59</f>
        <v>3</v>
      </c>
      <c r="J240" s="620">
        <f>INDEX(PAMS!$I$47:$Q$54,MATCH($C240,PAMS!$B$47:$B$54,0),MATCH(J$2,PAMS!$I$46:$Q$46,0))</f>
        <v>0</v>
      </c>
      <c r="K240" s="620">
        <f>J240+($M240-$J240)/3</f>
        <v>0</v>
      </c>
      <c r="L240" s="620">
        <f>K240+($M240-$J240)/3</f>
        <v>0</v>
      </c>
      <c r="M240" s="620">
        <f>INDEX(PAMS!$I$47:$Q$54,MATCH($C240,PAMS!$B$47:$B$54,0),MATCH(M$2,PAMS!$I$46:$Q$46,0))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INDEX(PAMS!$I$47:$Q$54,MATCH($C240,PAMS!$B$47:$B$54,0),MATCH(R$2,PAMS!$I$46:$Q$46,0))</f>
        <v>0</v>
      </c>
      <c r="S240" s="620">
        <f>R240+($W240-$R240)/4</f>
        <v>-3.1250000000000002E-3</v>
      </c>
      <c r="T240" s="620">
        <f>S240+($W240-$R240)/4</f>
        <v>-6.2500000000000003E-3</v>
      </c>
      <c r="U240" s="620">
        <f>T240+($W240-$R240)/4</f>
        <v>-9.3750000000000014E-3</v>
      </c>
      <c r="V240" s="620">
        <f>U240+($W240-$R240)/4</f>
        <v>-1.2500000000000001E-2</v>
      </c>
      <c r="W240" s="620">
        <f>INDEX(PAMS!$I$47:$Q$54,MATCH($C240,PAMS!$B$47:$B$54,0),MATCH(W$2,PAMS!$I$46:$Q$46,0))</f>
        <v>-1.2500000000000001E-2</v>
      </c>
      <c r="X240" s="620">
        <f>W240+($AB240-$W240)/4</f>
        <v>-1.5625E-2</v>
      </c>
      <c r="Y240" s="620">
        <f>X240+($AB240-$W240)/4</f>
        <v>-1.8749999999999999E-2</v>
      </c>
      <c r="Z240" s="620">
        <f>Y240+($AB240-$W240)/4</f>
        <v>-2.1874999999999999E-2</v>
      </c>
      <c r="AA240" s="620">
        <f>Z240+($AB240-$W240)/4</f>
        <v>-2.4999999999999998E-2</v>
      </c>
      <c r="AB240" s="620">
        <f>INDEX(PAMS!$I$47:$Q$54,MATCH($C240,PAMS!$B$47:$B$54,0),MATCH(AB$2,PAMS!$I$46:$Q$46,0))</f>
        <v>-2.5000000000000001E-2</v>
      </c>
      <c r="AC240" s="620">
        <f>AB240+($AG240-$AB240)/4</f>
        <v>-2.5000000000000001E-2</v>
      </c>
      <c r="AD240" s="620">
        <f>AC240+($AG240-$AB240)/4</f>
        <v>-2.5000000000000001E-2</v>
      </c>
      <c r="AE240" s="620">
        <f>AD240+($AG240-$AB240)/4</f>
        <v>-2.5000000000000001E-2</v>
      </c>
      <c r="AF240" s="620">
        <f>AE240+($AG240-$AB240)/4</f>
        <v>-2.5000000000000001E-2</v>
      </c>
      <c r="AG240" s="620">
        <f>INDEX(PAMS!$I$47:$Q$54,MATCH($C240,PAMS!$B$47:$B$54,0),MATCH(AG$2,PAMS!$I$46:$Q$46,0))</f>
        <v>-2.5000000000000001E-2</v>
      </c>
      <c r="AH240" s="620">
        <f>AG240+($AM240-$AG240)/4</f>
        <v>-2.5000000000000001E-2</v>
      </c>
      <c r="AI240" s="620">
        <f>AH240+($AM240-$AG240)/4</f>
        <v>-2.5000000000000001E-2</v>
      </c>
      <c r="AJ240" s="620">
        <f>AI240+($AM240-$AG240)/4</f>
        <v>-2.5000000000000001E-2</v>
      </c>
      <c r="AK240" s="620">
        <f>AJ240+($AM240-$AG240)/4</f>
        <v>-2.5000000000000001E-2</v>
      </c>
      <c r="AL240" s="620">
        <f>INDEX(PAMS!$I$47:$Q$54,MATCH($C240,PAMS!$B$47:$B$54,0),MATCH(AL$2,PAMS!$I$46:$Q$46,0))</f>
        <v>-2.5000000000000001E-2</v>
      </c>
      <c r="AM240" s="620">
        <f>INDEX(PAMS!$I$47:$Q$54,MATCH($C240,PAMS!$B$47:$B$54,0),MATCH(AM$2,PAMS!$I$46:$Q$46,0))</f>
        <v>-2.5000000000000001E-2</v>
      </c>
      <c r="AN240" s="620">
        <f>INDEX(PAMS!$I$47:$Q$54,MATCH($C240,PAMS!$B$47:$B$54,0),MATCH(AN$2,PAMS!$I$46:$Q$46,0))</f>
        <v>-2.5000000000000001E-2</v>
      </c>
    </row>
    <row r="241" spans="2:40" x14ac:dyDescent="0.25">
      <c r="B241" s="113" t="s">
        <v>1438</v>
      </c>
      <c r="C241" s="113" t="s">
        <v>1427</v>
      </c>
      <c r="D241" s="113" t="s">
        <v>1431</v>
      </c>
      <c r="E241" s="113" t="s">
        <v>1449</v>
      </c>
      <c r="F241" s="113" t="s">
        <v>707</v>
      </c>
      <c r="G241" s="113" t="s">
        <v>1101</v>
      </c>
      <c r="H241" s="113" t="s">
        <v>707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2:40" x14ac:dyDescent="0.25">
      <c r="B242" s="113" t="s">
        <v>1438</v>
      </c>
      <c r="C242" s="113" t="s">
        <v>1425</v>
      </c>
      <c r="D242" s="113" t="s">
        <v>1431</v>
      </c>
      <c r="E242" s="113" t="s">
        <v>1436</v>
      </c>
      <c r="F242" s="113" t="s">
        <v>707</v>
      </c>
      <c r="G242" s="113" t="s">
        <v>1101</v>
      </c>
      <c r="H242" s="113" t="s">
        <v>707</v>
      </c>
      <c r="I242" s="620">
        <f>PAMS!F$59</f>
        <v>3</v>
      </c>
      <c r="J242" s="620">
        <f>INDEX(PAMS!$I$47:$Q$54,MATCH($C242,PAMS!$B$47:$B$54,0),MATCH(J$2,PAMS!$I$46:$Q$46,0))</f>
        <v>0</v>
      </c>
      <c r="K242" s="620">
        <f>J242+($M242-$J242)/3</f>
        <v>0</v>
      </c>
      <c r="L242" s="620">
        <f>K242+($M242-$J242)/3</f>
        <v>0</v>
      </c>
      <c r="M242" s="620">
        <f>INDEX(PAMS!$I$47:$Q$54,MATCH($C242,PAMS!$B$47:$B$54,0),MATCH(M$2,PAMS!$I$46:$Q$46,0))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INDEX(PAMS!$I$47:$Q$54,MATCH($C242,PAMS!$B$47:$B$54,0),MATCH(R$2,PAMS!$I$46:$Q$46,0))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INDEX(PAMS!$I$47:$Q$54,MATCH($C242,PAMS!$B$47:$B$54,0),MATCH(W$2,PAMS!$I$46:$Q$46,0))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INDEX(PAMS!$I$47:$Q$54,MATCH($C242,PAMS!$B$47:$B$54,0),MATCH(AB$2,PAMS!$I$46:$Q$46,0))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INDEX(PAMS!$I$47:$Q$54,MATCH($C242,PAMS!$B$47:$B$54,0),MATCH(AG$2,PAMS!$I$46:$Q$46,0))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INDEX(PAMS!$I$47:$Q$54,MATCH($C242,PAMS!$B$47:$B$54,0),MATCH(AL$2,PAMS!$I$46:$Q$46,0))</f>
        <v>0</v>
      </c>
      <c r="AM242" s="620">
        <f>INDEX(PAMS!$I$47:$Q$54,MATCH($C242,PAMS!$B$47:$B$54,0),MATCH(AM$2,PAMS!$I$46:$Q$46,0))</f>
        <v>0</v>
      </c>
      <c r="AN242" s="620">
        <f>INDEX(PAMS!$I$47:$Q$54,MATCH($C242,PAMS!$B$47:$B$54,0),MATCH(AN$2,PAMS!$I$46:$Q$46,0))</f>
        <v>0</v>
      </c>
    </row>
    <row r="243" spans="2:40" x14ac:dyDescent="0.25">
      <c r="B243" s="113" t="s">
        <v>1438</v>
      </c>
      <c r="C243" s="113" t="s">
        <v>1425</v>
      </c>
      <c r="D243" s="113" t="s">
        <v>1431</v>
      </c>
      <c r="E243" s="113" t="s">
        <v>1448</v>
      </c>
      <c r="F243" s="113" t="s">
        <v>707</v>
      </c>
      <c r="G243" s="113" t="s">
        <v>1101</v>
      </c>
      <c r="H243" s="113" t="s">
        <v>707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2:40" x14ac:dyDescent="0.25">
      <c r="B244" s="113" t="s">
        <v>1438</v>
      </c>
      <c r="C244" s="113" t="s">
        <v>1421</v>
      </c>
      <c r="D244" s="113" t="s">
        <v>1431</v>
      </c>
      <c r="E244" s="113" t="s">
        <v>1435</v>
      </c>
      <c r="F244" s="113" t="s">
        <v>707</v>
      </c>
      <c r="G244" s="113" t="s">
        <v>1101</v>
      </c>
      <c r="H244" s="113" t="s">
        <v>707</v>
      </c>
      <c r="I244" s="620">
        <f>PAMS!F$59</f>
        <v>3</v>
      </c>
      <c r="J244" s="620">
        <f>INDEX(PAMS!$I$47:$Q$54,MATCH($C244,PAMS!$B$47:$B$54,0),MATCH(J$2,PAMS!$I$46:$Q$46,0))</f>
        <v>0</v>
      </c>
      <c r="K244" s="620">
        <f>J244+($M244-$J244)/3</f>
        <v>0</v>
      </c>
      <c r="L244" s="620">
        <f>K244+($M244-$J244)/3</f>
        <v>0</v>
      </c>
      <c r="M244" s="620">
        <f>INDEX(PAMS!$I$47:$Q$54,MATCH($C244,PAMS!$B$47:$B$54,0),MATCH(M$2,PAMS!$I$46:$Q$46,0))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INDEX(PAMS!$I$47:$Q$54,MATCH($C244,PAMS!$B$47:$B$54,0),MATCH(R$2,PAMS!$I$46:$Q$46,0))</f>
        <v>0</v>
      </c>
      <c r="S244" s="620">
        <f>R244+($W244-$R244)/4</f>
        <v>-3.1250000000000002E-3</v>
      </c>
      <c r="T244" s="620">
        <f>S244+($W244-$R244)/4</f>
        <v>-6.2500000000000003E-3</v>
      </c>
      <c r="U244" s="620">
        <f>T244+($W244-$R244)/4</f>
        <v>-9.3750000000000014E-3</v>
      </c>
      <c r="V244" s="620">
        <f>U244+($W244-$R244)/4</f>
        <v>-1.2500000000000001E-2</v>
      </c>
      <c r="W244" s="620">
        <f>INDEX(PAMS!$I$47:$Q$54,MATCH($C244,PAMS!$B$47:$B$54,0),MATCH(W$2,PAMS!$I$46:$Q$46,0))</f>
        <v>-1.2500000000000001E-2</v>
      </c>
      <c r="X244" s="620">
        <f>W244+($AB244-$W244)/4</f>
        <v>-1.5625E-2</v>
      </c>
      <c r="Y244" s="620">
        <f>X244+($AB244-$W244)/4</f>
        <v>-1.8749999999999999E-2</v>
      </c>
      <c r="Z244" s="620">
        <f>Y244+($AB244-$W244)/4</f>
        <v>-2.1874999999999999E-2</v>
      </c>
      <c r="AA244" s="620">
        <f>Z244+($AB244-$W244)/4</f>
        <v>-2.4999999999999998E-2</v>
      </c>
      <c r="AB244" s="620">
        <f>INDEX(PAMS!$I$47:$Q$54,MATCH($C244,PAMS!$B$47:$B$54,0),MATCH(AB$2,PAMS!$I$46:$Q$46,0))</f>
        <v>-2.5000000000000001E-2</v>
      </c>
      <c r="AC244" s="620">
        <f>AB244+($AG244-$AB244)/4</f>
        <v>-2.5000000000000001E-2</v>
      </c>
      <c r="AD244" s="620">
        <f>AC244+($AG244-$AB244)/4</f>
        <v>-2.5000000000000001E-2</v>
      </c>
      <c r="AE244" s="620">
        <f>AD244+($AG244-$AB244)/4</f>
        <v>-2.5000000000000001E-2</v>
      </c>
      <c r="AF244" s="620">
        <f>AE244+($AG244-$AB244)/4</f>
        <v>-2.5000000000000001E-2</v>
      </c>
      <c r="AG244" s="620">
        <f>INDEX(PAMS!$I$47:$Q$54,MATCH($C244,PAMS!$B$47:$B$54,0),MATCH(AG$2,PAMS!$I$46:$Q$46,0))</f>
        <v>-2.5000000000000001E-2</v>
      </c>
      <c r="AH244" s="620">
        <f>AG244+($AM244-$AG244)/4</f>
        <v>-2.5000000000000001E-2</v>
      </c>
      <c r="AI244" s="620">
        <f>AH244+($AM244-$AG244)/4</f>
        <v>-2.5000000000000001E-2</v>
      </c>
      <c r="AJ244" s="620">
        <f>AI244+($AM244-$AG244)/4</f>
        <v>-2.5000000000000001E-2</v>
      </c>
      <c r="AK244" s="620">
        <f>AJ244+($AM244-$AG244)/4</f>
        <v>-2.5000000000000001E-2</v>
      </c>
      <c r="AL244" s="620">
        <f>INDEX(PAMS!$I$47:$Q$54,MATCH($C244,PAMS!$B$47:$B$54,0),MATCH(AL$2,PAMS!$I$46:$Q$46,0))</f>
        <v>-2.5000000000000001E-2</v>
      </c>
      <c r="AM244" s="620">
        <f>INDEX(PAMS!$I$47:$Q$54,MATCH($C244,PAMS!$B$47:$B$54,0),MATCH(AM$2,PAMS!$I$46:$Q$46,0))</f>
        <v>-2.5000000000000001E-2</v>
      </c>
      <c r="AN244" s="620">
        <f>INDEX(PAMS!$I$47:$Q$54,MATCH($C244,PAMS!$B$47:$B$54,0),MATCH(AN$2,PAMS!$I$46:$Q$46,0))</f>
        <v>-2.5000000000000001E-2</v>
      </c>
    </row>
    <row r="245" spans="2:40" x14ac:dyDescent="0.25">
      <c r="B245" s="113" t="s">
        <v>1438</v>
      </c>
      <c r="C245" s="113" t="s">
        <v>1421</v>
      </c>
      <c r="D245" s="113" t="s">
        <v>1431</v>
      </c>
      <c r="E245" s="113" t="s">
        <v>1447</v>
      </c>
      <c r="F245" s="113" t="s">
        <v>707</v>
      </c>
      <c r="G245" s="113" t="s">
        <v>1101</v>
      </c>
      <c r="H245" s="113" t="s">
        <v>707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2:40" x14ac:dyDescent="0.25">
      <c r="B246" s="113" t="s">
        <v>1438</v>
      </c>
      <c r="C246" s="113" t="s">
        <v>1419</v>
      </c>
      <c r="D246" s="113" t="s">
        <v>1431</v>
      </c>
      <c r="E246" s="113" t="s">
        <v>1435</v>
      </c>
      <c r="F246" s="113" t="s">
        <v>707</v>
      </c>
      <c r="G246" s="113" t="s">
        <v>1101</v>
      </c>
      <c r="H246" s="113" t="s">
        <v>707</v>
      </c>
      <c r="I246" s="620">
        <f>PAMS!F$59</f>
        <v>3</v>
      </c>
      <c r="J246" s="620">
        <f>INDEX(PAMS!$I$47:$Q$54,MATCH($C246,PAMS!$B$47:$B$54,0),MATCH(J$2,PAMS!$I$46:$Q$46,0))</f>
        <v>0</v>
      </c>
      <c r="K246" s="620">
        <f>J246+($M246-$J246)/3</f>
        <v>0</v>
      </c>
      <c r="L246" s="620">
        <f>K246+($M246-$J246)/3</f>
        <v>0</v>
      </c>
      <c r="M246" s="620">
        <f>INDEX(PAMS!$I$47:$Q$54,MATCH($C246,PAMS!$B$47:$B$54,0),MATCH(M$2,PAMS!$I$46:$Q$46,0))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INDEX(PAMS!$I$47:$Q$54,MATCH($C246,PAMS!$B$47:$B$54,0),MATCH(R$2,PAMS!$I$46:$Q$46,0))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INDEX(PAMS!$I$47:$Q$54,MATCH($C246,PAMS!$B$47:$B$54,0),MATCH(W$2,PAMS!$I$46:$Q$46,0))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INDEX(PAMS!$I$47:$Q$54,MATCH($C246,PAMS!$B$47:$B$54,0),MATCH(AB$2,PAMS!$I$46:$Q$46,0))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INDEX(PAMS!$I$47:$Q$54,MATCH($C246,PAMS!$B$47:$B$54,0),MATCH(AG$2,PAMS!$I$46:$Q$46,0))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INDEX(PAMS!$I$47:$Q$54,MATCH($C246,PAMS!$B$47:$B$54,0),MATCH(AL$2,PAMS!$I$46:$Q$46,0))</f>
        <v>0</v>
      </c>
      <c r="AM246" s="620">
        <f>INDEX(PAMS!$I$47:$Q$54,MATCH($C246,PAMS!$B$47:$B$54,0),MATCH(AM$2,PAMS!$I$46:$Q$46,0))</f>
        <v>0</v>
      </c>
      <c r="AN246" s="620">
        <f>INDEX(PAMS!$I$47:$Q$54,MATCH($C246,PAMS!$B$47:$B$54,0),MATCH(AN$2,PAMS!$I$46:$Q$46,0))</f>
        <v>0</v>
      </c>
    </row>
    <row r="247" spans="2:40" x14ac:dyDescent="0.25">
      <c r="B247" s="113" t="s">
        <v>1438</v>
      </c>
      <c r="C247" s="113" t="s">
        <v>1419</v>
      </c>
      <c r="D247" s="113" t="s">
        <v>1431</v>
      </c>
      <c r="E247" s="113" t="s">
        <v>1446</v>
      </c>
      <c r="F247" s="113" t="s">
        <v>707</v>
      </c>
      <c r="G247" s="113" t="s">
        <v>1101</v>
      </c>
      <c r="H247" s="113" t="s">
        <v>707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2:40" x14ac:dyDescent="0.25">
      <c r="B248" s="113" t="s">
        <v>1438</v>
      </c>
      <c r="C248" s="113" t="s">
        <v>1415</v>
      </c>
      <c r="D248" s="113" t="s">
        <v>1431</v>
      </c>
      <c r="E248" s="113" t="s">
        <v>1434</v>
      </c>
      <c r="F248" s="113" t="s">
        <v>707</v>
      </c>
      <c r="G248" s="113" t="s">
        <v>1101</v>
      </c>
      <c r="H248" s="113" t="s">
        <v>707</v>
      </c>
      <c r="I248" s="620">
        <f>PAMS!F$59</f>
        <v>3</v>
      </c>
      <c r="J248" s="620">
        <f>INDEX(PAMS!$I$47:$Q$54,MATCH($C248,PAMS!$B$47:$B$54,0),MATCH(J$2,PAMS!$I$46:$Q$46,0))</f>
        <v>0</v>
      </c>
      <c r="K248" s="620">
        <f>J248+($M248-$J248)/3</f>
        <v>0</v>
      </c>
      <c r="L248" s="620">
        <f>K248+($M248-$J248)/3</f>
        <v>0</v>
      </c>
      <c r="M248" s="620">
        <f>INDEX(PAMS!$I$47:$Q$54,MATCH($C248,PAMS!$B$47:$B$54,0),MATCH(M$2,PAMS!$I$46:$Q$46,0))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INDEX(PAMS!$I$47:$Q$54,MATCH($C248,PAMS!$B$47:$B$54,0),MATCH(R$2,PAMS!$I$46:$Q$46,0))</f>
        <v>0</v>
      </c>
      <c r="S248" s="620">
        <f>R248+($W248-$R248)/4</f>
        <v>-3.1250000000000002E-3</v>
      </c>
      <c r="T248" s="620">
        <f>S248+($W248-$R248)/4</f>
        <v>-6.2500000000000003E-3</v>
      </c>
      <c r="U248" s="620">
        <f>T248+($W248-$R248)/4</f>
        <v>-9.3750000000000014E-3</v>
      </c>
      <c r="V248" s="620">
        <f>U248+($W248-$R248)/4</f>
        <v>-1.2500000000000001E-2</v>
      </c>
      <c r="W248" s="620">
        <f>INDEX(PAMS!$I$47:$Q$54,MATCH($C248,PAMS!$B$47:$B$54,0),MATCH(W$2,PAMS!$I$46:$Q$46,0))</f>
        <v>-1.2500000000000001E-2</v>
      </c>
      <c r="X248" s="620">
        <f>W248+($AB248-$W248)/4</f>
        <v>-1.5625E-2</v>
      </c>
      <c r="Y248" s="620">
        <f>X248+($AB248-$W248)/4</f>
        <v>-1.8749999999999999E-2</v>
      </c>
      <c r="Z248" s="620">
        <f>Y248+($AB248-$W248)/4</f>
        <v>-2.1874999999999999E-2</v>
      </c>
      <c r="AA248" s="620">
        <f>Z248+($AB248-$W248)/4</f>
        <v>-2.4999999999999998E-2</v>
      </c>
      <c r="AB248" s="620">
        <f>INDEX(PAMS!$I$47:$Q$54,MATCH($C248,PAMS!$B$47:$B$54,0),MATCH(AB$2,PAMS!$I$46:$Q$46,0))</f>
        <v>-2.5000000000000001E-2</v>
      </c>
      <c r="AC248" s="620">
        <f>AB248+($AG248-$AB248)/4</f>
        <v>-2.5000000000000001E-2</v>
      </c>
      <c r="AD248" s="620">
        <f>AC248+($AG248-$AB248)/4</f>
        <v>-2.5000000000000001E-2</v>
      </c>
      <c r="AE248" s="620">
        <f>AD248+($AG248-$AB248)/4</f>
        <v>-2.5000000000000001E-2</v>
      </c>
      <c r="AF248" s="620">
        <f>AE248+($AG248-$AB248)/4</f>
        <v>-2.5000000000000001E-2</v>
      </c>
      <c r="AG248" s="620">
        <f>INDEX(PAMS!$I$47:$Q$54,MATCH($C248,PAMS!$B$47:$B$54,0),MATCH(AG$2,PAMS!$I$46:$Q$46,0))</f>
        <v>-2.5000000000000001E-2</v>
      </c>
      <c r="AH248" s="620">
        <f>AG248+($AM248-$AG248)/4</f>
        <v>-2.5000000000000001E-2</v>
      </c>
      <c r="AI248" s="620">
        <f>AH248+($AM248-$AG248)/4</f>
        <v>-2.5000000000000001E-2</v>
      </c>
      <c r="AJ248" s="620">
        <f>AI248+($AM248-$AG248)/4</f>
        <v>-2.5000000000000001E-2</v>
      </c>
      <c r="AK248" s="620">
        <f>AJ248+($AM248-$AG248)/4</f>
        <v>-2.5000000000000001E-2</v>
      </c>
      <c r="AL248" s="620">
        <f>INDEX(PAMS!$I$47:$Q$54,MATCH($C248,PAMS!$B$47:$B$54,0),MATCH(AL$2,PAMS!$I$46:$Q$46,0))</f>
        <v>-2.5000000000000001E-2</v>
      </c>
      <c r="AM248" s="620">
        <f>INDEX(PAMS!$I$47:$Q$54,MATCH($C248,PAMS!$B$47:$B$54,0),MATCH(AM$2,PAMS!$I$46:$Q$46,0))</f>
        <v>-2.5000000000000001E-2</v>
      </c>
      <c r="AN248" s="620">
        <f>INDEX(PAMS!$I$47:$Q$54,MATCH($C248,PAMS!$B$47:$B$54,0),MATCH(AN$2,PAMS!$I$46:$Q$46,0))</f>
        <v>-2.5000000000000001E-2</v>
      </c>
    </row>
    <row r="249" spans="2:40" x14ac:dyDescent="0.25">
      <c r="B249" s="113" t="s">
        <v>1438</v>
      </c>
      <c r="C249" s="113" t="s">
        <v>1415</v>
      </c>
      <c r="D249" s="113" t="s">
        <v>1431</v>
      </c>
      <c r="E249" s="113" t="s">
        <v>1445</v>
      </c>
      <c r="F249" s="113" t="s">
        <v>707</v>
      </c>
      <c r="G249" s="113" t="s">
        <v>1101</v>
      </c>
      <c r="H249" s="113" t="s">
        <v>707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2:40" x14ac:dyDescent="0.25">
      <c r="B250" s="113" t="s">
        <v>1438</v>
      </c>
      <c r="C250" s="113" t="s">
        <v>1413</v>
      </c>
      <c r="D250" s="113" t="s">
        <v>1431</v>
      </c>
      <c r="E250" s="113" t="s">
        <v>1434</v>
      </c>
      <c r="F250" s="113" t="s">
        <v>707</v>
      </c>
      <c r="G250" s="113" t="s">
        <v>1101</v>
      </c>
      <c r="H250" s="113" t="s">
        <v>707</v>
      </c>
      <c r="I250" s="620">
        <f>PAMS!F$59</f>
        <v>3</v>
      </c>
      <c r="J250" s="620">
        <f>INDEX(PAMS!$I$47:$Q$54,MATCH($C250,PAMS!$B$47:$B$54,0),MATCH(J$2,PAMS!$I$46:$Q$46,0))</f>
        <v>0</v>
      </c>
      <c r="K250" s="620">
        <f>J250+($M250-$J250)/3</f>
        <v>0</v>
      </c>
      <c r="L250" s="620">
        <f>K250+($M250-$J250)/3</f>
        <v>0</v>
      </c>
      <c r="M250" s="620">
        <f>INDEX(PAMS!$I$47:$Q$54,MATCH($C250,PAMS!$B$47:$B$54,0),MATCH(M$2,PAMS!$I$46:$Q$46,0))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INDEX(PAMS!$I$47:$Q$54,MATCH($C250,PAMS!$B$47:$B$54,0),MATCH(R$2,PAMS!$I$46:$Q$46,0))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INDEX(PAMS!$I$47:$Q$54,MATCH($C250,PAMS!$B$47:$B$54,0),MATCH(W$2,PAMS!$I$46:$Q$46,0))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INDEX(PAMS!$I$47:$Q$54,MATCH($C250,PAMS!$B$47:$B$54,0),MATCH(AB$2,PAMS!$I$46:$Q$46,0))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INDEX(PAMS!$I$47:$Q$54,MATCH($C250,PAMS!$B$47:$B$54,0),MATCH(AG$2,PAMS!$I$46:$Q$46,0))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INDEX(PAMS!$I$47:$Q$54,MATCH($C250,PAMS!$B$47:$B$54,0),MATCH(AL$2,PAMS!$I$46:$Q$46,0))</f>
        <v>0</v>
      </c>
      <c r="AM250" s="620">
        <f>INDEX(PAMS!$I$47:$Q$54,MATCH($C250,PAMS!$B$47:$B$54,0),MATCH(AM$2,PAMS!$I$46:$Q$46,0))</f>
        <v>0</v>
      </c>
      <c r="AN250" s="620">
        <f>INDEX(PAMS!$I$47:$Q$54,MATCH($C250,PAMS!$B$47:$B$54,0),MATCH(AN$2,PAMS!$I$46:$Q$46,0))</f>
        <v>0</v>
      </c>
    </row>
    <row r="251" spans="2:40" x14ac:dyDescent="0.25">
      <c r="B251" s="113" t="s">
        <v>1438</v>
      </c>
      <c r="C251" s="113" t="s">
        <v>1413</v>
      </c>
      <c r="D251" s="113" t="s">
        <v>1431</v>
      </c>
      <c r="E251" s="113" t="s">
        <v>1444</v>
      </c>
      <c r="F251" s="113" t="s">
        <v>707</v>
      </c>
      <c r="G251" s="113" t="s">
        <v>1101</v>
      </c>
      <c r="H251" s="113" t="s">
        <v>707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2:40" x14ac:dyDescent="0.25">
      <c r="B252" s="113" t="s">
        <v>1438</v>
      </c>
      <c r="C252" s="113" t="s">
        <v>1409</v>
      </c>
      <c r="D252" s="113" t="s">
        <v>1431</v>
      </c>
      <c r="E252" s="113" t="s">
        <v>1433</v>
      </c>
      <c r="F252" s="113" t="s">
        <v>707</v>
      </c>
      <c r="G252" s="113" t="s">
        <v>1101</v>
      </c>
      <c r="H252" s="113" t="s">
        <v>707</v>
      </c>
      <c r="I252" s="620">
        <f>PAMS!F$59</f>
        <v>3</v>
      </c>
      <c r="J252" s="620">
        <f>INDEX(PAMS!$I$47:$Q$54,MATCH($C252,PAMS!$B$47:$B$54,0),MATCH(J$2,PAMS!$I$46:$Q$46,0))</f>
        <v>0</v>
      </c>
      <c r="K252" s="620">
        <f>J252+($M252-$J252)/3</f>
        <v>0</v>
      </c>
      <c r="L252" s="620">
        <f>K252+($M252-$J252)/3</f>
        <v>0</v>
      </c>
      <c r="M252" s="620">
        <f>INDEX(PAMS!$I$47:$Q$54,MATCH($C252,PAMS!$B$47:$B$54,0),MATCH(M$2,PAMS!$I$46:$Q$46,0))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INDEX(PAMS!$I$47:$Q$54,MATCH($C252,PAMS!$B$47:$B$54,0),MATCH(R$2,PAMS!$I$46:$Q$46,0))</f>
        <v>0</v>
      </c>
      <c r="S252" s="620">
        <f>R252+($W252-$R252)/4</f>
        <v>-3.1250000000000002E-3</v>
      </c>
      <c r="T252" s="620">
        <f>S252+($W252-$R252)/4</f>
        <v>-6.2500000000000003E-3</v>
      </c>
      <c r="U252" s="620">
        <f>T252+($W252-$R252)/4</f>
        <v>-9.3750000000000014E-3</v>
      </c>
      <c r="V252" s="620">
        <f>U252+($W252-$R252)/4</f>
        <v>-1.2500000000000001E-2</v>
      </c>
      <c r="W252" s="620">
        <f>INDEX(PAMS!$I$47:$Q$54,MATCH($C252,PAMS!$B$47:$B$54,0),MATCH(W$2,PAMS!$I$46:$Q$46,0))</f>
        <v>-1.2500000000000001E-2</v>
      </c>
      <c r="X252" s="620">
        <f>W252+($AB252-$W252)/4</f>
        <v>-1.5625E-2</v>
      </c>
      <c r="Y252" s="620">
        <f>X252+($AB252-$W252)/4</f>
        <v>-1.8749999999999999E-2</v>
      </c>
      <c r="Z252" s="620">
        <f>Y252+($AB252-$W252)/4</f>
        <v>-2.1874999999999999E-2</v>
      </c>
      <c r="AA252" s="620">
        <f>Z252+($AB252-$W252)/4</f>
        <v>-2.4999999999999998E-2</v>
      </c>
      <c r="AB252" s="620">
        <f>INDEX(PAMS!$I$47:$Q$54,MATCH($C252,PAMS!$B$47:$B$54,0),MATCH(AB$2,PAMS!$I$46:$Q$46,0))</f>
        <v>-2.5000000000000001E-2</v>
      </c>
      <c r="AC252" s="620">
        <f>AB252+($AG252-$AB252)/4</f>
        <v>-2.5000000000000001E-2</v>
      </c>
      <c r="AD252" s="620">
        <f>AC252+($AG252-$AB252)/4</f>
        <v>-2.5000000000000001E-2</v>
      </c>
      <c r="AE252" s="620">
        <f>AD252+($AG252-$AB252)/4</f>
        <v>-2.5000000000000001E-2</v>
      </c>
      <c r="AF252" s="620">
        <f>AE252+($AG252-$AB252)/4</f>
        <v>-2.5000000000000001E-2</v>
      </c>
      <c r="AG252" s="620">
        <f>INDEX(PAMS!$I$47:$Q$54,MATCH($C252,PAMS!$B$47:$B$54,0),MATCH(AG$2,PAMS!$I$46:$Q$46,0))</f>
        <v>-2.5000000000000001E-2</v>
      </c>
      <c r="AH252" s="620">
        <f>AG252+($AM252-$AG252)/4</f>
        <v>-2.5000000000000001E-2</v>
      </c>
      <c r="AI252" s="620">
        <f>AH252+($AM252-$AG252)/4</f>
        <v>-2.5000000000000001E-2</v>
      </c>
      <c r="AJ252" s="620">
        <f>AI252+($AM252-$AG252)/4</f>
        <v>-2.5000000000000001E-2</v>
      </c>
      <c r="AK252" s="620">
        <f>AJ252+($AM252-$AG252)/4</f>
        <v>-2.5000000000000001E-2</v>
      </c>
      <c r="AL252" s="620">
        <f>INDEX(PAMS!$I$47:$Q$54,MATCH($C252,PAMS!$B$47:$B$54,0),MATCH(AL$2,PAMS!$I$46:$Q$46,0))</f>
        <v>-2.5000000000000001E-2</v>
      </c>
      <c r="AM252" s="620">
        <f>INDEX(PAMS!$I$47:$Q$54,MATCH($C252,PAMS!$B$47:$B$54,0),MATCH(AM$2,PAMS!$I$46:$Q$46,0))</f>
        <v>-2.5000000000000001E-2</v>
      </c>
      <c r="AN252" s="620">
        <f>INDEX(PAMS!$I$47:$Q$54,MATCH($C252,PAMS!$B$47:$B$54,0),MATCH(AN$2,PAMS!$I$46:$Q$46,0))</f>
        <v>-2.5000000000000001E-2</v>
      </c>
    </row>
    <row r="253" spans="2:40" x14ac:dyDescent="0.25">
      <c r="B253" s="113" t="s">
        <v>1438</v>
      </c>
      <c r="C253" s="113" t="s">
        <v>1409</v>
      </c>
      <c r="D253" s="113" t="s">
        <v>1431</v>
      </c>
      <c r="E253" s="113" t="s">
        <v>1443</v>
      </c>
      <c r="F253" s="113" t="s">
        <v>707</v>
      </c>
      <c r="G253" s="113" t="s">
        <v>1101</v>
      </c>
      <c r="H253" s="113" t="s">
        <v>707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2:40" x14ac:dyDescent="0.25">
      <c r="B254" s="113" t="s">
        <v>1438</v>
      </c>
      <c r="C254" s="113" t="s">
        <v>1407</v>
      </c>
      <c r="D254" s="113" t="s">
        <v>1431</v>
      </c>
      <c r="E254" s="113" t="s">
        <v>1433</v>
      </c>
      <c r="F254" s="113" t="s">
        <v>707</v>
      </c>
      <c r="G254" s="113" t="s">
        <v>1101</v>
      </c>
      <c r="H254" s="113" t="s">
        <v>707</v>
      </c>
      <c r="I254" s="620">
        <f>PAMS!F$59</f>
        <v>3</v>
      </c>
      <c r="J254" s="620">
        <f>INDEX(PAMS!$I$47:$Q$54,MATCH($C254,PAMS!$B$47:$B$54,0),MATCH(J$2,PAMS!$I$46:$Q$46,0))</f>
        <v>0</v>
      </c>
      <c r="K254" s="620">
        <f>J254+($M254-$J254)/3</f>
        <v>0</v>
      </c>
      <c r="L254" s="620">
        <f>K254+($M254-$J254)/3</f>
        <v>0</v>
      </c>
      <c r="M254" s="620">
        <f>INDEX(PAMS!$I$47:$Q$54,MATCH($C254,PAMS!$B$47:$B$54,0),MATCH(M$2,PAMS!$I$46:$Q$46,0))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INDEX(PAMS!$I$47:$Q$54,MATCH($C254,PAMS!$B$47:$B$54,0),MATCH(R$2,PAMS!$I$46:$Q$46,0))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INDEX(PAMS!$I$47:$Q$54,MATCH($C254,PAMS!$B$47:$B$54,0),MATCH(W$2,PAMS!$I$46:$Q$46,0))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INDEX(PAMS!$I$47:$Q$54,MATCH($C254,PAMS!$B$47:$B$54,0),MATCH(AB$2,PAMS!$I$46:$Q$46,0))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INDEX(PAMS!$I$47:$Q$54,MATCH($C254,PAMS!$B$47:$B$54,0),MATCH(AG$2,PAMS!$I$46:$Q$46,0))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INDEX(PAMS!$I$47:$Q$54,MATCH($C254,PAMS!$B$47:$B$54,0),MATCH(AL$2,PAMS!$I$46:$Q$46,0))</f>
        <v>0</v>
      </c>
      <c r="AM254" s="620">
        <f>INDEX(PAMS!$I$47:$Q$54,MATCH($C254,PAMS!$B$47:$B$54,0),MATCH(AM$2,PAMS!$I$46:$Q$46,0))</f>
        <v>0</v>
      </c>
      <c r="AN254" s="620">
        <f>INDEX(PAMS!$I$47:$Q$54,MATCH($C254,PAMS!$B$47:$B$54,0),MATCH(AN$2,PAMS!$I$46:$Q$46,0))</f>
        <v>0</v>
      </c>
    </row>
    <row r="255" spans="2:40" x14ac:dyDescent="0.25">
      <c r="B255" s="113" t="s">
        <v>1438</v>
      </c>
      <c r="C255" s="113" t="s">
        <v>1407</v>
      </c>
      <c r="D255" s="113" t="s">
        <v>1431</v>
      </c>
      <c r="E255" s="113" t="s">
        <v>1442</v>
      </c>
      <c r="F255" s="113" t="s">
        <v>707</v>
      </c>
      <c r="G255" s="113" t="s">
        <v>1101</v>
      </c>
      <c r="H255" s="113" t="s">
        <v>707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2:40" x14ac:dyDescent="0.25">
      <c r="B256" s="113" t="s">
        <v>1438</v>
      </c>
      <c r="C256" s="113" t="s">
        <v>1403</v>
      </c>
      <c r="D256" s="113" t="s">
        <v>1431</v>
      </c>
      <c r="E256" s="113" t="s">
        <v>1441</v>
      </c>
      <c r="F256" s="113" t="s">
        <v>707</v>
      </c>
      <c r="G256" s="113" t="s">
        <v>1101</v>
      </c>
      <c r="H256" s="113" t="s">
        <v>707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IF(wastePAM,(R256+(AB256-R256)/2)*(1+[2]PAMS!F225),(R256+(AB256-R256)/2))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Steel'!$D$150*(1+[2]PAMS!G234),'Iron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Steel'!$D$150*(1+[2]PAMS!H234),'Iron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Steel'!$D$150*(1+[2]PAMS!I234),'Iron &amp; Steel'!$D$150)</f>
        <v>-0.3</v>
      </c>
      <c r="AM256" s="622">
        <f>IF(wastePAM,'Iron &amp; Steel'!$D$150*(1+[2]PAMS!J234),'Iron &amp; Steel'!$D$150)</f>
        <v>-0.3</v>
      </c>
      <c r="AN256" s="622">
        <f>IF(wastePAM,'Iron &amp; Steel'!$D$150*(1+[2]PAMS!K234),'Iron &amp; Steel'!$D$150)</f>
        <v>-0.3</v>
      </c>
    </row>
    <row r="257" spans="1:40" x14ac:dyDescent="0.25">
      <c r="B257" s="113" t="s">
        <v>1438</v>
      </c>
      <c r="C257" s="113" t="s">
        <v>1403</v>
      </c>
      <c r="D257" s="113" t="s">
        <v>1431</v>
      </c>
      <c r="E257" s="113" t="s">
        <v>1440</v>
      </c>
      <c r="F257" s="113" t="s">
        <v>707</v>
      </c>
      <c r="G257" s="113" t="s">
        <v>1101</v>
      </c>
      <c r="H257" s="113" t="s">
        <v>707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1438</v>
      </c>
      <c r="C258" s="113" t="s">
        <v>1401</v>
      </c>
      <c r="D258" s="113" t="s">
        <v>1431</v>
      </c>
      <c r="E258" s="113" t="s">
        <v>1441</v>
      </c>
      <c r="F258" s="113" t="s">
        <v>707</v>
      </c>
      <c r="G258" s="113" t="s">
        <v>1101</v>
      </c>
      <c r="H258" s="113" t="s">
        <v>707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 t="str">
        <f t="shared" ref="S258:AN258" si="27">R258</f>
        <v>-0.237</v>
      </c>
      <c r="T258" s="113" t="str">
        <f t="shared" si="27"/>
        <v>-0.237</v>
      </c>
      <c r="U258" s="113" t="str">
        <f t="shared" si="27"/>
        <v>-0.237</v>
      </c>
      <c r="V258" s="113" t="str">
        <f t="shared" si="27"/>
        <v>-0.237</v>
      </c>
      <c r="W258" s="113" t="str">
        <f t="shared" si="27"/>
        <v>-0.237</v>
      </c>
      <c r="X258" s="113" t="str">
        <f t="shared" si="27"/>
        <v>-0.237</v>
      </c>
      <c r="Y258" s="113" t="str">
        <f t="shared" si="27"/>
        <v>-0.237</v>
      </c>
      <c r="Z258" s="113" t="str">
        <f t="shared" si="27"/>
        <v>-0.237</v>
      </c>
      <c r="AA258" s="113" t="str">
        <f t="shared" si="27"/>
        <v>-0.237</v>
      </c>
      <c r="AB258" s="113" t="str">
        <f t="shared" si="27"/>
        <v>-0.237</v>
      </c>
      <c r="AC258" s="113" t="str">
        <f t="shared" si="27"/>
        <v>-0.237</v>
      </c>
      <c r="AD258" s="113" t="str">
        <f t="shared" si="27"/>
        <v>-0.237</v>
      </c>
      <c r="AE258" s="113" t="str">
        <f t="shared" si="27"/>
        <v>-0.237</v>
      </c>
      <c r="AF258" s="113" t="str">
        <f t="shared" si="27"/>
        <v>-0.237</v>
      </c>
      <c r="AG258" s="113" t="str">
        <f t="shared" si="27"/>
        <v>-0.237</v>
      </c>
      <c r="AH258" s="113" t="str">
        <f t="shared" si="27"/>
        <v>-0.237</v>
      </c>
      <c r="AI258" s="113" t="str">
        <f t="shared" si="27"/>
        <v>-0.237</v>
      </c>
      <c r="AJ258" s="113" t="str">
        <f t="shared" si="27"/>
        <v>-0.237</v>
      </c>
      <c r="AK258" s="113" t="str">
        <f t="shared" si="27"/>
        <v>-0.237</v>
      </c>
      <c r="AL258" s="113" t="str">
        <f t="shared" si="27"/>
        <v>-0.237</v>
      </c>
      <c r="AM258" s="113" t="str">
        <f t="shared" si="27"/>
        <v>-0.237</v>
      </c>
      <c r="AN258" s="113" t="str">
        <f t="shared" si="27"/>
        <v>-0.237</v>
      </c>
    </row>
    <row r="259" spans="1:40" x14ac:dyDescent="0.25">
      <c r="B259" s="113" t="s">
        <v>1438</v>
      </c>
      <c r="C259" s="113" t="s">
        <v>1401</v>
      </c>
      <c r="D259" s="113" t="s">
        <v>1431</v>
      </c>
      <c r="E259" s="113" t="s">
        <v>1440</v>
      </c>
      <c r="F259" s="113" t="s">
        <v>707</v>
      </c>
      <c r="G259" s="113" t="s">
        <v>1101</v>
      </c>
      <c r="H259" s="113" t="s">
        <v>707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B260" s="113" t="s">
        <v>1438</v>
      </c>
      <c r="C260" s="113" t="s">
        <v>1399</v>
      </c>
      <c r="D260" s="113" t="s">
        <v>1431</v>
      </c>
      <c r="E260" s="113" t="s">
        <v>1430</v>
      </c>
      <c r="F260" s="113" t="s">
        <v>707</v>
      </c>
      <c r="G260" s="113" t="s">
        <v>1101</v>
      </c>
      <c r="H260" s="113" t="s">
        <v>707</v>
      </c>
      <c r="I260" s="620">
        <f>PAMS!F$59</f>
        <v>3</v>
      </c>
      <c r="J260" s="620">
        <f>INDEX(PAMS!$I$47:$Q$56,MATCH($C260,PAMS!$B$47:$B$56,0),MATCH(J$2,PAMS!$I$46:$Q$46,0))</f>
        <v>0</v>
      </c>
      <c r="K260" s="620">
        <f>J260+($M260-$J260)/3</f>
        <v>0</v>
      </c>
      <c r="L260" s="620">
        <f>K260+($M260-$J260)/3</f>
        <v>0</v>
      </c>
      <c r="M260" s="620">
        <f>INDEX(PAMS!$I$47:$Q$56,MATCH($C260,PAMS!$B$47:$B$56,0),MATCH(M$2,PAMS!$I$46:$Q$46,0))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INDEX(PAMS!$I$47:$Q$56,MATCH($C260,PAMS!$B$47:$B$56,0),MATCH(R$2,PAMS!$I$46:$Q$46,0))</f>
        <v>0</v>
      </c>
      <c r="S260" s="620">
        <f>R260+($W260-$R260)/4</f>
        <v>-3.1250000000000002E-3</v>
      </c>
      <c r="T260" s="620">
        <f>S260+($W260-$R260)/4</f>
        <v>-6.2500000000000003E-3</v>
      </c>
      <c r="U260" s="620">
        <f>T260+($W260-$R260)/4</f>
        <v>-9.3750000000000014E-3</v>
      </c>
      <c r="V260" s="620">
        <f>U260+($W260-$R260)/4</f>
        <v>-1.2500000000000001E-2</v>
      </c>
      <c r="W260" s="620">
        <f>INDEX(PAMS!$I$47:$Q$56,MATCH($C260,PAMS!$B$47:$B$56,0),MATCH(W$2,PAMS!$I$46:$Q$46,0))</f>
        <v>-1.2500000000000001E-2</v>
      </c>
      <c r="X260" s="620">
        <f>W260+($AB260-$W260)/4</f>
        <v>-1.5625E-2</v>
      </c>
      <c r="Y260" s="620">
        <f>X260+($AB260-$W260)/4</f>
        <v>-1.8749999999999999E-2</v>
      </c>
      <c r="Z260" s="620">
        <f>Y260+($AB260-$W260)/4</f>
        <v>-2.1874999999999999E-2</v>
      </c>
      <c r="AA260" s="620">
        <f>Z260+($AB260-$W260)/4</f>
        <v>-2.4999999999999998E-2</v>
      </c>
      <c r="AB260" s="620">
        <f>INDEX(PAMS!$I$47:$Q$56,MATCH($C260,PAMS!$B$47:$B$56,0),MATCH(AB$2,PAMS!$I$46:$Q$46,0))</f>
        <v>-2.5000000000000001E-2</v>
      </c>
      <c r="AC260" s="620">
        <f>AB260+($AG260-$AB260)/4</f>
        <v>-2.5000000000000001E-2</v>
      </c>
      <c r="AD260" s="620">
        <f>AC260+($AG260-$AB260)/4</f>
        <v>-2.5000000000000001E-2</v>
      </c>
      <c r="AE260" s="620">
        <f>AD260+($AG260-$AB260)/4</f>
        <v>-2.5000000000000001E-2</v>
      </c>
      <c r="AF260" s="620">
        <f>AE260+($AG260-$AB260)/4</f>
        <v>-2.5000000000000001E-2</v>
      </c>
      <c r="AG260" s="620">
        <f>INDEX(PAMS!$I$47:$Q$56,MATCH($C260,PAMS!$B$47:$B$56,0),MATCH(AG$2,PAMS!$I$46:$Q$46,0))</f>
        <v>-2.5000000000000001E-2</v>
      </c>
      <c r="AH260" s="620">
        <f>AG260+($AM260-$AG260)/4</f>
        <v>-2.5000000000000001E-2</v>
      </c>
      <c r="AI260" s="620">
        <f>AH260+($AM260-$AG260)/4</f>
        <v>-2.5000000000000001E-2</v>
      </c>
      <c r="AJ260" s="620">
        <f>AI260+($AM260-$AG260)/4</f>
        <v>-2.5000000000000001E-2</v>
      </c>
      <c r="AK260" s="620">
        <f>AJ260+($AM260-$AG260)/4</f>
        <v>-2.5000000000000001E-2</v>
      </c>
      <c r="AL260" s="620">
        <f>INDEX(PAMS!$I$47:$Q$56,MATCH($C260,PAMS!$B$47:$B$56,0),MATCH(AL$2,PAMS!$I$46:$Q$46,0))</f>
        <v>-2.5000000000000001E-2</v>
      </c>
      <c r="AM260" s="620">
        <f>INDEX(PAMS!$I$47:$Q$56,MATCH($C260,PAMS!$B$47:$B$56,0),MATCH(AM$2,PAMS!$I$46:$Q$46,0))</f>
        <v>-2.5000000000000001E-2</v>
      </c>
      <c r="AN260" s="620">
        <f>INDEX(PAMS!$I$47:$Q$56,MATCH($C260,PAMS!$B$47:$B$56,0),MATCH(AN$2,PAMS!$I$46:$Q$46,0))</f>
        <v>-2.5000000000000001E-2</v>
      </c>
    </row>
    <row r="261" spans="1:40" x14ac:dyDescent="0.25">
      <c r="B261" s="113" t="s">
        <v>1438</v>
      </c>
      <c r="C261" s="113" t="s">
        <v>1399</v>
      </c>
      <c r="D261" s="113" t="s">
        <v>1431</v>
      </c>
      <c r="E261" s="113" t="s">
        <v>1439</v>
      </c>
      <c r="F261" s="113" t="s">
        <v>707</v>
      </c>
      <c r="G261" s="113" t="s">
        <v>1101</v>
      </c>
      <c r="H261" s="113" t="s">
        <v>707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B262" s="113" t="s">
        <v>1438</v>
      </c>
      <c r="C262" s="113" t="s">
        <v>1396</v>
      </c>
      <c r="D262" s="113" t="s">
        <v>1431</v>
      </c>
      <c r="E262" s="113" t="s">
        <v>1430</v>
      </c>
      <c r="F262" s="113" t="s">
        <v>707</v>
      </c>
      <c r="G262" s="113" t="s">
        <v>1101</v>
      </c>
      <c r="H262" s="113" t="s">
        <v>707</v>
      </c>
      <c r="I262" s="620">
        <f>PAMS!F$59</f>
        <v>3</v>
      </c>
      <c r="J262" s="620">
        <f>INDEX(PAMS!$I$47:$Q$56,MATCH($C262,PAMS!$B$47:$B$56,0),MATCH(J$2,PAMS!$I$46:$Q$46,0))</f>
        <v>0</v>
      </c>
      <c r="K262" s="620">
        <f>J262+($M262-$J262)/3</f>
        <v>0</v>
      </c>
      <c r="L262" s="620">
        <f>K262+($M262-$J262)/3</f>
        <v>0</v>
      </c>
      <c r="M262" s="620">
        <f>INDEX(PAMS!$I$47:$Q$56,MATCH($C262,PAMS!$B$47:$B$56,0),MATCH(M$2,PAMS!$I$46:$Q$46,0))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INDEX(PAMS!$I$47:$Q$56,MATCH($C262,PAMS!$B$47:$B$56,0),MATCH(R$2,PAMS!$I$46:$Q$46,0))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INDEX(PAMS!$I$47:$Q$56,MATCH($C262,PAMS!$B$47:$B$56,0),MATCH(W$2,PAMS!$I$46:$Q$46,0))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INDEX(PAMS!$I$47:$Q$56,MATCH($C262,PAMS!$B$47:$B$56,0),MATCH(AB$2,PAMS!$I$46:$Q$46,0))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INDEX(PAMS!$I$47:$Q$56,MATCH($C262,PAMS!$B$47:$B$56,0),MATCH(AG$2,PAMS!$I$46:$Q$46,0))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INDEX(PAMS!$I$47:$Q$56,MATCH($C262,PAMS!$B$47:$B$56,0),MATCH(AL$2,PAMS!$I$46:$Q$46,0))</f>
        <v>0</v>
      </c>
      <c r="AM262" s="620">
        <f>INDEX(PAMS!$I$47:$Q$56,MATCH($C262,PAMS!$B$47:$B$56,0),MATCH(AM$2,PAMS!$I$46:$Q$46,0))</f>
        <v>0</v>
      </c>
      <c r="AN262" s="620">
        <f>INDEX(PAMS!$I$47:$Q$56,MATCH($C262,PAMS!$B$47:$B$56,0),MATCH(AN$2,PAMS!$I$46:$Q$46,0))</f>
        <v>0</v>
      </c>
    </row>
    <row r="263" spans="1:40" x14ac:dyDescent="0.25">
      <c r="B263" s="113" t="s">
        <v>1438</v>
      </c>
      <c r="C263" s="113" t="s">
        <v>1396</v>
      </c>
      <c r="D263" s="113" t="s">
        <v>1431</v>
      </c>
      <c r="E263" s="113" t="s">
        <v>1437</v>
      </c>
      <c r="F263" s="113" t="s">
        <v>707</v>
      </c>
      <c r="G263" s="113" t="s">
        <v>1101</v>
      </c>
      <c r="H263" s="113" t="s">
        <v>707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B264" s="113" t="s">
        <v>1432</v>
      </c>
      <c r="C264" s="113" t="s">
        <v>1429</v>
      </c>
      <c r="D264" s="113" t="s">
        <v>1431</v>
      </c>
      <c r="E264" s="113" t="s">
        <v>1436</v>
      </c>
      <c r="F264" s="113" t="s">
        <v>707</v>
      </c>
      <c r="G264" s="113" t="s">
        <v>707</v>
      </c>
      <c r="H264" s="113" t="s">
        <v>707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B265" s="113" t="s">
        <v>1432</v>
      </c>
      <c r="C265" s="113" t="s">
        <v>1423</v>
      </c>
      <c r="D265" s="113" t="s">
        <v>1431</v>
      </c>
      <c r="E265" s="113" t="s">
        <v>1435</v>
      </c>
      <c r="F265" s="113" t="s">
        <v>707</v>
      </c>
      <c r="G265" s="113" t="s">
        <v>707</v>
      </c>
      <c r="H265" s="113" t="s">
        <v>707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B266" s="113" t="s">
        <v>1432</v>
      </c>
      <c r="C266" s="113" t="s">
        <v>1417</v>
      </c>
      <c r="D266" s="113" t="s">
        <v>1431</v>
      </c>
      <c r="E266" s="113" t="s">
        <v>1434</v>
      </c>
      <c r="F266" s="113" t="s">
        <v>707</v>
      </c>
      <c r="G266" s="113" t="s">
        <v>707</v>
      </c>
      <c r="H266" s="113" t="s">
        <v>707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B267" s="113" t="s">
        <v>1432</v>
      </c>
      <c r="C267" s="113" t="s">
        <v>1411</v>
      </c>
      <c r="D267" s="113" t="s">
        <v>1431</v>
      </c>
      <c r="E267" s="113" t="s">
        <v>1433</v>
      </c>
      <c r="F267" s="113" t="s">
        <v>707</v>
      </c>
      <c r="G267" s="113" t="s">
        <v>707</v>
      </c>
      <c r="H267" s="113" t="s">
        <v>707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B268" s="113" t="s">
        <v>1432</v>
      </c>
      <c r="C268" s="113" t="s">
        <v>1405</v>
      </c>
      <c r="D268" s="113" t="s">
        <v>1431</v>
      </c>
      <c r="E268" s="113" t="s">
        <v>1430</v>
      </c>
      <c r="F268" s="113" t="s">
        <v>707</v>
      </c>
      <c r="G268" s="113" t="s">
        <v>707</v>
      </c>
      <c r="H268" s="113" t="s">
        <v>707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1052</v>
      </c>
      <c r="B269" s="113" t="s">
        <v>979</v>
      </c>
      <c r="C269" s="113" t="s">
        <v>170</v>
      </c>
      <c r="D269" s="113" t="s">
        <v>707</v>
      </c>
      <c r="E269" s="113" t="s">
        <v>707</v>
      </c>
      <c r="F269" s="113" t="s">
        <v>707</v>
      </c>
      <c r="G269" s="113" t="s">
        <v>1101</v>
      </c>
      <c r="H269" s="113" t="s">
        <v>593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1052</v>
      </c>
      <c r="B270" s="113" t="s">
        <v>979</v>
      </c>
      <c r="C270" s="113" t="s">
        <v>1306</v>
      </c>
      <c r="D270" s="113" t="s">
        <v>707</v>
      </c>
      <c r="E270" s="113" t="s">
        <v>707</v>
      </c>
      <c r="F270" s="113" t="s">
        <v>707</v>
      </c>
      <c r="G270" s="113" t="s">
        <v>1101</v>
      </c>
      <c r="H270" s="113" t="s">
        <v>593</v>
      </c>
      <c r="I270" s="113">
        <v>5</v>
      </c>
      <c r="J270" s="113">
        <v>0.4</v>
      </c>
    </row>
    <row r="271" spans="1:40" x14ac:dyDescent="0.25">
      <c r="A271" s="616" t="s">
        <v>1052</v>
      </c>
      <c r="B271" s="113" t="s">
        <v>979</v>
      </c>
      <c r="C271" s="113" t="s">
        <v>1304</v>
      </c>
      <c r="D271" s="113" t="s">
        <v>707</v>
      </c>
      <c r="E271" s="113" t="s">
        <v>707</v>
      </c>
      <c r="F271" s="113" t="s">
        <v>707</v>
      </c>
      <c r="G271" s="113" t="s">
        <v>1101</v>
      </c>
      <c r="H271" s="113" t="s">
        <v>593</v>
      </c>
      <c r="I271" s="113">
        <v>5</v>
      </c>
      <c r="J271" s="113">
        <v>0.4</v>
      </c>
    </row>
    <row r="272" spans="1:40" x14ac:dyDescent="0.25">
      <c r="A272" s="113" t="s">
        <v>1052</v>
      </c>
      <c r="B272" s="113" t="s">
        <v>979</v>
      </c>
      <c r="C272" s="113" t="s">
        <v>539</v>
      </c>
      <c r="D272" s="113" t="s">
        <v>707</v>
      </c>
      <c r="E272" s="113" t="s">
        <v>707</v>
      </c>
      <c r="F272" s="113" t="s">
        <v>707</v>
      </c>
      <c r="G272" s="113" t="s">
        <v>1101</v>
      </c>
      <c r="H272" s="113" t="s">
        <v>593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1052</v>
      </c>
      <c r="B273" s="113" t="s">
        <v>979</v>
      </c>
      <c r="C273" s="113" t="s">
        <v>172</v>
      </c>
      <c r="D273" s="113" t="s">
        <v>707</v>
      </c>
      <c r="E273" s="113" t="s">
        <v>707</v>
      </c>
      <c r="F273" s="113" t="s">
        <v>707</v>
      </c>
      <c r="G273" s="113" t="s">
        <v>1101</v>
      </c>
      <c r="H273" s="113" t="s">
        <v>593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1052</v>
      </c>
      <c r="B274" s="113" t="s">
        <v>979</v>
      </c>
      <c r="C274" s="113" t="s">
        <v>1300</v>
      </c>
      <c r="D274" s="113" t="s">
        <v>707</v>
      </c>
      <c r="E274" s="113" t="s">
        <v>707</v>
      </c>
      <c r="F274" s="113" t="s">
        <v>707</v>
      </c>
      <c r="G274" s="113" t="s">
        <v>1101</v>
      </c>
      <c r="H274" s="113" t="s">
        <v>593</v>
      </c>
      <c r="I274" s="113">
        <v>5</v>
      </c>
      <c r="J274" s="113">
        <v>0.4</v>
      </c>
    </row>
    <row r="275" spans="1:28" x14ac:dyDescent="0.25">
      <c r="A275" s="616" t="s">
        <v>1052</v>
      </c>
      <c r="B275" s="113" t="s">
        <v>979</v>
      </c>
      <c r="C275" s="113" t="s">
        <v>1298</v>
      </c>
      <c r="D275" s="113" t="s">
        <v>707</v>
      </c>
      <c r="E275" s="113" t="s">
        <v>707</v>
      </c>
      <c r="F275" s="113" t="s">
        <v>707</v>
      </c>
      <c r="G275" s="113" t="s">
        <v>1101</v>
      </c>
      <c r="H275" s="113" t="s">
        <v>593</v>
      </c>
      <c r="I275" s="113">
        <v>5</v>
      </c>
      <c r="J275" s="113">
        <v>0.4</v>
      </c>
    </row>
    <row r="276" spans="1:28" x14ac:dyDescent="0.25">
      <c r="A276" s="113" t="s">
        <v>1052</v>
      </c>
      <c r="B276" s="113" t="s">
        <v>979</v>
      </c>
      <c r="C276" s="113" t="s">
        <v>175</v>
      </c>
      <c r="D276" s="113" t="s">
        <v>707</v>
      </c>
      <c r="E276" s="113" t="s">
        <v>707</v>
      </c>
      <c r="F276" s="113" t="s">
        <v>707</v>
      </c>
      <c r="G276" s="113" t="s">
        <v>1101</v>
      </c>
      <c r="H276" s="113" t="s">
        <v>593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1052</v>
      </c>
      <c r="B277" s="113" t="s">
        <v>979</v>
      </c>
      <c r="C277" s="113" t="s">
        <v>1293</v>
      </c>
      <c r="D277" s="113" t="s">
        <v>707</v>
      </c>
      <c r="E277" s="113" t="s">
        <v>707</v>
      </c>
      <c r="F277" s="113" t="s">
        <v>707</v>
      </c>
      <c r="G277" s="113" t="s">
        <v>1101</v>
      </c>
      <c r="H277" s="113" t="s">
        <v>593</v>
      </c>
      <c r="I277" s="113">
        <v>5</v>
      </c>
      <c r="J277" s="113">
        <v>0.4</v>
      </c>
      <c r="K277" s="619"/>
    </row>
    <row r="278" spans="1:28" x14ac:dyDescent="0.25">
      <c r="A278" s="616" t="s">
        <v>1052</v>
      </c>
      <c r="B278" s="113" t="s">
        <v>979</v>
      </c>
      <c r="C278" s="113" t="s">
        <v>1291</v>
      </c>
      <c r="D278" s="113" t="s">
        <v>707</v>
      </c>
      <c r="E278" s="113" t="s">
        <v>707</v>
      </c>
      <c r="F278" s="113" t="s">
        <v>707</v>
      </c>
      <c r="G278" s="113" t="s">
        <v>1101</v>
      </c>
      <c r="H278" s="113" t="s">
        <v>593</v>
      </c>
      <c r="I278" s="113">
        <v>5</v>
      </c>
      <c r="J278" s="113">
        <v>0.4</v>
      </c>
      <c r="N278" s="618"/>
    </row>
    <row r="279" spans="1:28" x14ac:dyDescent="0.25">
      <c r="A279" s="113" t="s">
        <v>1052</v>
      </c>
      <c r="B279" s="113" t="s">
        <v>979</v>
      </c>
      <c r="C279" s="113" t="s">
        <v>540</v>
      </c>
      <c r="D279" s="113" t="s">
        <v>707</v>
      </c>
      <c r="E279" s="113" t="s">
        <v>707</v>
      </c>
      <c r="F279" s="113" t="s">
        <v>707</v>
      </c>
      <c r="G279" s="113" t="s">
        <v>1101</v>
      </c>
      <c r="H279" s="113" t="s">
        <v>593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1052</v>
      </c>
      <c r="B280" s="113" t="s">
        <v>979</v>
      </c>
      <c r="C280" s="113" t="s">
        <v>541</v>
      </c>
      <c r="D280" s="113" t="s">
        <v>707</v>
      </c>
      <c r="E280" s="113" t="s">
        <v>707</v>
      </c>
      <c r="F280" s="113" t="s">
        <v>707</v>
      </c>
      <c r="G280" s="113" t="s">
        <v>1101</v>
      </c>
      <c r="H280" s="113" t="s">
        <v>593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1052</v>
      </c>
      <c r="B281" s="113" t="s">
        <v>979</v>
      </c>
      <c r="C281" s="113" t="s">
        <v>179</v>
      </c>
      <c r="D281" s="113" t="s">
        <v>707</v>
      </c>
      <c r="E281" s="113" t="s">
        <v>707</v>
      </c>
      <c r="F281" s="113" t="s">
        <v>707</v>
      </c>
      <c r="G281" s="113" t="s">
        <v>1101</v>
      </c>
      <c r="H281" s="113" t="s">
        <v>593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1052</v>
      </c>
      <c r="B282" s="113" t="s">
        <v>979</v>
      </c>
      <c r="C282" s="113" t="s">
        <v>1286</v>
      </c>
      <c r="D282" s="113" t="s">
        <v>707</v>
      </c>
      <c r="E282" s="113" t="s">
        <v>707</v>
      </c>
      <c r="F282" s="113" t="s">
        <v>707</v>
      </c>
      <c r="G282" s="113" t="s">
        <v>1101</v>
      </c>
      <c r="H282" s="113" t="s">
        <v>593</v>
      </c>
      <c r="I282" s="113">
        <v>5</v>
      </c>
      <c r="J282" s="113">
        <v>0.4</v>
      </c>
      <c r="N282" s="617"/>
    </row>
    <row r="283" spans="1:28" x14ac:dyDescent="0.25">
      <c r="A283" s="616" t="s">
        <v>1052</v>
      </c>
      <c r="B283" s="113" t="s">
        <v>979</v>
      </c>
      <c r="C283" s="113" t="s">
        <v>1284</v>
      </c>
      <c r="D283" s="113" t="s">
        <v>707</v>
      </c>
      <c r="E283" s="113" t="s">
        <v>707</v>
      </c>
      <c r="F283" s="113" t="s">
        <v>707</v>
      </c>
      <c r="G283" s="113" t="s">
        <v>1101</v>
      </c>
      <c r="H283" s="113" t="s">
        <v>593</v>
      </c>
      <c r="I283" s="113">
        <v>5</v>
      </c>
      <c r="J283" s="113">
        <v>0.4</v>
      </c>
    </row>
    <row r="284" spans="1:28" x14ac:dyDescent="0.25">
      <c r="A284" s="113" t="s">
        <v>1052</v>
      </c>
      <c r="B284" s="113" t="s">
        <v>979</v>
      </c>
      <c r="C284" s="113" t="s">
        <v>181</v>
      </c>
      <c r="D284" s="113" t="s">
        <v>707</v>
      </c>
      <c r="E284" s="113" t="s">
        <v>707</v>
      </c>
      <c r="F284" s="113" t="s">
        <v>707</v>
      </c>
      <c r="G284" s="113" t="s">
        <v>1101</v>
      </c>
      <c r="H284" s="113" t="s">
        <v>593</v>
      </c>
      <c r="I284" s="113">
        <v>5</v>
      </c>
      <c r="J284" s="113">
        <v>0.4</v>
      </c>
    </row>
    <row r="285" spans="1:28" x14ac:dyDescent="0.25">
      <c r="A285" s="616" t="s">
        <v>1052</v>
      </c>
      <c r="B285" s="113" t="s">
        <v>979</v>
      </c>
      <c r="C285" s="113" t="s">
        <v>1281</v>
      </c>
      <c r="D285" s="113" t="s">
        <v>707</v>
      </c>
      <c r="E285" s="113" t="s">
        <v>707</v>
      </c>
      <c r="F285" s="113" t="s">
        <v>707</v>
      </c>
      <c r="G285" s="113" t="s">
        <v>1101</v>
      </c>
      <c r="H285" s="113" t="s">
        <v>593</v>
      </c>
      <c r="I285" s="113">
        <v>5</v>
      </c>
      <c r="J285" s="113">
        <v>0.4</v>
      </c>
    </row>
    <row r="286" spans="1:28" x14ac:dyDescent="0.25">
      <c r="A286" s="616" t="s">
        <v>1052</v>
      </c>
      <c r="B286" s="113" t="s">
        <v>979</v>
      </c>
      <c r="C286" s="113" t="s">
        <v>1279</v>
      </c>
      <c r="D286" s="113" t="s">
        <v>707</v>
      </c>
      <c r="E286" s="113" t="s">
        <v>707</v>
      </c>
      <c r="F286" s="113" t="s">
        <v>707</v>
      </c>
      <c r="G286" s="113" t="s">
        <v>1101</v>
      </c>
      <c r="H286" s="113" t="s">
        <v>593</v>
      </c>
      <c r="I286" s="113">
        <v>5</v>
      </c>
      <c r="J286" s="113">
        <v>0.4</v>
      </c>
    </row>
    <row r="287" spans="1:28" x14ac:dyDescent="0.25">
      <c r="A287" s="113" t="s">
        <v>1052</v>
      </c>
      <c r="B287" s="113" t="s">
        <v>979</v>
      </c>
      <c r="C287" s="113" t="s">
        <v>542</v>
      </c>
      <c r="D287" s="113" t="s">
        <v>707</v>
      </c>
      <c r="E287" s="113" t="s">
        <v>707</v>
      </c>
      <c r="F287" s="113" t="s">
        <v>707</v>
      </c>
      <c r="G287" s="113" t="s">
        <v>1101</v>
      </c>
      <c r="H287" s="113" t="s">
        <v>593</v>
      </c>
      <c r="I287" s="113">
        <v>5</v>
      </c>
      <c r="J287" s="113">
        <v>0.4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1"/>
  <sheetViews>
    <sheetView workbookViewId="0">
      <selection activeCell="D36" sqref="D36"/>
    </sheetView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1516</v>
      </c>
      <c r="B1" s="113" t="s">
        <v>1084</v>
      </c>
    </row>
    <row r="2" spans="1:9" x14ac:dyDescent="0.25">
      <c r="B2" s="113" t="s">
        <v>1111</v>
      </c>
      <c r="C2" s="113" t="s">
        <v>707</v>
      </c>
      <c r="D2" s="113" t="s">
        <v>43</v>
      </c>
      <c r="E2" s="113" t="s">
        <v>1368</v>
      </c>
      <c r="F2" s="113" t="s">
        <v>707</v>
      </c>
      <c r="G2" s="113" t="s">
        <v>707</v>
      </c>
      <c r="H2" s="113" t="s">
        <v>707</v>
      </c>
      <c r="I2" s="113">
        <v>1</v>
      </c>
    </row>
    <row r="3" spans="1:9" x14ac:dyDescent="0.25">
      <c r="B3" s="113" t="s">
        <v>1111</v>
      </c>
      <c r="C3" s="113" t="s">
        <v>707</v>
      </c>
      <c r="D3" s="113" t="s">
        <v>43</v>
      </c>
      <c r="E3" s="113" t="s">
        <v>1364</v>
      </c>
      <c r="F3" s="113" t="s">
        <v>707</v>
      </c>
      <c r="G3" s="113" t="s">
        <v>707</v>
      </c>
      <c r="H3" s="113" t="s">
        <v>707</v>
      </c>
      <c r="I3" s="113">
        <v>1</v>
      </c>
    </row>
    <row r="4" spans="1:9" x14ac:dyDescent="0.25">
      <c r="B4" s="113" t="s">
        <v>1111</v>
      </c>
      <c r="C4" s="113" t="s">
        <v>707</v>
      </c>
      <c r="D4" s="113" t="s">
        <v>43</v>
      </c>
      <c r="E4" s="113" t="s">
        <v>1392</v>
      </c>
      <c r="F4" s="113" t="s">
        <v>707</v>
      </c>
      <c r="G4" s="113" t="s">
        <v>707</v>
      </c>
      <c r="H4" s="113" t="s">
        <v>707</v>
      </c>
      <c r="I4" s="113">
        <v>1</v>
      </c>
    </row>
    <row r="5" spans="1:9" x14ac:dyDescent="0.25">
      <c r="B5" s="113" t="s">
        <v>1111</v>
      </c>
      <c r="C5" s="113" t="s">
        <v>707</v>
      </c>
      <c r="D5" s="113" t="s">
        <v>43</v>
      </c>
      <c r="E5" s="113" t="s">
        <v>1388</v>
      </c>
      <c r="F5" s="113" t="s">
        <v>707</v>
      </c>
      <c r="G5" s="113" t="s">
        <v>707</v>
      </c>
      <c r="H5" s="113" t="s">
        <v>707</v>
      </c>
      <c r="I5" s="113">
        <v>1</v>
      </c>
    </row>
    <row r="6" spans="1:9" x14ac:dyDescent="0.25">
      <c r="B6" s="113" t="s">
        <v>1111</v>
      </c>
      <c r="C6" s="113" t="s">
        <v>707</v>
      </c>
      <c r="D6" s="113" t="s">
        <v>43</v>
      </c>
      <c r="E6" s="113" t="s">
        <v>1384</v>
      </c>
      <c r="F6" s="113" t="s">
        <v>707</v>
      </c>
      <c r="G6" s="113" t="s">
        <v>707</v>
      </c>
      <c r="H6" s="113" t="s">
        <v>707</v>
      </c>
      <c r="I6" s="113">
        <v>1</v>
      </c>
    </row>
    <row r="7" spans="1:9" x14ac:dyDescent="0.25">
      <c r="B7" s="113" t="s">
        <v>1111</v>
      </c>
      <c r="C7" s="113" t="s">
        <v>707</v>
      </c>
      <c r="D7" s="113" t="s">
        <v>40</v>
      </c>
      <c r="E7" s="113" t="s">
        <v>1392</v>
      </c>
      <c r="F7" s="113" t="s">
        <v>707</v>
      </c>
      <c r="G7" s="113" t="s">
        <v>707</v>
      </c>
      <c r="H7" s="113" t="s">
        <v>707</v>
      </c>
      <c r="I7" s="113">
        <v>1</v>
      </c>
    </row>
    <row r="8" spans="1:9" x14ac:dyDescent="0.25">
      <c r="B8" s="113" t="s">
        <v>1111</v>
      </c>
      <c r="C8" s="113" t="s">
        <v>707</v>
      </c>
      <c r="D8" s="113" t="s">
        <v>40</v>
      </c>
      <c r="E8" s="113" t="s">
        <v>1388</v>
      </c>
      <c r="F8" s="113" t="s">
        <v>707</v>
      </c>
      <c r="G8" s="113" t="s">
        <v>707</v>
      </c>
      <c r="H8" s="113" t="s">
        <v>707</v>
      </c>
      <c r="I8" s="113">
        <v>1</v>
      </c>
    </row>
    <row r="9" spans="1:9" x14ac:dyDescent="0.25">
      <c r="B9" s="113" t="s">
        <v>1111</v>
      </c>
      <c r="C9" s="113" t="s">
        <v>707</v>
      </c>
      <c r="D9" s="113" t="s">
        <v>40</v>
      </c>
      <c r="E9" s="113" t="s">
        <v>1384</v>
      </c>
      <c r="F9" s="113" t="s">
        <v>707</v>
      </c>
      <c r="G9" s="113" t="s">
        <v>707</v>
      </c>
      <c r="H9" s="113" t="s">
        <v>707</v>
      </c>
      <c r="I9" s="113">
        <v>1</v>
      </c>
    </row>
    <row r="10" spans="1:9" x14ac:dyDescent="0.25">
      <c r="B10" s="113" t="s">
        <v>1111</v>
      </c>
      <c r="C10" s="113" t="s">
        <v>707</v>
      </c>
      <c r="D10" s="113" t="s">
        <v>40</v>
      </c>
      <c r="E10" s="113" t="s">
        <v>1380</v>
      </c>
      <c r="F10" s="113" t="s">
        <v>707</v>
      </c>
      <c r="G10" s="113" t="s">
        <v>707</v>
      </c>
      <c r="H10" s="113" t="s">
        <v>707</v>
      </c>
      <c r="I10" s="113">
        <v>1</v>
      </c>
    </row>
    <row r="11" spans="1:9" x14ac:dyDescent="0.25">
      <c r="B11" s="113" t="s">
        <v>1111</v>
      </c>
      <c r="C11" s="113" t="s">
        <v>707</v>
      </c>
      <c r="D11" s="113" t="s">
        <v>40</v>
      </c>
      <c r="E11" s="113" t="s">
        <v>1372</v>
      </c>
      <c r="F11" s="113" t="s">
        <v>707</v>
      </c>
      <c r="G11" s="113" t="s">
        <v>707</v>
      </c>
      <c r="H11" s="113" t="s">
        <v>707</v>
      </c>
      <c r="I11" s="113">
        <v>1</v>
      </c>
    </row>
    <row r="12" spans="1:9" x14ac:dyDescent="0.25">
      <c r="B12" s="113" t="s">
        <v>1111</v>
      </c>
      <c r="C12" s="113" t="s">
        <v>707</v>
      </c>
      <c r="D12" s="113" t="s">
        <v>40</v>
      </c>
      <c r="E12" s="113" t="s">
        <v>1368</v>
      </c>
      <c r="F12" s="113" t="s">
        <v>707</v>
      </c>
      <c r="G12" s="113" t="s">
        <v>707</v>
      </c>
      <c r="H12" s="113" t="s">
        <v>707</v>
      </c>
      <c r="I12" s="113">
        <v>1</v>
      </c>
    </row>
    <row r="13" spans="1:9" x14ac:dyDescent="0.25">
      <c r="B13" s="113" t="s">
        <v>1111</v>
      </c>
      <c r="C13" s="113" t="s">
        <v>707</v>
      </c>
      <c r="D13" s="113" t="s">
        <v>40</v>
      </c>
      <c r="E13" s="113" t="s">
        <v>1364</v>
      </c>
      <c r="F13" s="113" t="s">
        <v>707</v>
      </c>
      <c r="G13" s="113" t="s">
        <v>707</v>
      </c>
      <c r="H13" s="113" t="s">
        <v>707</v>
      </c>
      <c r="I13" s="113">
        <v>1</v>
      </c>
    </row>
    <row r="14" spans="1:9" x14ac:dyDescent="0.25">
      <c r="B14" s="113" t="s">
        <v>1111</v>
      </c>
      <c r="C14" s="113" t="s">
        <v>707</v>
      </c>
      <c r="D14" s="113" t="s">
        <v>40</v>
      </c>
      <c r="E14" s="113" t="s">
        <v>1360</v>
      </c>
      <c r="F14" s="113" t="s">
        <v>707</v>
      </c>
      <c r="G14" s="113" t="s">
        <v>707</v>
      </c>
      <c r="H14" s="113" t="s">
        <v>707</v>
      </c>
      <c r="I14" s="113">
        <v>1</v>
      </c>
    </row>
    <row r="15" spans="1:9" x14ac:dyDescent="0.25">
      <c r="B15" s="113" t="s">
        <v>1111</v>
      </c>
      <c r="C15" s="113" t="s">
        <v>707</v>
      </c>
      <c r="D15" s="113" t="s">
        <v>40</v>
      </c>
      <c r="E15" s="113" t="s">
        <v>1356</v>
      </c>
      <c r="F15" s="113" t="s">
        <v>707</v>
      </c>
      <c r="G15" s="113" t="s">
        <v>707</v>
      </c>
      <c r="H15" s="113" t="s">
        <v>707</v>
      </c>
      <c r="I15" s="113">
        <v>1</v>
      </c>
    </row>
    <row r="16" spans="1:9" x14ac:dyDescent="0.25">
      <c r="B16" s="113" t="s">
        <v>1111</v>
      </c>
      <c r="C16" s="113" t="s">
        <v>707</v>
      </c>
      <c r="D16" s="113" t="s">
        <v>42</v>
      </c>
      <c r="E16" s="113" t="s">
        <v>1390</v>
      </c>
      <c r="F16" s="113" t="s">
        <v>707</v>
      </c>
      <c r="G16" s="113" t="s">
        <v>707</v>
      </c>
      <c r="H16" s="113" t="s">
        <v>707</v>
      </c>
      <c r="I16" s="113">
        <v>1</v>
      </c>
    </row>
    <row r="17" spans="2:9" x14ac:dyDescent="0.25">
      <c r="B17" s="113" t="s">
        <v>1111</v>
      </c>
      <c r="C17" s="113" t="s">
        <v>707</v>
      </c>
      <c r="D17" s="113" t="s">
        <v>42</v>
      </c>
      <c r="E17" s="113" t="s">
        <v>1388</v>
      </c>
      <c r="F17" s="113" t="s">
        <v>707</v>
      </c>
      <c r="G17" s="113" t="s">
        <v>707</v>
      </c>
      <c r="H17" s="113" t="s">
        <v>707</v>
      </c>
      <c r="I17" s="113">
        <v>1</v>
      </c>
    </row>
    <row r="18" spans="2:9" x14ac:dyDescent="0.25">
      <c r="B18" s="113" t="s">
        <v>1111</v>
      </c>
      <c r="C18" s="113" t="s">
        <v>707</v>
      </c>
      <c r="D18" s="113" t="s">
        <v>42</v>
      </c>
      <c r="E18" s="113" t="s">
        <v>1386</v>
      </c>
      <c r="F18" s="113" t="s">
        <v>707</v>
      </c>
      <c r="G18" s="113" t="s">
        <v>707</v>
      </c>
      <c r="H18" s="113" t="s">
        <v>707</v>
      </c>
      <c r="I18" s="113">
        <v>1</v>
      </c>
    </row>
    <row r="19" spans="2:9" x14ac:dyDescent="0.25">
      <c r="B19" s="113" t="s">
        <v>1111</v>
      </c>
      <c r="C19" s="113" t="s">
        <v>707</v>
      </c>
      <c r="D19" s="113" t="s">
        <v>42</v>
      </c>
      <c r="E19" s="113" t="s">
        <v>1382</v>
      </c>
      <c r="F19" s="113" t="s">
        <v>707</v>
      </c>
      <c r="G19" s="113" t="s">
        <v>707</v>
      </c>
      <c r="H19" s="113" t="s">
        <v>707</v>
      </c>
      <c r="I19" s="113">
        <v>1</v>
      </c>
    </row>
    <row r="20" spans="2:9" x14ac:dyDescent="0.25">
      <c r="B20" s="113" t="s">
        <v>1111</v>
      </c>
      <c r="C20" s="113" t="s">
        <v>707</v>
      </c>
      <c r="D20" s="113" t="s">
        <v>42</v>
      </c>
      <c r="E20" s="113" t="s">
        <v>1378</v>
      </c>
      <c r="F20" s="113" t="s">
        <v>707</v>
      </c>
      <c r="G20" s="113" t="s">
        <v>707</v>
      </c>
      <c r="H20" s="113" t="s">
        <v>707</v>
      </c>
      <c r="I20" s="113">
        <v>1</v>
      </c>
    </row>
    <row r="21" spans="2:9" x14ac:dyDescent="0.25">
      <c r="B21" s="113" t="s">
        <v>1111</v>
      </c>
      <c r="C21" s="113" t="s">
        <v>707</v>
      </c>
      <c r="D21" s="113" t="s">
        <v>42</v>
      </c>
      <c r="E21" s="113" t="s">
        <v>1374</v>
      </c>
      <c r="F21" s="113" t="s">
        <v>707</v>
      </c>
      <c r="G21" s="113" t="s">
        <v>707</v>
      </c>
      <c r="H21" s="113" t="s">
        <v>707</v>
      </c>
      <c r="I21" s="113">
        <v>1</v>
      </c>
    </row>
    <row r="22" spans="2:9" x14ac:dyDescent="0.25">
      <c r="B22" s="113" t="s">
        <v>1111</v>
      </c>
      <c r="C22" s="113" t="s">
        <v>707</v>
      </c>
      <c r="D22" s="113" t="s">
        <v>42</v>
      </c>
      <c r="E22" s="113" t="s">
        <v>1370</v>
      </c>
      <c r="F22" s="113" t="s">
        <v>707</v>
      </c>
      <c r="G22" s="113" t="s">
        <v>707</v>
      </c>
      <c r="H22" s="113" t="s">
        <v>707</v>
      </c>
      <c r="I22" s="113">
        <v>1</v>
      </c>
    </row>
    <row r="23" spans="2:9" x14ac:dyDescent="0.25">
      <c r="B23" s="113" t="s">
        <v>1111</v>
      </c>
      <c r="C23" s="113" t="s">
        <v>707</v>
      </c>
      <c r="D23" s="113" t="s">
        <v>42</v>
      </c>
      <c r="E23" s="113" t="s">
        <v>1366</v>
      </c>
      <c r="F23" s="113" t="s">
        <v>707</v>
      </c>
      <c r="G23" s="113" t="s">
        <v>707</v>
      </c>
      <c r="H23" s="113" t="s">
        <v>707</v>
      </c>
      <c r="I23" s="113">
        <v>1</v>
      </c>
    </row>
    <row r="24" spans="2:9" x14ac:dyDescent="0.25">
      <c r="B24" s="113" t="s">
        <v>1111</v>
      </c>
      <c r="C24" s="113" t="s">
        <v>707</v>
      </c>
      <c r="D24" s="113" t="s">
        <v>42</v>
      </c>
      <c r="E24" s="113" t="s">
        <v>1362</v>
      </c>
      <c r="F24" s="113" t="s">
        <v>707</v>
      </c>
      <c r="G24" s="113" t="s">
        <v>707</v>
      </c>
      <c r="H24" s="113" t="s">
        <v>707</v>
      </c>
      <c r="I24" s="113">
        <v>1</v>
      </c>
    </row>
    <row r="25" spans="2:9" x14ac:dyDescent="0.25">
      <c r="B25" s="113" t="s">
        <v>1111</v>
      </c>
      <c r="C25" s="113" t="s">
        <v>707</v>
      </c>
      <c r="D25" s="113" t="s">
        <v>42</v>
      </c>
      <c r="E25" s="113" t="s">
        <v>1358</v>
      </c>
      <c r="F25" s="113" t="s">
        <v>707</v>
      </c>
      <c r="G25" s="113" t="s">
        <v>707</v>
      </c>
      <c r="H25" s="113" t="s">
        <v>707</v>
      </c>
      <c r="I25" s="113">
        <v>1</v>
      </c>
    </row>
    <row r="26" spans="2:9" x14ac:dyDescent="0.25">
      <c r="B26" s="113" t="s">
        <v>1111</v>
      </c>
      <c r="C26" s="113" t="s">
        <v>707</v>
      </c>
      <c r="D26" s="113" t="s">
        <v>42</v>
      </c>
      <c r="E26" s="113" t="s">
        <v>1354</v>
      </c>
      <c r="F26" s="113" t="s">
        <v>707</v>
      </c>
      <c r="G26" s="113" t="s">
        <v>707</v>
      </c>
      <c r="H26" s="113" t="s">
        <v>707</v>
      </c>
      <c r="I26" s="113">
        <v>1</v>
      </c>
    </row>
    <row r="27" spans="2:9" x14ac:dyDescent="0.25">
      <c r="B27" s="113" t="s">
        <v>1111</v>
      </c>
      <c r="C27" s="113" t="s">
        <v>707</v>
      </c>
      <c r="D27" s="113" t="s">
        <v>39</v>
      </c>
      <c r="E27" s="113" t="s">
        <v>1392</v>
      </c>
      <c r="F27" s="113" t="s">
        <v>707</v>
      </c>
      <c r="G27" s="113" t="s">
        <v>707</v>
      </c>
      <c r="H27" s="113" t="s">
        <v>707</v>
      </c>
      <c r="I27" s="113">
        <v>1</v>
      </c>
    </row>
    <row r="28" spans="2:9" x14ac:dyDescent="0.25">
      <c r="B28" s="113" t="s">
        <v>1111</v>
      </c>
      <c r="C28" s="113" t="s">
        <v>707</v>
      </c>
      <c r="D28" s="113" t="s">
        <v>39</v>
      </c>
      <c r="E28" s="113" t="s">
        <v>1388</v>
      </c>
      <c r="F28" s="113" t="s">
        <v>707</v>
      </c>
      <c r="G28" s="113" t="s">
        <v>707</v>
      </c>
      <c r="H28" s="113" t="s">
        <v>707</v>
      </c>
      <c r="I28" s="113">
        <v>1</v>
      </c>
    </row>
    <row r="29" spans="2:9" x14ac:dyDescent="0.25">
      <c r="B29" s="113" t="s">
        <v>1111</v>
      </c>
      <c r="C29" s="113" t="s">
        <v>707</v>
      </c>
      <c r="D29" s="113" t="s">
        <v>39</v>
      </c>
      <c r="E29" s="113" t="s">
        <v>1384</v>
      </c>
      <c r="F29" s="113" t="s">
        <v>707</v>
      </c>
      <c r="G29" s="113" t="s">
        <v>707</v>
      </c>
      <c r="H29" s="113" t="s">
        <v>707</v>
      </c>
      <c r="I29" s="113">
        <v>1</v>
      </c>
    </row>
    <row r="30" spans="2:9" x14ac:dyDescent="0.25">
      <c r="B30" s="113" t="s">
        <v>1111</v>
      </c>
      <c r="C30" s="113" t="s">
        <v>707</v>
      </c>
      <c r="D30" s="113" t="s">
        <v>39</v>
      </c>
      <c r="E30" s="113" t="s">
        <v>1380</v>
      </c>
      <c r="F30" s="113" t="s">
        <v>707</v>
      </c>
      <c r="G30" s="113" t="s">
        <v>707</v>
      </c>
      <c r="H30" s="113" t="s">
        <v>707</v>
      </c>
      <c r="I30" s="113">
        <v>1</v>
      </c>
    </row>
    <row r="31" spans="2:9" x14ac:dyDescent="0.25">
      <c r="B31" s="113" t="s">
        <v>1111</v>
      </c>
      <c r="C31" s="113" t="s">
        <v>707</v>
      </c>
      <c r="D31" s="113" t="s">
        <v>39</v>
      </c>
      <c r="E31" s="113" t="s">
        <v>1376</v>
      </c>
      <c r="F31" s="113" t="s">
        <v>707</v>
      </c>
      <c r="G31" s="113" t="s">
        <v>707</v>
      </c>
      <c r="H31" s="113" t="s">
        <v>707</v>
      </c>
      <c r="I31" s="113">
        <v>1</v>
      </c>
    </row>
    <row r="32" spans="2:9" x14ac:dyDescent="0.25">
      <c r="B32" s="113" t="s">
        <v>1111</v>
      </c>
      <c r="C32" s="113" t="s">
        <v>707</v>
      </c>
      <c r="D32" s="113" t="s">
        <v>39</v>
      </c>
      <c r="E32" s="113" t="s">
        <v>1372</v>
      </c>
      <c r="F32" s="113" t="s">
        <v>707</v>
      </c>
      <c r="G32" s="113" t="s">
        <v>707</v>
      </c>
      <c r="H32" s="113" t="s">
        <v>707</v>
      </c>
      <c r="I32" s="113">
        <v>1</v>
      </c>
    </row>
    <row r="33" spans="2:9" x14ac:dyDescent="0.25">
      <c r="B33" s="113" t="s">
        <v>1111</v>
      </c>
      <c r="C33" s="113" t="s">
        <v>707</v>
      </c>
      <c r="D33" s="113" t="s">
        <v>39</v>
      </c>
      <c r="E33" s="113" t="s">
        <v>1368</v>
      </c>
      <c r="F33" s="113" t="s">
        <v>707</v>
      </c>
      <c r="G33" s="113" t="s">
        <v>707</v>
      </c>
      <c r="H33" s="113" t="s">
        <v>707</v>
      </c>
      <c r="I33" s="113">
        <v>1</v>
      </c>
    </row>
    <row r="34" spans="2:9" x14ac:dyDescent="0.25">
      <c r="B34" s="113" t="s">
        <v>1111</v>
      </c>
      <c r="C34" s="113" t="s">
        <v>707</v>
      </c>
      <c r="D34" s="113" t="s">
        <v>39</v>
      </c>
      <c r="E34" s="113" t="s">
        <v>1364</v>
      </c>
      <c r="F34" s="113" t="s">
        <v>707</v>
      </c>
      <c r="G34" s="113" t="s">
        <v>707</v>
      </c>
      <c r="H34" s="113" t="s">
        <v>707</v>
      </c>
      <c r="I34" s="113">
        <v>1</v>
      </c>
    </row>
    <row r="35" spans="2:9" x14ac:dyDescent="0.25">
      <c r="B35" s="113" t="s">
        <v>1111</v>
      </c>
      <c r="C35" s="113" t="s">
        <v>707</v>
      </c>
      <c r="D35" s="113" t="s">
        <v>39</v>
      </c>
      <c r="E35" s="113" t="s">
        <v>1360</v>
      </c>
      <c r="F35" s="113" t="s">
        <v>707</v>
      </c>
      <c r="G35" s="113" t="s">
        <v>707</v>
      </c>
      <c r="H35" s="113" t="s">
        <v>707</v>
      </c>
      <c r="I35" s="113">
        <v>1</v>
      </c>
    </row>
    <row r="36" spans="2:9" x14ac:dyDescent="0.25">
      <c r="B36" s="113" t="s">
        <v>1111</v>
      </c>
      <c r="C36" s="113" t="s">
        <v>707</v>
      </c>
      <c r="D36" s="113" t="s">
        <v>39</v>
      </c>
      <c r="E36" s="113" t="s">
        <v>1356</v>
      </c>
      <c r="F36" s="113" t="s">
        <v>707</v>
      </c>
      <c r="G36" s="113" t="s">
        <v>707</v>
      </c>
      <c r="H36" s="113" t="s">
        <v>707</v>
      </c>
      <c r="I36" s="113">
        <v>1</v>
      </c>
    </row>
    <row r="37" spans="2:9" x14ac:dyDescent="0.25">
      <c r="B37" s="113" t="s">
        <v>1111</v>
      </c>
      <c r="C37" s="113" t="s">
        <v>707</v>
      </c>
      <c r="D37" s="113" t="s">
        <v>592</v>
      </c>
      <c r="E37" s="113" t="s">
        <v>1392</v>
      </c>
      <c r="F37" s="113" t="s">
        <v>707</v>
      </c>
      <c r="G37" s="113" t="s">
        <v>707</v>
      </c>
      <c r="H37" s="113" t="s">
        <v>707</v>
      </c>
      <c r="I37" s="113">
        <v>1</v>
      </c>
    </row>
    <row r="38" spans="2:9" x14ac:dyDescent="0.25">
      <c r="B38" s="113" t="s">
        <v>1111</v>
      </c>
      <c r="C38" s="113" t="s">
        <v>707</v>
      </c>
      <c r="D38" s="113" t="s">
        <v>592</v>
      </c>
      <c r="E38" s="113" t="s">
        <v>1388</v>
      </c>
      <c r="F38" s="113" t="s">
        <v>707</v>
      </c>
      <c r="G38" s="113" t="s">
        <v>707</v>
      </c>
      <c r="H38" s="113" t="s">
        <v>707</v>
      </c>
      <c r="I38" s="113">
        <v>1</v>
      </c>
    </row>
    <row r="39" spans="2:9" x14ac:dyDescent="0.25">
      <c r="B39" s="113" t="s">
        <v>1111</v>
      </c>
      <c r="C39" s="113" t="s">
        <v>707</v>
      </c>
      <c r="D39" s="113" t="s">
        <v>592</v>
      </c>
      <c r="E39" s="113" t="s">
        <v>1384</v>
      </c>
      <c r="F39" s="113" t="s">
        <v>707</v>
      </c>
      <c r="G39" s="113" t="s">
        <v>707</v>
      </c>
      <c r="H39" s="113" t="s">
        <v>707</v>
      </c>
      <c r="I39" s="113">
        <v>1</v>
      </c>
    </row>
    <row r="40" spans="2:9" x14ac:dyDescent="0.25">
      <c r="B40" s="113" t="s">
        <v>1111</v>
      </c>
      <c r="C40" s="113" t="s">
        <v>707</v>
      </c>
      <c r="D40" s="113" t="s">
        <v>592</v>
      </c>
      <c r="E40" s="113" t="s">
        <v>1380</v>
      </c>
      <c r="F40" s="113" t="s">
        <v>707</v>
      </c>
      <c r="G40" s="113" t="s">
        <v>707</v>
      </c>
      <c r="H40" s="113" t="s">
        <v>707</v>
      </c>
      <c r="I40" s="113">
        <v>1</v>
      </c>
    </row>
    <row r="41" spans="2:9" x14ac:dyDescent="0.25">
      <c r="B41" s="113" t="s">
        <v>1111</v>
      </c>
      <c r="C41" s="113" t="s">
        <v>707</v>
      </c>
      <c r="D41" s="113" t="s">
        <v>592</v>
      </c>
      <c r="E41" s="113" t="s">
        <v>1376</v>
      </c>
      <c r="F41" s="113" t="s">
        <v>707</v>
      </c>
      <c r="G41" s="113" t="s">
        <v>707</v>
      </c>
      <c r="H41" s="113" t="s">
        <v>707</v>
      </c>
      <c r="I41" s="113">
        <v>1</v>
      </c>
    </row>
    <row r="42" spans="2:9" x14ac:dyDescent="0.25">
      <c r="B42" s="113" t="s">
        <v>1111</v>
      </c>
      <c r="C42" s="113" t="s">
        <v>707</v>
      </c>
      <c r="D42" s="113" t="s">
        <v>592</v>
      </c>
      <c r="E42" s="113" t="s">
        <v>1372</v>
      </c>
      <c r="F42" s="113" t="s">
        <v>707</v>
      </c>
      <c r="G42" s="113" t="s">
        <v>707</v>
      </c>
      <c r="H42" s="113" t="s">
        <v>707</v>
      </c>
      <c r="I42" s="113">
        <v>1</v>
      </c>
    </row>
    <row r="43" spans="2:9" x14ac:dyDescent="0.25">
      <c r="B43" s="113" t="s">
        <v>1111</v>
      </c>
      <c r="C43" s="113" t="s">
        <v>707</v>
      </c>
      <c r="D43" s="113" t="s">
        <v>592</v>
      </c>
      <c r="E43" s="113" t="s">
        <v>1368</v>
      </c>
      <c r="F43" s="113" t="s">
        <v>707</v>
      </c>
      <c r="G43" s="113" t="s">
        <v>707</v>
      </c>
      <c r="H43" s="113" t="s">
        <v>707</v>
      </c>
      <c r="I43" s="113">
        <v>1</v>
      </c>
    </row>
    <row r="44" spans="2:9" x14ac:dyDescent="0.25">
      <c r="B44" s="113" t="s">
        <v>1111</v>
      </c>
      <c r="C44" s="113" t="s">
        <v>707</v>
      </c>
      <c r="D44" s="113" t="s">
        <v>592</v>
      </c>
      <c r="E44" s="113" t="s">
        <v>1364</v>
      </c>
      <c r="F44" s="113" t="s">
        <v>707</v>
      </c>
      <c r="G44" s="113" t="s">
        <v>707</v>
      </c>
      <c r="H44" s="113" t="s">
        <v>707</v>
      </c>
      <c r="I44" s="113">
        <v>1</v>
      </c>
    </row>
    <row r="45" spans="2:9" x14ac:dyDescent="0.25">
      <c r="B45" s="113" t="s">
        <v>1111</v>
      </c>
      <c r="C45" s="113" t="s">
        <v>707</v>
      </c>
      <c r="D45" s="113" t="s">
        <v>592</v>
      </c>
      <c r="E45" s="113" t="s">
        <v>1360</v>
      </c>
      <c r="F45" s="113" t="s">
        <v>707</v>
      </c>
      <c r="G45" s="113" t="s">
        <v>707</v>
      </c>
      <c r="H45" s="113" t="s">
        <v>707</v>
      </c>
      <c r="I45" s="113">
        <v>1</v>
      </c>
    </row>
    <row r="46" spans="2:9" x14ac:dyDescent="0.25">
      <c r="B46" s="113" t="s">
        <v>1111</v>
      </c>
      <c r="C46" s="113" t="s">
        <v>707</v>
      </c>
      <c r="D46" s="113" t="s">
        <v>592</v>
      </c>
      <c r="E46" s="113" t="s">
        <v>1356</v>
      </c>
      <c r="F46" s="113" t="s">
        <v>707</v>
      </c>
      <c r="G46" s="113" t="s">
        <v>707</v>
      </c>
      <c r="H46" s="113" t="s">
        <v>707</v>
      </c>
      <c r="I46" s="113">
        <v>1</v>
      </c>
    </row>
    <row r="47" spans="2:9" x14ac:dyDescent="0.25">
      <c r="B47" s="113" t="s">
        <v>1111</v>
      </c>
      <c r="C47" s="113" t="s">
        <v>707</v>
      </c>
      <c r="D47" s="113" t="s">
        <v>1337</v>
      </c>
      <c r="E47" s="113" t="s">
        <v>1392</v>
      </c>
      <c r="F47" s="113" t="s">
        <v>707</v>
      </c>
      <c r="G47" s="113" t="s">
        <v>707</v>
      </c>
      <c r="H47" s="113" t="s">
        <v>707</v>
      </c>
      <c r="I47" s="113">
        <v>1</v>
      </c>
    </row>
    <row r="48" spans="2:9" x14ac:dyDescent="0.25">
      <c r="B48" s="113" t="s">
        <v>1111</v>
      </c>
      <c r="C48" s="113" t="s">
        <v>707</v>
      </c>
      <c r="D48" s="113" t="s">
        <v>1337</v>
      </c>
      <c r="E48" s="113" t="s">
        <v>1388</v>
      </c>
      <c r="F48" s="113" t="s">
        <v>707</v>
      </c>
      <c r="G48" s="113" t="s">
        <v>707</v>
      </c>
      <c r="H48" s="113" t="s">
        <v>707</v>
      </c>
      <c r="I48" s="113">
        <v>1</v>
      </c>
    </row>
    <row r="49" spans="2:9" x14ac:dyDescent="0.25">
      <c r="B49" s="113" t="s">
        <v>1111</v>
      </c>
      <c r="C49" s="113" t="s">
        <v>707</v>
      </c>
      <c r="D49" s="113" t="s">
        <v>1337</v>
      </c>
      <c r="E49" s="113" t="s">
        <v>1380</v>
      </c>
      <c r="F49" s="113" t="s">
        <v>707</v>
      </c>
      <c r="G49" s="113" t="s">
        <v>707</v>
      </c>
      <c r="H49" s="113" t="s">
        <v>707</v>
      </c>
      <c r="I49" s="113">
        <v>1</v>
      </c>
    </row>
    <row r="50" spans="2:9" x14ac:dyDescent="0.25">
      <c r="B50" s="113" t="s">
        <v>1111</v>
      </c>
      <c r="C50" s="113" t="s">
        <v>707</v>
      </c>
      <c r="D50" s="113" t="s">
        <v>1337</v>
      </c>
      <c r="E50" s="113" t="s">
        <v>1376</v>
      </c>
      <c r="F50" s="113" t="s">
        <v>707</v>
      </c>
      <c r="G50" s="113" t="s">
        <v>707</v>
      </c>
      <c r="H50" s="113" t="s">
        <v>707</v>
      </c>
      <c r="I50" s="113">
        <v>1</v>
      </c>
    </row>
    <row r="51" spans="2:9" x14ac:dyDescent="0.25">
      <c r="B51" s="113" t="s">
        <v>1111</v>
      </c>
      <c r="C51" s="113" t="s">
        <v>707</v>
      </c>
      <c r="D51" s="113" t="s">
        <v>1337</v>
      </c>
      <c r="E51" s="113" t="s">
        <v>1372</v>
      </c>
      <c r="F51" s="113" t="s">
        <v>707</v>
      </c>
      <c r="G51" s="113" t="s">
        <v>707</v>
      </c>
      <c r="H51" s="113" t="s">
        <v>707</v>
      </c>
      <c r="I51" s="113">
        <v>1</v>
      </c>
    </row>
    <row r="52" spans="2:9" x14ac:dyDescent="0.25">
      <c r="B52" s="113" t="s">
        <v>1111</v>
      </c>
      <c r="C52" s="113" t="s">
        <v>707</v>
      </c>
      <c r="D52" s="113" t="s">
        <v>1337</v>
      </c>
      <c r="E52" s="113" t="s">
        <v>1368</v>
      </c>
      <c r="F52" s="113" t="s">
        <v>707</v>
      </c>
      <c r="G52" s="113" t="s">
        <v>707</v>
      </c>
      <c r="H52" s="113" t="s">
        <v>707</v>
      </c>
      <c r="I52" s="113">
        <v>1</v>
      </c>
    </row>
    <row r="53" spans="2:9" x14ac:dyDescent="0.25">
      <c r="B53" s="113" t="s">
        <v>1111</v>
      </c>
      <c r="C53" s="113" t="s">
        <v>707</v>
      </c>
      <c r="D53" s="113" t="s">
        <v>1337</v>
      </c>
      <c r="E53" s="113" t="s">
        <v>1364</v>
      </c>
      <c r="F53" s="113" t="s">
        <v>707</v>
      </c>
      <c r="G53" s="113" t="s">
        <v>707</v>
      </c>
      <c r="H53" s="113" t="s">
        <v>707</v>
      </c>
      <c r="I53" s="113">
        <v>1</v>
      </c>
    </row>
    <row r="54" spans="2:9" x14ac:dyDescent="0.25">
      <c r="B54" s="113" t="s">
        <v>1111</v>
      </c>
      <c r="C54" s="113" t="s">
        <v>707</v>
      </c>
      <c r="D54" s="113" t="s">
        <v>1337</v>
      </c>
      <c r="E54" s="113" t="s">
        <v>1360</v>
      </c>
      <c r="F54" s="113" t="s">
        <v>707</v>
      </c>
      <c r="G54" s="113" t="s">
        <v>707</v>
      </c>
      <c r="H54" s="113" t="s">
        <v>707</v>
      </c>
      <c r="I54" s="113">
        <v>1</v>
      </c>
    </row>
    <row r="55" spans="2:9" x14ac:dyDescent="0.25">
      <c r="B55" s="113" t="s">
        <v>1111</v>
      </c>
      <c r="C55" s="113" t="s">
        <v>707</v>
      </c>
      <c r="D55" s="113" t="s">
        <v>1337</v>
      </c>
      <c r="E55" s="113" t="s">
        <v>1356</v>
      </c>
      <c r="F55" s="113" t="s">
        <v>707</v>
      </c>
      <c r="G55" s="113" t="s">
        <v>707</v>
      </c>
      <c r="H55" s="113" t="s">
        <v>707</v>
      </c>
      <c r="I55" s="113">
        <v>1</v>
      </c>
    </row>
    <row r="56" spans="2:9" x14ac:dyDescent="0.25">
      <c r="B56" s="113" t="s">
        <v>1111</v>
      </c>
      <c r="C56" s="113" t="s">
        <v>707</v>
      </c>
      <c r="D56" s="113" t="s">
        <v>595</v>
      </c>
      <c r="E56" s="113" t="s">
        <v>1384</v>
      </c>
      <c r="F56" s="113" t="s">
        <v>707</v>
      </c>
      <c r="G56" s="113" t="s">
        <v>707</v>
      </c>
      <c r="H56" s="113" t="s">
        <v>707</v>
      </c>
      <c r="I56" s="113">
        <v>1</v>
      </c>
    </row>
    <row r="57" spans="2:9" x14ac:dyDescent="0.25">
      <c r="B57" s="113" t="s">
        <v>1111</v>
      </c>
      <c r="C57" s="113" t="s">
        <v>707</v>
      </c>
      <c r="D57" s="113" t="s">
        <v>1463</v>
      </c>
      <c r="E57" s="113" t="s">
        <v>1352</v>
      </c>
      <c r="F57" s="113" t="s">
        <v>707</v>
      </c>
      <c r="G57" s="113" t="s">
        <v>707</v>
      </c>
      <c r="H57" s="113" t="s">
        <v>707</v>
      </c>
      <c r="I57" s="113">
        <v>1</v>
      </c>
    </row>
    <row r="58" spans="2:9" x14ac:dyDescent="0.25">
      <c r="B58" s="113" t="s">
        <v>1111</v>
      </c>
      <c r="C58" s="113" t="s">
        <v>707</v>
      </c>
      <c r="D58" s="113" t="s">
        <v>1462</v>
      </c>
      <c r="E58" s="113" t="s">
        <v>1352</v>
      </c>
      <c r="F58" s="113" t="s">
        <v>707</v>
      </c>
      <c r="G58" s="113" t="s">
        <v>707</v>
      </c>
      <c r="H58" s="113" t="s">
        <v>707</v>
      </c>
      <c r="I58" s="113">
        <v>1</v>
      </c>
    </row>
    <row r="59" spans="2:9" x14ac:dyDescent="0.25">
      <c r="B59" s="113" t="s">
        <v>1108</v>
      </c>
      <c r="C59" s="113" t="s">
        <v>170</v>
      </c>
      <c r="D59" s="113" t="s">
        <v>707</v>
      </c>
      <c r="E59" s="113" t="s">
        <v>42</v>
      </c>
      <c r="F59" s="113" t="s">
        <v>707</v>
      </c>
      <c r="G59" s="113" t="s">
        <v>707</v>
      </c>
      <c r="H59" s="113" t="s">
        <v>707</v>
      </c>
      <c r="I59" s="113">
        <v>1</v>
      </c>
    </row>
    <row r="60" spans="2:9" x14ac:dyDescent="0.25">
      <c r="B60" s="113" t="s">
        <v>1108</v>
      </c>
      <c r="C60" s="113" t="s">
        <v>1306</v>
      </c>
      <c r="D60" s="113" t="s">
        <v>707</v>
      </c>
      <c r="E60" s="113" t="s">
        <v>42</v>
      </c>
      <c r="F60" s="113" t="s">
        <v>707</v>
      </c>
      <c r="G60" s="113" t="s">
        <v>707</v>
      </c>
      <c r="H60" s="113" t="s">
        <v>707</v>
      </c>
      <c r="I60" s="113">
        <v>1</v>
      </c>
    </row>
    <row r="61" spans="2:9" x14ac:dyDescent="0.25">
      <c r="B61" s="113" t="s">
        <v>1108</v>
      </c>
      <c r="C61" s="113" t="s">
        <v>1304</v>
      </c>
      <c r="D61" s="113" t="s">
        <v>707</v>
      </c>
      <c r="E61" s="113" t="s">
        <v>42</v>
      </c>
      <c r="F61" s="113" t="s">
        <v>707</v>
      </c>
      <c r="G61" s="113" t="s">
        <v>707</v>
      </c>
      <c r="H61" s="113" t="s">
        <v>707</v>
      </c>
      <c r="I61" s="113">
        <v>1</v>
      </c>
    </row>
    <row r="62" spans="2:9" x14ac:dyDescent="0.25">
      <c r="B62" s="113" t="s">
        <v>1108</v>
      </c>
      <c r="C62" s="113" t="s">
        <v>539</v>
      </c>
      <c r="D62" s="113" t="s">
        <v>707</v>
      </c>
      <c r="E62" s="113" t="s">
        <v>42</v>
      </c>
      <c r="F62" s="113" t="s">
        <v>707</v>
      </c>
      <c r="G62" s="113" t="s">
        <v>707</v>
      </c>
      <c r="H62" s="113" t="s">
        <v>707</v>
      </c>
      <c r="I62" s="113">
        <v>1</v>
      </c>
    </row>
    <row r="63" spans="2:9" x14ac:dyDescent="0.25">
      <c r="B63" s="113" t="s">
        <v>1108</v>
      </c>
      <c r="C63" s="113" t="s">
        <v>172</v>
      </c>
      <c r="D63" s="113" t="s">
        <v>707</v>
      </c>
      <c r="E63" s="113" t="s">
        <v>42</v>
      </c>
      <c r="F63" s="113" t="s">
        <v>707</v>
      </c>
      <c r="G63" s="113" t="s">
        <v>707</v>
      </c>
      <c r="H63" s="113" t="s">
        <v>707</v>
      </c>
      <c r="I63" s="113">
        <v>1</v>
      </c>
    </row>
    <row r="64" spans="2:9" x14ac:dyDescent="0.25">
      <c r="B64" s="113" t="s">
        <v>1108</v>
      </c>
      <c r="C64" s="113" t="s">
        <v>1300</v>
      </c>
      <c r="D64" s="113" t="s">
        <v>707</v>
      </c>
      <c r="E64" s="113" t="s">
        <v>42</v>
      </c>
      <c r="F64" s="113" t="s">
        <v>707</v>
      </c>
      <c r="G64" s="113" t="s">
        <v>707</v>
      </c>
      <c r="H64" s="113" t="s">
        <v>707</v>
      </c>
      <c r="I64" s="113">
        <v>1</v>
      </c>
    </row>
    <row r="65" spans="2:9" x14ac:dyDescent="0.25">
      <c r="B65" s="113" t="s">
        <v>1108</v>
      </c>
      <c r="C65" s="113" t="s">
        <v>1298</v>
      </c>
      <c r="D65" s="113" t="s">
        <v>707</v>
      </c>
      <c r="E65" s="113" t="s">
        <v>42</v>
      </c>
      <c r="F65" s="113" t="s">
        <v>707</v>
      </c>
      <c r="G65" s="113" t="s">
        <v>707</v>
      </c>
      <c r="H65" s="113" t="s">
        <v>707</v>
      </c>
      <c r="I65" s="113">
        <v>1</v>
      </c>
    </row>
    <row r="66" spans="2:9" x14ac:dyDescent="0.25">
      <c r="B66" s="113" t="s">
        <v>1108</v>
      </c>
      <c r="C66" s="113" t="s">
        <v>1296</v>
      </c>
      <c r="D66" s="113" t="s">
        <v>707</v>
      </c>
      <c r="E66" s="113" t="s">
        <v>43</v>
      </c>
      <c r="F66" s="113" t="s">
        <v>707</v>
      </c>
      <c r="G66" s="113" t="s">
        <v>707</v>
      </c>
      <c r="H66" s="113" t="s">
        <v>707</v>
      </c>
      <c r="I66" s="113">
        <v>1</v>
      </c>
    </row>
    <row r="67" spans="2:9" x14ac:dyDescent="0.25">
      <c r="B67" s="113" t="s">
        <v>1108</v>
      </c>
      <c r="C67" s="113" t="s">
        <v>175</v>
      </c>
      <c r="D67" s="113" t="s">
        <v>707</v>
      </c>
      <c r="E67" s="113" t="s">
        <v>42</v>
      </c>
      <c r="F67" s="113" t="s">
        <v>707</v>
      </c>
      <c r="G67" s="113" t="s">
        <v>707</v>
      </c>
      <c r="H67" s="113" t="s">
        <v>707</v>
      </c>
      <c r="I67" s="113">
        <v>1</v>
      </c>
    </row>
    <row r="68" spans="2:9" x14ac:dyDescent="0.25">
      <c r="B68" s="113" t="s">
        <v>1108</v>
      </c>
      <c r="C68" s="113" t="s">
        <v>1293</v>
      </c>
      <c r="D68" s="113" t="s">
        <v>707</v>
      </c>
      <c r="E68" s="113" t="s">
        <v>42</v>
      </c>
      <c r="F68" s="113" t="s">
        <v>707</v>
      </c>
      <c r="G68" s="113" t="s">
        <v>707</v>
      </c>
      <c r="H68" s="113" t="s">
        <v>707</v>
      </c>
      <c r="I68" s="113">
        <v>1</v>
      </c>
    </row>
    <row r="69" spans="2:9" x14ac:dyDescent="0.25">
      <c r="B69" s="113" t="s">
        <v>1108</v>
      </c>
      <c r="C69" s="113" t="s">
        <v>1291</v>
      </c>
      <c r="D69" s="113" t="s">
        <v>707</v>
      </c>
      <c r="E69" s="113" t="s">
        <v>42</v>
      </c>
      <c r="F69" s="113" t="s">
        <v>707</v>
      </c>
      <c r="G69" s="113" t="s">
        <v>707</v>
      </c>
      <c r="H69" s="113" t="s">
        <v>707</v>
      </c>
      <c r="I69" s="113">
        <v>1</v>
      </c>
    </row>
    <row r="70" spans="2:9" x14ac:dyDescent="0.25">
      <c r="B70" s="113" t="s">
        <v>1108</v>
      </c>
      <c r="C70" s="113" t="s">
        <v>540</v>
      </c>
      <c r="D70" s="113" t="s">
        <v>707</v>
      </c>
      <c r="E70" s="113" t="s">
        <v>42</v>
      </c>
      <c r="F70" s="113" t="s">
        <v>707</v>
      </c>
      <c r="G70" s="113" t="s">
        <v>707</v>
      </c>
      <c r="H70" s="113" t="s">
        <v>707</v>
      </c>
      <c r="I70" s="113">
        <v>1</v>
      </c>
    </row>
    <row r="71" spans="2:9" x14ac:dyDescent="0.25">
      <c r="B71" s="113" t="s">
        <v>1108</v>
      </c>
      <c r="C71" s="113" t="s">
        <v>541</v>
      </c>
      <c r="D71" s="113" t="s">
        <v>707</v>
      </c>
      <c r="E71" s="113" t="s">
        <v>42</v>
      </c>
      <c r="F71" s="113" t="s">
        <v>707</v>
      </c>
      <c r="G71" s="113" t="s">
        <v>707</v>
      </c>
      <c r="H71" s="113" t="s">
        <v>707</v>
      </c>
      <c r="I71" s="113">
        <v>1</v>
      </c>
    </row>
    <row r="72" spans="2:9" x14ac:dyDescent="0.25">
      <c r="B72" s="113" t="s">
        <v>1108</v>
      </c>
      <c r="C72" s="113" t="s">
        <v>179</v>
      </c>
      <c r="D72" s="113" t="s">
        <v>707</v>
      </c>
      <c r="E72" s="113" t="s">
        <v>42</v>
      </c>
      <c r="F72" s="113" t="s">
        <v>707</v>
      </c>
      <c r="G72" s="113" t="s">
        <v>707</v>
      </c>
      <c r="H72" s="113" t="s">
        <v>707</v>
      </c>
      <c r="I72" s="113">
        <v>1</v>
      </c>
    </row>
    <row r="73" spans="2:9" x14ac:dyDescent="0.25">
      <c r="B73" s="113" t="s">
        <v>1108</v>
      </c>
      <c r="C73" s="113" t="s">
        <v>1286</v>
      </c>
      <c r="D73" s="113" t="s">
        <v>707</v>
      </c>
      <c r="E73" s="113" t="s">
        <v>42</v>
      </c>
      <c r="F73" s="113" t="s">
        <v>707</v>
      </c>
      <c r="G73" s="113" t="s">
        <v>707</v>
      </c>
      <c r="H73" s="113" t="s">
        <v>707</v>
      </c>
      <c r="I73" s="113">
        <v>1</v>
      </c>
    </row>
    <row r="74" spans="2:9" x14ac:dyDescent="0.25">
      <c r="B74" s="113" t="s">
        <v>1108</v>
      </c>
      <c r="C74" s="113" t="s">
        <v>1284</v>
      </c>
      <c r="D74" s="113" t="s">
        <v>707</v>
      </c>
      <c r="E74" s="113" t="s">
        <v>42</v>
      </c>
      <c r="F74" s="113" t="s">
        <v>707</v>
      </c>
      <c r="G74" s="113" t="s">
        <v>707</v>
      </c>
      <c r="H74" s="113" t="s">
        <v>707</v>
      </c>
      <c r="I74" s="113">
        <v>1</v>
      </c>
    </row>
    <row r="75" spans="2:9" x14ac:dyDescent="0.25">
      <c r="B75" s="113" t="s">
        <v>1108</v>
      </c>
      <c r="C75" s="113" t="s">
        <v>181</v>
      </c>
      <c r="D75" s="113" t="s">
        <v>707</v>
      </c>
      <c r="E75" s="113" t="s">
        <v>42</v>
      </c>
      <c r="F75" s="113" t="s">
        <v>707</v>
      </c>
      <c r="G75" s="113" t="s">
        <v>707</v>
      </c>
      <c r="H75" s="113" t="s">
        <v>707</v>
      </c>
      <c r="I75" s="113">
        <v>1</v>
      </c>
    </row>
    <row r="76" spans="2:9" x14ac:dyDescent="0.25">
      <c r="B76" s="113" t="s">
        <v>1108</v>
      </c>
      <c r="C76" s="113" t="s">
        <v>1281</v>
      </c>
      <c r="D76" s="113" t="s">
        <v>707</v>
      </c>
      <c r="E76" s="113" t="s">
        <v>42</v>
      </c>
      <c r="F76" s="113" t="s">
        <v>707</v>
      </c>
      <c r="G76" s="113" t="s">
        <v>707</v>
      </c>
      <c r="H76" s="113" t="s">
        <v>707</v>
      </c>
      <c r="I76" s="113">
        <v>1</v>
      </c>
    </row>
    <row r="77" spans="2:9" x14ac:dyDescent="0.25">
      <c r="B77" s="113" t="s">
        <v>1108</v>
      </c>
      <c r="C77" s="113" t="s">
        <v>1279</v>
      </c>
      <c r="D77" s="113" t="s">
        <v>707</v>
      </c>
      <c r="E77" s="113" t="s">
        <v>42</v>
      </c>
      <c r="F77" s="113" t="s">
        <v>707</v>
      </c>
      <c r="G77" s="113" t="s">
        <v>707</v>
      </c>
      <c r="H77" s="113" t="s">
        <v>707</v>
      </c>
      <c r="I77" s="113">
        <v>1</v>
      </c>
    </row>
    <row r="78" spans="2:9" x14ac:dyDescent="0.25">
      <c r="B78" s="113" t="s">
        <v>1108</v>
      </c>
      <c r="C78" s="113" t="s">
        <v>542</v>
      </c>
      <c r="D78" s="113" t="s">
        <v>707</v>
      </c>
      <c r="E78" s="113" t="s">
        <v>42</v>
      </c>
      <c r="F78" s="113" t="s">
        <v>707</v>
      </c>
      <c r="G78" s="113" t="s">
        <v>707</v>
      </c>
      <c r="H78" s="113" t="s">
        <v>707</v>
      </c>
      <c r="I78" s="113">
        <v>1</v>
      </c>
    </row>
    <row r="79" spans="2:9" x14ac:dyDescent="0.25">
      <c r="B79" s="113" t="s">
        <v>1108</v>
      </c>
      <c r="C79" s="113" t="s">
        <v>1276</v>
      </c>
      <c r="D79" s="113" t="s">
        <v>707</v>
      </c>
      <c r="E79" s="113" t="s">
        <v>1350</v>
      </c>
      <c r="F79" s="113" t="s">
        <v>707</v>
      </c>
      <c r="G79" s="113" t="s">
        <v>707</v>
      </c>
      <c r="H79" s="113" t="s">
        <v>707</v>
      </c>
      <c r="I79" s="113">
        <v>1</v>
      </c>
    </row>
    <row r="80" spans="2:9" x14ac:dyDescent="0.25">
      <c r="B80" s="113" t="s">
        <v>1108</v>
      </c>
      <c r="C80" s="113" t="s">
        <v>1274</v>
      </c>
      <c r="D80" s="113" t="s">
        <v>707</v>
      </c>
      <c r="E80" s="113" t="s">
        <v>1325</v>
      </c>
      <c r="F80" s="113" t="s">
        <v>707</v>
      </c>
      <c r="G80" s="113" t="s">
        <v>707</v>
      </c>
      <c r="H80" s="113" t="s">
        <v>707</v>
      </c>
      <c r="I80" s="113">
        <v>1</v>
      </c>
    </row>
    <row r="81" spans="2:9" x14ac:dyDescent="0.25">
      <c r="B81" s="113" t="s">
        <v>1108</v>
      </c>
      <c r="C81" s="113" t="s">
        <v>1272</v>
      </c>
      <c r="D81" s="113" t="s">
        <v>707</v>
      </c>
      <c r="E81" s="113" t="s">
        <v>40</v>
      </c>
      <c r="F81" s="113" t="s">
        <v>707</v>
      </c>
      <c r="G81" s="113" t="s">
        <v>707</v>
      </c>
      <c r="H81" s="113" t="s">
        <v>707</v>
      </c>
      <c r="I81" s="113">
        <v>1</v>
      </c>
    </row>
    <row r="82" spans="2:9" x14ac:dyDescent="0.25">
      <c r="B82" s="113" t="s">
        <v>1108</v>
      </c>
      <c r="C82" s="113" t="s">
        <v>1270</v>
      </c>
      <c r="D82" s="113" t="s">
        <v>707</v>
      </c>
      <c r="E82" s="113" t="s">
        <v>592</v>
      </c>
      <c r="F82" s="113" t="s">
        <v>707</v>
      </c>
      <c r="G82" s="113" t="s">
        <v>707</v>
      </c>
      <c r="H82" s="113" t="s">
        <v>707</v>
      </c>
      <c r="I82" s="113">
        <v>1</v>
      </c>
    </row>
    <row r="83" spans="2:9" x14ac:dyDescent="0.25">
      <c r="B83" s="113" t="s">
        <v>1108</v>
      </c>
      <c r="C83" s="113" t="s">
        <v>1268</v>
      </c>
      <c r="D83" s="113" t="s">
        <v>707</v>
      </c>
      <c r="E83" s="113" t="s">
        <v>1337</v>
      </c>
      <c r="F83" s="113" t="s">
        <v>707</v>
      </c>
      <c r="G83" s="113" t="s">
        <v>707</v>
      </c>
      <c r="H83" s="113" t="s">
        <v>707</v>
      </c>
      <c r="I83" s="113">
        <v>1</v>
      </c>
    </row>
    <row r="84" spans="2:9" x14ac:dyDescent="0.25">
      <c r="B84" s="113" t="s">
        <v>1108</v>
      </c>
      <c r="C84" s="113" t="s">
        <v>1266</v>
      </c>
      <c r="D84" s="113" t="s">
        <v>707</v>
      </c>
      <c r="E84" s="113" t="s">
        <v>595</v>
      </c>
      <c r="F84" s="113" t="s">
        <v>707</v>
      </c>
      <c r="G84" s="113" t="s">
        <v>707</v>
      </c>
      <c r="H84" s="113" t="s">
        <v>707</v>
      </c>
      <c r="I84" s="113">
        <v>1</v>
      </c>
    </row>
    <row r="85" spans="2:9" x14ac:dyDescent="0.25">
      <c r="B85" s="113" t="s">
        <v>1108</v>
      </c>
      <c r="C85" s="113" t="s">
        <v>1264</v>
      </c>
      <c r="D85" s="113" t="s">
        <v>707</v>
      </c>
      <c r="E85" s="113" t="s">
        <v>41</v>
      </c>
      <c r="F85" s="113" t="s">
        <v>707</v>
      </c>
      <c r="G85" s="113" t="s">
        <v>707</v>
      </c>
      <c r="H85" s="113" t="s">
        <v>707</v>
      </c>
      <c r="I85" s="113">
        <v>1</v>
      </c>
    </row>
    <row r="86" spans="2:9" x14ac:dyDescent="0.25">
      <c r="B86" s="113" t="s">
        <v>1108</v>
      </c>
      <c r="C86" s="113" t="s">
        <v>1262</v>
      </c>
      <c r="D86" s="113" t="s">
        <v>707</v>
      </c>
      <c r="E86" s="113" t="s">
        <v>1335</v>
      </c>
      <c r="F86" s="113" t="s">
        <v>707</v>
      </c>
      <c r="G86" s="113" t="s">
        <v>707</v>
      </c>
      <c r="H86" s="113" t="s">
        <v>707</v>
      </c>
      <c r="I86" s="113">
        <v>1</v>
      </c>
    </row>
    <row r="87" spans="2:9" x14ac:dyDescent="0.25">
      <c r="B87" s="113" t="s">
        <v>1107</v>
      </c>
      <c r="C87" s="113" t="s">
        <v>170</v>
      </c>
      <c r="D87" s="113" t="s">
        <v>707</v>
      </c>
      <c r="E87" s="113" t="s">
        <v>707</v>
      </c>
      <c r="F87" s="113" t="s">
        <v>707</v>
      </c>
      <c r="G87" s="113" t="s">
        <v>707</v>
      </c>
      <c r="H87" s="113" t="s">
        <v>707</v>
      </c>
      <c r="I87" s="113">
        <v>1</v>
      </c>
    </row>
    <row r="88" spans="2:9" x14ac:dyDescent="0.25">
      <c r="B88" s="113" t="s">
        <v>1107</v>
      </c>
      <c r="C88" s="113" t="s">
        <v>1306</v>
      </c>
      <c r="D88" s="113" t="s">
        <v>707</v>
      </c>
      <c r="E88" s="113" t="s">
        <v>707</v>
      </c>
      <c r="F88" s="113" t="s">
        <v>707</v>
      </c>
      <c r="G88" s="113" t="s">
        <v>707</v>
      </c>
      <c r="H88" s="113" t="s">
        <v>707</v>
      </c>
      <c r="I88" s="113">
        <v>1</v>
      </c>
    </row>
    <row r="89" spans="2:9" x14ac:dyDescent="0.25">
      <c r="B89" s="113" t="s">
        <v>1107</v>
      </c>
      <c r="C89" s="113" t="s">
        <v>1304</v>
      </c>
      <c r="D89" s="113" t="s">
        <v>707</v>
      </c>
      <c r="E89" s="113" t="s">
        <v>707</v>
      </c>
      <c r="F89" s="113" t="s">
        <v>707</v>
      </c>
      <c r="G89" s="113" t="s">
        <v>707</v>
      </c>
      <c r="H89" s="113" t="s">
        <v>707</v>
      </c>
      <c r="I89" s="113">
        <v>1</v>
      </c>
    </row>
    <row r="90" spans="2:9" x14ac:dyDescent="0.25">
      <c r="B90" s="113" t="s">
        <v>1107</v>
      </c>
      <c r="C90" s="113" t="s">
        <v>539</v>
      </c>
      <c r="D90" s="113" t="s">
        <v>707</v>
      </c>
      <c r="E90" s="113" t="s">
        <v>707</v>
      </c>
      <c r="F90" s="113" t="s">
        <v>707</v>
      </c>
      <c r="G90" s="113" t="s">
        <v>707</v>
      </c>
      <c r="H90" s="113" t="s">
        <v>707</v>
      </c>
      <c r="I90" s="113">
        <v>1</v>
      </c>
    </row>
    <row r="91" spans="2:9" x14ac:dyDescent="0.25">
      <c r="B91" s="113" t="s">
        <v>1107</v>
      </c>
      <c r="C91" s="113" t="s">
        <v>172</v>
      </c>
      <c r="D91" s="113" t="s">
        <v>707</v>
      </c>
      <c r="E91" s="113" t="s">
        <v>707</v>
      </c>
      <c r="F91" s="113" t="s">
        <v>707</v>
      </c>
      <c r="G91" s="113" t="s">
        <v>707</v>
      </c>
      <c r="H91" s="113" t="s">
        <v>707</v>
      </c>
      <c r="I91" s="113">
        <v>1</v>
      </c>
    </row>
    <row r="92" spans="2:9" x14ac:dyDescent="0.25">
      <c r="B92" s="113" t="s">
        <v>1107</v>
      </c>
      <c r="C92" s="113" t="s">
        <v>1300</v>
      </c>
      <c r="D92" s="113" t="s">
        <v>707</v>
      </c>
      <c r="E92" s="113" t="s">
        <v>707</v>
      </c>
      <c r="F92" s="113" t="s">
        <v>707</v>
      </c>
      <c r="G92" s="113" t="s">
        <v>707</v>
      </c>
      <c r="H92" s="113" t="s">
        <v>707</v>
      </c>
      <c r="I92" s="113">
        <v>1</v>
      </c>
    </row>
    <row r="93" spans="2:9" x14ac:dyDescent="0.25">
      <c r="B93" s="113" t="s">
        <v>1107</v>
      </c>
      <c r="C93" s="113" t="s">
        <v>1298</v>
      </c>
      <c r="D93" s="113" t="s">
        <v>707</v>
      </c>
      <c r="E93" s="113" t="s">
        <v>707</v>
      </c>
      <c r="F93" s="113" t="s">
        <v>707</v>
      </c>
      <c r="G93" s="113" t="s">
        <v>707</v>
      </c>
      <c r="H93" s="113" t="s">
        <v>707</v>
      </c>
      <c r="I93" s="113">
        <v>1</v>
      </c>
    </row>
    <row r="94" spans="2:9" x14ac:dyDescent="0.25">
      <c r="B94" s="113" t="s">
        <v>1107</v>
      </c>
      <c r="C94" s="113" t="s">
        <v>1296</v>
      </c>
      <c r="D94" s="113" t="s">
        <v>707</v>
      </c>
      <c r="E94" s="113" t="s">
        <v>707</v>
      </c>
      <c r="F94" s="113" t="s">
        <v>707</v>
      </c>
      <c r="G94" s="113" t="s">
        <v>707</v>
      </c>
      <c r="H94" s="113" t="s">
        <v>707</v>
      </c>
      <c r="I94" s="113">
        <v>1</v>
      </c>
    </row>
    <row r="95" spans="2:9" x14ac:dyDescent="0.25">
      <c r="B95" s="113" t="s">
        <v>1107</v>
      </c>
      <c r="C95" s="113" t="s">
        <v>175</v>
      </c>
      <c r="D95" s="113" t="s">
        <v>707</v>
      </c>
      <c r="E95" s="113" t="s">
        <v>707</v>
      </c>
      <c r="F95" s="113" t="s">
        <v>707</v>
      </c>
      <c r="G95" s="113" t="s">
        <v>707</v>
      </c>
      <c r="H95" s="113" t="s">
        <v>707</v>
      </c>
      <c r="I95" s="113">
        <v>1</v>
      </c>
    </row>
    <row r="96" spans="2:9" x14ac:dyDescent="0.25">
      <c r="B96" s="113" t="s">
        <v>1107</v>
      </c>
      <c r="C96" s="113" t="s">
        <v>1293</v>
      </c>
      <c r="D96" s="113" t="s">
        <v>707</v>
      </c>
      <c r="E96" s="113" t="s">
        <v>707</v>
      </c>
      <c r="F96" s="113" t="s">
        <v>707</v>
      </c>
      <c r="G96" s="113" t="s">
        <v>707</v>
      </c>
      <c r="H96" s="113" t="s">
        <v>707</v>
      </c>
      <c r="I96" s="113">
        <v>1</v>
      </c>
    </row>
    <row r="97" spans="2:9" x14ac:dyDescent="0.25">
      <c r="B97" s="113" t="s">
        <v>1107</v>
      </c>
      <c r="C97" s="113" t="s">
        <v>1291</v>
      </c>
      <c r="D97" s="113" t="s">
        <v>707</v>
      </c>
      <c r="E97" s="113" t="s">
        <v>707</v>
      </c>
      <c r="F97" s="113" t="s">
        <v>707</v>
      </c>
      <c r="G97" s="113" t="s">
        <v>707</v>
      </c>
      <c r="H97" s="113" t="s">
        <v>707</v>
      </c>
      <c r="I97" s="113">
        <v>1</v>
      </c>
    </row>
    <row r="98" spans="2:9" x14ac:dyDescent="0.25">
      <c r="B98" s="113" t="s">
        <v>1107</v>
      </c>
      <c r="C98" s="113" t="s">
        <v>540</v>
      </c>
      <c r="D98" s="113" t="s">
        <v>707</v>
      </c>
      <c r="E98" s="113" t="s">
        <v>707</v>
      </c>
      <c r="F98" s="113" t="s">
        <v>707</v>
      </c>
      <c r="G98" s="113" t="s">
        <v>707</v>
      </c>
      <c r="H98" s="113" t="s">
        <v>707</v>
      </c>
      <c r="I98" s="113">
        <v>1</v>
      </c>
    </row>
    <row r="99" spans="2:9" x14ac:dyDescent="0.25">
      <c r="B99" s="113" t="s">
        <v>1107</v>
      </c>
      <c r="C99" s="113" t="s">
        <v>541</v>
      </c>
      <c r="D99" s="113" t="s">
        <v>707</v>
      </c>
      <c r="E99" s="113" t="s">
        <v>707</v>
      </c>
      <c r="F99" s="113" t="s">
        <v>707</v>
      </c>
      <c r="G99" s="113" t="s">
        <v>707</v>
      </c>
      <c r="H99" s="113" t="s">
        <v>707</v>
      </c>
      <c r="I99" s="113">
        <v>1</v>
      </c>
    </row>
    <row r="100" spans="2:9" x14ac:dyDescent="0.25">
      <c r="B100" s="113" t="s">
        <v>1107</v>
      </c>
      <c r="C100" s="113" t="s">
        <v>179</v>
      </c>
      <c r="D100" s="113" t="s">
        <v>707</v>
      </c>
      <c r="E100" s="113" t="s">
        <v>707</v>
      </c>
      <c r="F100" s="113" t="s">
        <v>707</v>
      </c>
      <c r="G100" s="113" t="s">
        <v>707</v>
      </c>
      <c r="H100" s="113" t="s">
        <v>707</v>
      </c>
      <c r="I100" s="113">
        <v>1</v>
      </c>
    </row>
    <row r="101" spans="2:9" x14ac:dyDescent="0.25">
      <c r="B101" s="113" t="s">
        <v>1107</v>
      </c>
      <c r="C101" s="113" t="s">
        <v>1286</v>
      </c>
      <c r="D101" s="113" t="s">
        <v>707</v>
      </c>
      <c r="E101" s="113" t="s">
        <v>707</v>
      </c>
      <c r="F101" s="113" t="s">
        <v>707</v>
      </c>
      <c r="G101" s="113" t="s">
        <v>707</v>
      </c>
      <c r="H101" s="113" t="s">
        <v>707</v>
      </c>
      <c r="I101" s="113">
        <v>1</v>
      </c>
    </row>
    <row r="102" spans="2:9" x14ac:dyDescent="0.25">
      <c r="B102" s="113" t="s">
        <v>1107</v>
      </c>
      <c r="C102" s="113" t="s">
        <v>1284</v>
      </c>
      <c r="D102" s="113" t="s">
        <v>707</v>
      </c>
      <c r="E102" s="113" t="s">
        <v>707</v>
      </c>
      <c r="F102" s="113" t="s">
        <v>707</v>
      </c>
      <c r="G102" s="113" t="s">
        <v>707</v>
      </c>
      <c r="H102" s="113" t="s">
        <v>707</v>
      </c>
      <c r="I102" s="113">
        <v>1</v>
      </c>
    </row>
    <row r="103" spans="2:9" x14ac:dyDescent="0.25">
      <c r="B103" s="113" t="s">
        <v>1107</v>
      </c>
      <c r="C103" s="113" t="s">
        <v>181</v>
      </c>
      <c r="D103" s="113" t="s">
        <v>707</v>
      </c>
      <c r="E103" s="113" t="s">
        <v>707</v>
      </c>
      <c r="F103" s="113" t="s">
        <v>707</v>
      </c>
      <c r="G103" s="113" t="s">
        <v>707</v>
      </c>
      <c r="H103" s="113" t="s">
        <v>707</v>
      </c>
      <c r="I103" s="113">
        <v>1</v>
      </c>
    </row>
    <row r="104" spans="2:9" x14ac:dyDescent="0.25">
      <c r="B104" s="113" t="s">
        <v>1107</v>
      </c>
      <c r="C104" s="113" t="s">
        <v>1281</v>
      </c>
      <c r="D104" s="113" t="s">
        <v>707</v>
      </c>
      <c r="E104" s="113" t="s">
        <v>707</v>
      </c>
      <c r="F104" s="113" t="s">
        <v>707</v>
      </c>
      <c r="G104" s="113" t="s">
        <v>707</v>
      </c>
      <c r="H104" s="113" t="s">
        <v>707</v>
      </c>
      <c r="I104" s="113">
        <v>1</v>
      </c>
    </row>
    <row r="105" spans="2:9" x14ac:dyDescent="0.25">
      <c r="B105" s="113" t="s">
        <v>1107</v>
      </c>
      <c r="C105" s="113" t="s">
        <v>1279</v>
      </c>
      <c r="D105" s="113" t="s">
        <v>707</v>
      </c>
      <c r="E105" s="113" t="s">
        <v>707</v>
      </c>
      <c r="F105" s="113" t="s">
        <v>707</v>
      </c>
      <c r="G105" s="113" t="s">
        <v>707</v>
      </c>
      <c r="H105" s="113" t="s">
        <v>707</v>
      </c>
      <c r="I105" s="113">
        <v>1</v>
      </c>
    </row>
    <row r="106" spans="2:9" x14ac:dyDescent="0.25">
      <c r="B106" s="113" t="s">
        <v>1107</v>
      </c>
      <c r="C106" s="113" t="s">
        <v>542</v>
      </c>
      <c r="D106" s="113" t="s">
        <v>707</v>
      </c>
      <c r="E106" s="113" t="s">
        <v>707</v>
      </c>
      <c r="F106" s="113" t="s">
        <v>707</v>
      </c>
      <c r="G106" s="113" t="s">
        <v>707</v>
      </c>
      <c r="H106" s="113" t="s">
        <v>707</v>
      </c>
      <c r="I106" s="113">
        <v>1</v>
      </c>
    </row>
    <row r="107" spans="2:9" x14ac:dyDescent="0.25">
      <c r="B107" s="113" t="s">
        <v>1107</v>
      </c>
      <c r="C107" s="113" t="s">
        <v>1276</v>
      </c>
      <c r="D107" s="113" t="s">
        <v>707</v>
      </c>
      <c r="E107" s="113" t="s">
        <v>707</v>
      </c>
      <c r="F107" s="113" t="s">
        <v>707</v>
      </c>
      <c r="G107" s="113" t="s">
        <v>707</v>
      </c>
      <c r="H107" s="113" t="s">
        <v>707</v>
      </c>
      <c r="I107" s="113">
        <v>1</v>
      </c>
    </row>
    <row r="108" spans="2:9" x14ac:dyDescent="0.25">
      <c r="B108" s="113" t="s">
        <v>1107</v>
      </c>
      <c r="C108" s="113" t="s">
        <v>1274</v>
      </c>
      <c r="D108" s="113" t="s">
        <v>707</v>
      </c>
      <c r="E108" s="113" t="s">
        <v>707</v>
      </c>
      <c r="F108" s="113" t="s">
        <v>707</v>
      </c>
      <c r="G108" s="113" t="s">
        <v>707</v>
      </c>
      <c r="H108" s="113" t="s">
        <v>707</v>
      </c>
      <c r="I108" s="113">
        <v>1</v>
      </c>
    </row>
    <row r="109" spans="2:9" x14ac:dyDescent="0.25">
      <c r="B109" s="113" t="s">
        <v>1107</v>
      </c>
      <c r="C109" s="113" t="s">
        <v>1272</v>
      </c>
      <c r="D109" s="113" t="s">
        <v>707</v>
      </c>
      <c r="E109" s="113" t="s">
        <v>707</v>
      </c>
      <c r="F109" s="113" t="s">
        <v>707</v>
      </c>
      <c r="G109" s="113" t="s">
        <v>707</v>
      </c>
      <c r="H109" s="113" t="s">
        <v>707</v>
      </c>
      <c r="I109" s="113">
        <v>1</v>
      </c>
    </row>
    <row r="110" spans="2:9" x14ac:dyDescent="0.25">
      <c r="B110" s="113" t="s">
        <v>1107</v>
      </c>
      <c r="C110" s="113" t="s">
        <v>1270</v>
      </c>
      <c r="D110" s="113" t="s">
        <v>707</v>
      </c>
      <c r="E110" s="113" t="s">
        <v>707</v>
      </c>
      <c r="F110" s="113" t="s">
        <v>707</v>
      </c>
      <c r="G110" s="113" t="s">
        <v>707</v>
      </c>
      <c r="H110" s="113" t="s">
        <v>707</v>
      </c>
      <c r="I110" s="113">
        <v>1</v>
      </c>
    </row>
    <row r="111" spans="2:9" x14ac:dyDescent="0.25">
      <c r="B111" s="113" t="s">
        <v>1107</v>
      </c>
      <c r="C111" s="113" t="s">
        <v>1268</v>
      </c>
      <c r="D111" s="113" t="s">
        <v>707</v>
      </c>
      <c r="E111" s="113" t="s">
        <v>707</v>
      </c>
      <c r="F111" s="113" t="s">
        <v>707</v>
      </c>
      <c r="G111" s="113" t="s">
        <v>707</v>
      </c>
      <c r="H111" s="113" t="s">
        <v>707</v>
      </c>
      <c r="I111" s="113">
        <v>1</v>
      </c>
    </row>
    <row r="112" spans="2:9" x14ac:dyDescent="0.25">
      <c r="B112" s="113" t="s">
        <v>1107</v>
      </c>
      <c r="C112" s="113" t="s">
        <v>1266</v>
      </c>
      <c r="D112" s="113" t="s">
        <v>707</v>
      </c>
      <c r="E112" s="113" t="s">
        <v>707</v>
      </c>
      <c r="F112" s="113" t="s">
        <v>707</v>
      </c>
      <c r="G112" s="113" t="s">
        <v>707</v>
      </c>
      <c r="H112" s="113" t="s">
        <v>707</v>
      </c>
      <c r="I112" s="113">
        <v>1</v>
      </c>
    </row>
    <row r="113" spans="2:9" x14ac:dyDescent="0.25">
      <c r="B113" s="113" t="s">
        <v>1107</v>
      </c>
      <c r="C113" s="113" t="s">
        <v>1264</v>
      </c>
      <c r="D113" s="113" t="s">
        <v>707</v>
      </c>
      <c r="E113" s="113" t="s">
        <v>707</v>
      </c>
      <c r="F113" s="113" t="s">
        <v>707</v>
      </c>
      <c r="G113" s="113" t="s">
        <v>707</v>
      </c>
      <c r="H113" s="113" t="s">
        <v>707</v>
      </c>
      <c r="I113" s="113">
        <v>1</v>
      </c>
    </row>
    <row r="114" spans="2:9" x14ac:dyDescent="0.25">
      <c r="B114" s="113" t="s">
        <v>1107</v>
      </c>
      <c r="C114" s="113" t="s">
        <v>1262</v>
      </c>
      <c r="D114" s="113" t="s">
        <v>707</v>
      </c>
      <c r="E114" s="113" t="s">
        <v>707</v>
      </c>
      <c r="F114" s="113" t="s">
        <v>707</v>
      </c>
      <c r="G114" s="113" t="s">
        <v>707</v>
      </c>
      <c r="H114" s="113" t="s">
        <v>707</v>
      </c>
      <c r="I114" s="113">
        <v>1</v>
      </c>
    </row>
    <row r="115" spans="2:9" x14ac:dyDescent="0.25">
      <c r="B115" s="113" t="s">
        <v>1104</v>
      </c>
      <c r="C115" s="113" t="s">
        <v>170</v>
      </c>
      <c r="D115" s="113" t="s">
        <v>43</v>
      </c>
      <c r="E115" s="113" t="s">
        <v>707</v>
      </c>
      <c r="F115" s="113" t="s">
        <v>707</v>
      </c>
      <c r="G115" s="113" t="s">
        <v>707</v>
      </c>
      <c r="H115" s="113" t="s">
        <v>707</v>
      </c>
      <c r="I115" s="113">
        <v>1</v>
      </c>
    </row>
    <row r="116" spans="2:9" x14ac:dyDescent="0.25">
      <c r="B116" s="113" t="s">
        <v>1104</v>
      </c>
      <c r="C116" s="113" t="s">
        <v>170</v>
      </c>
      <c r="D116" s="113" t="s">
        <v>40</v>
      </c>
      <c r="E116" s="113" t="s">
        <v>707</v>
      </c>
      <c r="F116" s="113" t="s">
        <v>707</v>
      </c>
      <c r="G116" s="113" t="s">
        <v>707</v>
      </c>
      <c r="H116" s="113" t="s">
        <v>707</v>
      </c>
      <c r="I116" s="113">
        <v>1</v>
      </c>
    </row>
    <row r="117" spans="2:9" x14ac:dyDescent="0.25">
      <c r="B117" s="113" t="s">
        <v>1104</v>
      </c>
      <c r="C117" s="113" t="s">
        <v>170</v>
      </c>
      <c r="D117" s="113" t="s">
        <v>39</v>
      </c>
      <c r="E117" s="113" t="s">
        <v>707</v>
      </c>
      <c r="F117" s="113" t="s">
        <v>707</v>
      </c>
      <c r="G117" s="113" t="s">
        <v>707</v>
      </c>
      <c r="H117" s="113" t="s">
        <v>707</v>
      </c>
      <c r="I117" s="113">
        <v>1</v>
      </c>
    </row>
    <row r="118" spans="2:9" x14ac:dyDescent="0.25">
      <c r="B118" s="113" t="s">
        <v>1104</v>
      </c>
      <c r="C118" s="113" t="s">
        <v>170</v>
      </c>
      <c r="D118" s="113" t="s">
        <v>592</v>
      </c>
      <c r="E118" s="113" t="s">
        <v>707</v>
      </c>
      <c r="F118" s="113" t="s">
        <v>707</v>
      </c>
      <c r="G118" s="113" t="s">
        <v>707</v>
      </c>
      <c r="H118" s="113" t="s">
        <v>707</v>
      </c>
      <c r="I118" s="113">
        <v>1</v>
      </c>
    </row>
    <row r="119" spans="2:9" x14ac:dyDescent="0.25">
      <c r="B119" s="113" t="s">
        <v>1104</v>
      </c>
      <c r="C119" s="113" t="s">
        <v>170</v>
      </c>
      <c r="D119" s="113" t="s">
        <v>1337</v>
      </c>
      <c r="E119" s="113" t="s">
        <v>707</v>
      </c>
      <c r="F119" s="113" t="s">
        <v>707</v>
      </c>
      <c r="G119" s="113" t="s">
        <v>707</v>
      </c>
      <c r="H119" s="113" t="s">
        <v>707</v>
      </c>
      <c r="I119" s="113">
        <v>1</v>
      </c>
    </row>
    <row r="120" spans="2:9" x14ac:dyDescent="0.25">
      <c r="B120" s="113" t="s">
        <v>1104</v>
      </c>
      <c r="C120" s="113" t="s">
        <v>170</v>
      </c>
      <c r="D120" s="113" t="s">
        <v>41</v>
      </c>
      <c r="E120" s="113" t="s">
        <v>707</v>
      </c>
      <c r="F120" s="113" t="s">
        <v>707</v>
      </c>
      <c r="G120" s="113" t="s">
        <v>707</v>
      </c>
      <c r="H120" s="113" t="s">
        <v>707</v>
      </c>
      <c r="I120" s="113">
        <v>1</v>
      </c>
    </row>
    <row r="121" spans="2:9" x14ac:dyDescent="0.25">
      <c r="B121" s="113" t="s">
        <v>1104</v>
      </c>
      <c r="C121" s="113" t="s">
        <v>1306</v>
      </c>
      <c r="D121" s="113" t="s">
        <v>41</v>
      </c>
      <c r="E121" s="113" t="s">
        <v>707</v>
      </c>
      <c r="F121" s="113" t="s">
        <v>707</v>
      </c>
      <c r="G121" s="113" t="s">
        <v>707</v>
      </c>
      <c r="H121" s="113" t="s">
        <v>707</v>
      </c>
      <c r="I121" s="113">
        <v>1</v>
      </c>
    </row>
    <row r="122" spans="2:9" x14ac:dyDescent="0.25">
      <c r="B122" s="113" t="s">
        <v>1104</v>
      </c>
      <c r="C122" s="113" t="s">
        <v>1304</v>
      </c>
      <c r="D122" s="113" t="s">
        <v>41</v>
      </c>
      <c r="E122" s="113" t="s">
        <v>707</v>
      </c>
      <c r="F122" s="113" t="s">
        <v>707</v>
      </c>
      <c r="G122" s="113" t="s">
        <v>707</v>
      </c>
      <c r="H122" s="113" t="s">
        <v>707</v>
      </c>
      <c r="I122" s="113">
        <v>1</v>
      </c>
    </row>
    <row r="123" spans="2:9" x14ac:dyDescent="0.25">
      <c r="B123" s="113" t="s">
        <v>1104</v>
      </c>
      <c r="C123" s="113" t="s">
        <v>539</v>
      </c>
      <c r="D123" s="113" t="s">
        <v>43</v>
      </c>
      <c r="E123" s="113" t="s">
        <v>707</v>
      </c>
      <c r="F123" s="113" t="s">
        <v>707</v>
      </c>
      <c r="G123" s="113" t="s">
        <v>707</v>
      </c>
      <c r="H123" s="113" t="s">
        <v>707</v>
      </c>
      <c r="I123" s="113">
        <v>1</v>
      </c>
    </row>
    <row r="124" spans="2:9" x14ac:dyDescent="0.25">
      <c r="B124" s="113" t="s">
        <v>1104</v>
      </c>
      <c r="C124" s="113" t="s">
        <v>539</v>
      </c>
      <c r="D124" s="113" t="s">
        <v>40</v>
      </c>
      <c r="E124" s="113" t="s">
        <v>707</v>
      </c>
      <c r="F124" s="113" t="s">
        <v>707</v>
      </c>
      <c r="G124" s="113" t="s">
        <v>707</v>
      </c>
      <c r="H124" s="113" t="s">
        <v>707</v>
      </c>
      <c r="I124" s="113">
        <v>1</v>
      </c>
    </row>
    <row r="125" spans="2:9" x14ac:dyDescent="0.25">
      <c r="B125" s="113" t="s">
        <v>1104</v>
      </c>
      <c r="C125" s="113" t="s">
        <v>539</v>
      </c>
      <c r="D125" s="113" t="s">
        <v>39</v>
      </c>
      <c r="E125" s="113" t="s">
        <v>707</v>
      </c>
      <c r="F125" s="113" t="s">
        <v>707</v>
      </c>
      <c r="G125" s="113" t="s">
        <v>707</v>
      </c>
      <c r="H125" s="113" t="s">
        <v>707</v>
      </c>
      <c r="I125" s="113">
        <v>1</v>
      </c>
    </row>
    <row r="126" spans="2:9" x14ac:dyDescent="0.25">
      <c r="B126" s="113" t="s">
        <v>1104</v>
      </c>
      <c r="C126" s="113" t="s">
        <v>539</v>
      </c>
      <c r="D126" s="113" t="s">
        <v>592</v>
      </c>
      <c r="E126" s="113" t="s">
        <v>707</v>
      </c>
      <c r="F126" s="113" t="s">
        <v>707</v>
      </c>
      <c r="G126" s="113" t="s">
        <v>707</v>
      </c>
      <c r="H126" s="113" t="s">
        <v>707</v>
      </c>
      <c r="I126" s="113">
        <v>1</v>
      </c>
    </row>
    <row r="127" spans="2:9" x14ac:dyDescent="0.25">
      <c r="B127" s="113" t="s">
        <v>1104</v>
      </c>
      <c r="C127" s="113" t="s">
        <v>539</v>
      </c>
      <c r="D127" s="113" t="s">
        <v>1337</v>
      </c>
      <c r="E127" s="113" t="s">
        <v>707</v>
      </c>
      <c r="F127" s="113" t="s">
        <v>707</v>
      </c>
      <c r="G127" s="113" t="s">
        <v>707</v>
      </c>
      <c r="H127" s="113" t="s">
        <v>707</v>
      </c>
      <c r="I127" s="113">
        <v>1</v>
      </c>
    </row>
    <row r="128" spans="2:9" x14ac:dyDescent="0.25">
      <c r="B128" s="113" t="s">
        <v>1104</v>
      </c>
      <c r="C128" s="113" t="s">
        <v>539</v>
      </c>
      <c r="D128" s="113" t="s">
        <v>41</v>
      </c>
      <c r="E128" s="113" t="s">
        <v>707</v>
      </c>
      <c r="F128" s="113" t="s">
        <v>707</v>
      </c>
      <c r="G128" s="113" t="s">
        <v>707</v>
      </c>
      <c r="H128" s="113" t="s">
        <v>707</v>
      </c>
      <c r="I128" s="113">
        <v>1</v>
      </c>
    </row>
    <row r="129" spans="2:9" x14ac:dyDescent="0.25">
      <c r="B129" s="113" t="s">
        <v>1104</v>
      </c>
      <c r="C129" s="113" t="s">
        <v>172</v>
      </c>
      <c r="D129" s="113" t="s">
        <v>43</v>
      </c>
      <c r="E129" s="113" t="s">
        <v>707</v>
      </c>
      <c r="F129" s="113" t="s">
        <v>707</v>
      </c>
      <c r="G129" s="113" t="s">
        <v>707</v>
      </c>
      <c r="H129" s="113" t="s">
        <v>707</v>
      </c>
      <c r="I129" s="113">
        <v>1</v>
      </c>
    </row>
    <row r="130" spans="2:9" x14ac:dyDescent="0.25">
      <c r="B130" s="113" t="s">
        <v>1104</v>
      </c>
      <c r="C130" s="113" t="s">
        <v>172</v>
      </c>
      <c r="D130" s="113" t="s">
        <v>40</v>
      </c>
      <c r="E130" s="113" t="s">
        <v>707</v>
      </c>
      <c r="F130" s="113" t="s">
        <v>707</v>
      </c>
      <c r="G130" s="113" t="s">
        <v>707</v>
      </c>
      <c r="H130" s="113" t="s">
        <v>707</v>
      </c>
      <c r="I130" s="113">
        <v>1</v>
      </c>
    </row>
    <row r="131" spans="2:9" x14ac:dyDescent="0.25">
      <c r="B131" s="113" t="s">
        <v>1104</v>
      </c>
      <c r="C131" s="113" t="s">
        <v>172</v>
      </c>
      <c r="D131" s="113" t="s">
        <v>39</v>
      </c>
      <c r="E131" s="113" t="s">
        <v>707</v>
      </c>
      <c r="F131" s="113" t="s">
        <v>707</v>
      </c>
      <c r="G131" s="113" t="s">
        <v>707</v>
      </c>
      <c r="H131" s="113" t="s">
        <v>707</v>
      </c>
      <c r="I131" s="113">
        <v>1</v>
      </c>
    </row>
    <row r="132" spans="2:9" x14ac:dyDescent="0.25">
      <c r="B132" s="113" t="s">
        <v>1104</v>
      </c>
      <c r="C132" s="113" t="s">
        <v>172</v>
      </c>
      <c r="D132" s="113" t="s">
        <v>592</v>
      </c>
      <c r="E132" s="113" t="s">
        <v>707</v>
      </c>
      <c r="F132" s="113" t="s">
        <v>707</v>
      </c>
      <c r="G132" s="113" t="s">
        <v>707</v>
      </c>
      <c r="H132" s="113" t="s">
        <v>707</v>
      </c>
      <c r="I132" s="113">
        <v>1</v>
      </c>
    </row>
    <row r="133" spans="2:9" x14ac:dyDescent="0.25">
      <c r="B133" s="113" t="s">
        <v>1104</v>
      </c>
      <c r="C133" s="113" t="s">
        <v>172</v>
      </c>
      <c r="D133" s="113" t="s">
        <v>595</v>
      </c>
      <c r="E133" s="113" t="s">
        <v>707</v>
      </c>
      <c r="F133" s="113" t="s">
        <v>707</v>
      </c>
      <c r="G133" s="113" t="s">
        <v>707</v>
      </c>
      <c r="H133" s="113" t="s">
        <v>707</v>
      </c>
      <c r="I133" s="113">
        <v>1</v>
      </c>
    </row>
    <row r="134" spans="2:9" x14ac:dyDescent="0.25">
      <c r="B134" s="113" t="s">
        <v>1104</v>
      </c>
      <c r="C134" s="113" t="s">
        <v>172</v>
      </c>
      <c r="D134" s="113" t="s">
        <v>41</v>
      </c>
      <c r="E134" s="113" t="s">
        <v>707</v>
      </c>
      <c r="F134" s="113" t="s">
        <v>707</v>
      </c>
      <c r="G134" s="113" t="s">
        <v>707</v>
      </c>
      <c r="H134" s="113" t="s">
        <v>707</v>
      </c>
      <c r="I134" s="113">
        <v>1</v>
      </c>
    </row>
    <row r="135" spans="2:9" x14ac:dyDescent="0.25">
      <c r="B135" s="113" t="s">
        <v>1104</v>
      </c>
      <c r="C135" s="113" t="s">
        <v>1300</v>
      </c>
      <c r="D135" s="113" t="s">
        <v>41</v>
      </c>
      <c r="E135" s="113" t="s">
        <v>707</v>
      </c>
      <c r="F135" s="113" t="s">
        <v>707</v>
      </c>
      <c r="G135" s="113" t="s">
        <v>707</v>
      </c>
      <c r="H135" s="113" t="s">
        <v>707</v>
      </c>
      <c r="I135" s="113">
        <v>1</v>
      </c>
    </row>
    <row r="136" spans="2:9" x14ac:dyDescent="0.25">
      <c r="B136" s="113" t="s">
        <v>1104</v>
      </c>
      <c r="C136" s="113" t="s">
        <v>1298</v>
      </c>
      <c r="D136" s="113" t="s">
        <v>41</v>
      </c>
      <c r="E136" s="113" t="s">
        <v>707</v>
      </c>
      <c r="F136" s="113" t="s">
        <v>707</v>
      </c>
      <c r="G136" s="113" t="s">
        <v>707</v>
      </c>
      <c r="H136" s="113" t="s">
        <v>707</v>
      </c>
      <c r="I136" s="113">
        <v>1</v>
      </c>
    </row>
    <row r="137" spans="2:9" x14ac:dyDescent="0.25">
      <c r="B137" s="113" t="s">
        <v>1104</v>
      </c>
      <c r="C137" s="113" t="s">
        <v>1296</v>
      </c>
      <c r="D137" s="113" t="s">
        <v>1348</v>
      </c>
      <c r="E137" s="113" t="s">
        <v>707</v>
      </c>
      <c r="F137" s="113" t="s">
        <v>707</v>
      </c>
      <c r="G137" s="113" t="s">
        <v>707</v>
      </c>
      <c r="H137" s="113" t="s">
        <v>707</v>
      </c>
      <c r="I137" s="113">
        <v>1</v>
      </c>
    </row>
    <row r="138" spans="2:9" x14ac:dyDescent="0.25">
      <c r="B138" s="113" t="s">
        <v>1104</v>
      </c>
      <c r="C138" s="113" t="s">
        <v>175</v>
      </c>
      <c r="D138" s="113" t="s">
        <v>40</v>
      </c>
      <c r="E138" s="113" t="s">
        <v>707</v>
      </c>
      <c r="F138" s="113" t="s">
        <v>707</v>
      </c>
      <c r="G138" s="113" t="s">
        <v>707</v>
      </c>
      <c r="H138" s="113" t="s">
        <v>707</v>
      </c>
      <c r="I138" s="113">
        <v>1</v>
      </c>
    </row>
    <row r="139" spans="2:9" x14ac:dyDescent="0.25">
      <c r="B139" s="113" t="s">
        <v>1104</v>
      </c>
      <c r="C139" s="113" t="s">
        <v>175</v>
      </c>
      <c r="D139" s="113" t="s">
        <v>39</v>
      </c>
      <c r="E139" s="113" t="s">
        <v>707</v>
      </c>
      <c r="F139" s="113" t="s">
        <v>707</v>
      </c>
      <c r="G139" s="113" t="s">
        <v>707</v>
      </c>
      <c r="H139" s="113" t="s">
        <v>707</v>
      </c>
      <c r="I139" s="113">
        <v>1</v>
      </c>
    </row>
    <row r="140" spans="2:9" x14ac:dyDescent="0.25">
      <c r="B140" s="113" t="s">
        <v>1104</v>
      </c>
      <c r="C140" s="113" t="s">
        <v>175</v>
      </c>
      <c r="D140" s="113" t="s">
        <v>592</v>
      </c>
      <c r="E140" s="113" t="s">
        <v>707</v>
      </c>
      <c r="F140" s="113" t="s">
        <v>707</v>
      </c>
      <c r="G140" s="113" t="s">
        <v>707</v>
      </c>
      <c r="H140" s="113" t="s">
        <v>707</v>
      </c>
      <c r="I140" s="113">
        <v>1</v>
      </c>
    </row>
    <row r="141" spans="2:9" x14ac:dyDescent="0.25">
      <c r="B141" s="113" t="s">
        <v>1104</v>
      </c>
      <c r="C141" s="113" t="s">
        <v>175</v>
      </c>
      <c r="D141" s="113" t="s">
        <v>1337</v>
      </c>
      <c r="E141" s="113" t="s">
        <v>707</v>
      </c>
      <c r="F141" s="113" t="s">
        <v>707</v>
      </c>
      <c r="G141" s="113" t="s">
        <v>707</v>
      </c>
      <c r="H141" s="113" t="s">
        <v>707</v>
      </c>
      <c r="I141" s="113">
        <v>1</v>
      </c>
    </row>
    <row r="142" spans="2:9" x14ac:dyDescent="0.25">
      <c r="B142" s="113" t="s">
        <v>1104</v>
      </c>
      <c r="C142" s="113" t="s">
        <v>175</v>
      </c>
      <c r="D142" s="113" t="s">
        <v>41</v>
      </c>
      <c r="E142" s="113" t="s">
        <v>707</v>
      </c>
      <c r="F142" s="113" t="s">
        <v>707</v>
      </c>
      <c r="G142" s="113" t="s">
        <v>707</v>
      </c>
      <c r="H142" s="113" t="s">
        <v>707</v>
      </c>
      <c r="I142" s="113">
        <v>1</v>
      </c>
    </row>
    <row r="143" spans="2:9" x14ac:dyDescent="0.25">
      <c r="B143" s="113" t="s">
        <v>1104</v>
      </c>
      <c r="C143" s="113" t="s">
        <v>1293</v>
      </c>
      <c r="D143" s="113" t="s">
        <v>41</v>
      </c>
      <c r="E143" s="113" t="s">
        <v>707</v>
      </c>
      <c r="F143" s="113" t="s">
        <v>707</v>
      </c>
      <c r="G143" s="113" t="s">
        <v>707</v>
      </c>
      <c r="H143" s="113" t="s">
        <v>707</v>
      </c>
      <c r="I143" s="113">
        <v>1</v>
      </c>
    </row>
    <row r="144" spans="2:9" x14ac:dyDescent="0.25">
      <c r="B144" s="113" t="s">
        <v>1104</v>
      </c>
      <c r="C144" s="113" t="s">
        <v>1291</v>
      </c>
      <c r="D144" s="113" t="s">
        <v>41</v>
      </c>
      <c r="E144" s="113" t="s">
        <v>707</v>
      </c>
      <c r="F144" s="113" t="s">
        <v>707</v>
      </c>
      <c r="G144" s="113" t="s">
        <v>707</v>
      </c>
      <c r="H144" s="113" t="s">
        <v>707</v>
      </c>
      <c r="I144" s="113">
        <v>1</v>
      </c>
    </row>
    <row r="145" spans="2:9" x14ac:dyDescent="0.25">
      <c r="B145" s="113" t="s">
        <v>1104</v>
      </c>
      <c r="C145" s="113" t="s">
        <v>540</v>
      </c>
      <c r="D145" s="113" t="s">
        <v>40</v>
      </c>
      <c r="E145" s="113" t="s">
        <v>707</v>
      </c>
      <c r="F145" s="113" t="s">
        <v>707</v>
      </c>
      <c r="G145" s="113" t="s">
        <v>707</v>
      </c>
      <c r="H145" s="113" t="s">
        <v>707</v>
      </c>
      <c r="I145" s="113">
        <v>1</v>
      </c>
    </row>
    <row r="146" spans="2:9" x14ac:dyDescent="0.25">
      <c r="B146" s="113" t="s">
        <v>1104</v>
      </c>
      <c r="C146" s="113" t="s">
        <v>540</v>
      </c>
      <c r="D146" s="113" t="s">
        <v>39</v>
      </c>
      <c r="E146" s="113" t="s">
        <v>707</v>
      </c>
      <c r="F146" s="113" t="s">
        <v>707</v>
      </c>
      <c r="G146" s="113" t="s">
        <v>707</v>
      </c>
      <c r="H146" s="113" t="s">
        <v>707</v>
      </c>
      <c r="I146" s="113">
        <v>1</v>
      </c>
    </row>
    <row r="147" spans="2:9" x14ac:dyDescent="0.25">
      <c r="B147" s="113" t="s">
        <v>1104</v>
      </c>
      <c r="C147" s="113" t="s">
        <v>540</v>
      </c>
      <c r="D147" s="113" t="s">
        <v>592</v>
      </c>
      <c r="E147" s="113" t="s">
        <v>707</v>
      </c>
      <c r="F147" s="113" t="s">
        <v>707</v>
      </c>
      <c r="G147" s="113" t="s">
        <v>707</v>
      </c>
      <c r="H147" s="113" t="s">
        <v>707</v>
      </c>
      <c r="I147" s="113">
        <v>1</v>
      </c>
    </row>
    <row r="148" spans="2:9" x14ac:dyDescent="0.25">
      <c r="B148" s="113" t="s">
        <v>1104</v>
      </c>
      <c r="C148" s="113" t="s">
        <v>540</v>
      </c>
      <c r="D148" s="113" t="s">
        <v>1337</v>
      </c>
      <c r="E148" s="113" t="s">
        <v>707</v>
      </c>
      <c r="F148" s="113" t="s">
        <v>707</v>
      </c>
      <c r="G148" s="113" t="s">
        <v>707</v>
      </c>
      <c r="H148" s="113" t="s">
        <v>707</v>
      </c>
      <c r="I148" s="113">
        <v>1</v>
      </c>
    </row>
    <row r="149" spans="2:9" x14ac:dyDescent="0.25">
      <c r="B149" s="113" t="s">
        <v>1104</v>
      </c>
      <c r="C149" s="113" t="s">
        <v>540</v>
      </c>
      <c r="D149" s="113" t="s">
        <v>41</v>
      </c>
      <c r="E149" s="113" t="s">
        <v>707</v>
      </c>
      <c r="F149" s="113" t="s">
        <v>707</v>
      </c>
      <c r="G149" s="113" t="s">
        <v>707</v>
      </c>
      <c r="H149" s="113" t="s">
        <v>707</v>
      </c>
      <c r="I149" s="113">
        <v>1</v>
      </c>
    </row>
    <row r="150" spans="2:9" x14ac:dyDescent="0.25">
      <c r="B150" s="113" t="s">
        <v>1104</v>
      </c>
      <c r="C150" s="113" t="s">
        <v>541</v>
      </c>
      <c r="D150" s="113" t="s">
        <v>39</v>
      </c>
      <c r="E150" s="113" t="s">
        <v>707</v>
      </c>
      <c r="F150" s="113" t="s">
        <v>707</v>
      </c>
      <c r="G150" s="113" t="s">
        <v>707</v>
      </c>
      <c r="H150" s="113" t="s">
        <v>707</v>
      </c>
      <c r="I150" s="113">
        <v>1</v>
      </c>
    </row>
    <row r="151" spans="2:9" x14ac:dyDescent="0.25">
      <c r="B151" s="113" t="s">
        <v>1104</v>
      </c>
      <c r="C151" s="113" t="s">
        <v>541</v>
      </c>
      <c r="D151" s="113" t="s">
        <v>592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1</v>
      </c>
    </row>
    <row r="152" spans="2:9" x14ac:dyDescent="0.25">
      <c r="B152" s="113" t="s">
        <v>1104</v>
      </c>
      <c r="C152" s="113" t="s">
        <v>541</v>
      </c>
      <c r="D152" s="113" t="s">
        <v>1337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1</v>
      </c>
    </row>
    <row r="153" spans="2:9" x14ac:dyDescent="0.25">
      <c r="B153" s="113" t="s">
        <v>1104</v>
      </c>
      <c r="C153" s="113" t="s">
        <v>541</v>
      </c>
      <c r="D153" s="113" t="s">
        <v>41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1</v>
      </c>
    </row>
    <row r="154" spans="2:9" x14ac:dyDescent="0.25">
      <c r="B154" s="113" t="s">
        <v>1104</v>
      </c>
      <c r="C154" s="113" t="s">
        <v>179</v>
      </c>
      <c r="D154" s="113" t="s">
        <v>43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1</v>
      </c>
    </row>
    <row r="155" spans="2:9" x14ac:dyDescent="0.25">
      <c r="B155" s="113" t="s">
        <v>1104</v>
      </c>
      <c r="C155" s="113" t="s">
        <v>179</v>
      </c>
      <c r="D155" s="113" t="s">
        <v>40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1</v>
      </c>
    </row>
    <row r="156" spans="2:9" x14ac:dyDescent="0.25">
      <c r="B156" s="113" t="s">
        <v>1104</v>
      </c>
      <c r="C156" s="113" t="s">
        <v>179</v>
      </c>
      <c r="D156" s="113" t="s">
        <v>39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1</v>
      </c>
    </row>
    <row r="157" spans="2:9" x14ac:dyDescent="0.25">
      <c r="B157" s="113" t="s">
        <v>1104</v>
      </c>
      <c r="C157" s="113" t="s">
        <v>179</v>
      </c>
      <c r="D157" s="113" t="s">
        <v>592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1</v>
      </c>
    </row>
    <row r="158" spans="2:9" x14ac:dyDescent="0.25">
      <c r="B158" s="113" t="s">
        <v>1104</v>
      </c>
      <c r="C158" s="113" t="s">
        <v>179</v>
      </c>
      <c r="D158" s="113" t="s">
        <v>1337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1</v>
      </c>
    </row>
    <row r="159" spans="2:9" x14ac:dyDescent="0.25">
      <c r="B159" s="113" t="s">
        <v>1104</v>
      </c>
      <c r="C159" s="113" t="s">
        <v>179</v>
      </c>
      <c r="D159" s="113" t="s">
        <v>41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1</v>
      </c>
    </row>
    <row r="160" spans="2:9" x14ac:dyDescent="0.25">
      <c r="B160" s="113" t="s">
        <v>1104</v>
      </c>
      <c r="C160" s="113" t="s">
        <v>1286</v>
      </c>
      <c r="D160" s="113" t="s">
        <v>41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1</v>
      </c>
    </row>
    <row r="161" spans="2:9" x14ac:dyDescent="0.25">
      <c r="B161" s="113" t="s">
        <v>1104</v>
      </c>
      <c r="C161" s="113" t="s">
        <v>1284</v>
      </c>
      <c r="D161" s="113" t="s">
        <v>41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1</v>
      </c>
    </row>
    <row r="162" spans="2:9" x14ac:dyDescent="0.25">
      <c r="B162" s="113" t="s">
        <v>1104</v>
      </c>
      <c r="C162" s="113" t="s">
        <v>181</v>
      </c>
      <c r="D162" s="113" t="s">
        <v>40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1</v>
      </c>
    </row>
    <row r="163" spans="2:9" x14ac:dyDescent="0.25">
      <c r="B163" s="113" t="s">
        <v>1104</v>
      </c>
      <c r="C163" s="113" t="s">
        <v>181</v>
      </c>
      <c r="D163" s="113" t="s">
        <v>39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1</v>
      </c>
    </row>
    <row r="164" spans="2:9" x14ac:dyDescent="0.25">
      <c r="B164" s="113" t="s">
        <v>1104</v>
      </c>
      <c r="C164" s="113" t="s">
        <v>181</v>
      </c>
      <c r="D164" s="113" t="s">
        <v>592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1</v>
      </c>
    </row>
    <row r="165" spans="2:9" x14ac:dyDescent="0.25">
      <c r="B165" s="113" t="s">
        <v>1104</v>
      </c>
      <c r="C165" s="113" t="s">
        <v>181</v>
      </c>
      <c r="D165" s="113" t="s">
        <v>1337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1</v>
      </c>
    </row>
    <row r="166" spans="2:9" x14ac:dyDescent="0.25">
      <c r="B166" s="113" t="s">
        <v>1104</v>
      </c>
      <c r="C166" s="113" t="s">
        <v>181</v>
      </c>
      <c r="D166" s="113" t="s">
        <v>41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1</v>
      </c>
    </row>
    <row r="167" spans="2:9" x14ac:dyDescent="0.25">
      <c r="B167" s="113" t="s">
        <v>1104</v>
      </c>
      <c r="C167" s="113" t="s">
        <v>1281</v>
      </c>
      <c r="D167" s="113" t="s">
        <v>41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1</v>
      </c>
    </row>
    <row r="168" spans="2:9" x14ac:dyDescent="0.25">
      <c r="B168" s="113" t="s">
        <v>1104</v>
      </c>
      <c r="C168" s="113" t="s">
        <v>1279</v>
      </c>
      <c r="D168" s="113" t="s">
        <v>41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1</v>
      </c>
    </row>
    <row r="169" spans="2:9" x14ac:dyDescent="0.25">
      <c r="B169" s="113" t="s">
        <v>1104</v>
      </c>
      <c r="C169" s="113" t="s">
        <v>542</v>
      </c>
      <c r="D169" s="113" t="s">
        <v>40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1</v>
      </c>
    </row>
    <row r="170" spans="2:9" x14ac:dyDescent="0.25">
      <c r="B170" s="113" t="s">
        <v>1104</v>
      </c>
      <c r="C170" s="113" t="s">
        <v>542</v>
      </c>
      <c r="D170" s="113" t="s">
        <v>39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1</v>
      </c>
    </row>
    <row r="171" spans="2:9" x14ac:dyDescent="0.25">
      <c r="B171" s="113" t="s">
        <v>1104</v>
      </c>
      <c r="C171" s="113" t="s">
        <v>542</v>
      </c>
      <c r="D171" s="113" t="s">
        <v>592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1</v>
      </c>
    </row>
    <row r="172" spans="2:9" x14ac:dyDescent="0.25">
      <c r="B172" s="113" t="s">
        <v>1104</v>
      </c>
      <c r="C172" s="113" t="s">
        <v>542</v>
      </c>
      <c r="D172" s="113" t="s">
        <v>1337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1</v>
      </c>
    </row>
    <row r="173" spans="2:9" x14ac:dyDescent="0.25">
      <c r="B173" s="113" t="s">
        <v>1104</v>
      </c>
      <c r="C173" s="113" t="s">
        <v>542</v>
      </c>
      <c r="D173" s="113" t="s">
        <v>41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1</v>
      </c>
    </row>
    <row r="174" spans="2:9" x14ac:dyDescent="0.25">
      <c r="B174" s="113" t="s">
        <v>1104</v>
      </c>
      <c r="C174" s="113" t="s">
        <v>1276</v>
      </c>
      <c r="D174" s="113" t="s">
        <v>1463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1</v>
      </c>
    </row>
    <row r="175" spans="2:9" x14ac:dyDescent="0.25">
      <c r="B175" s="113" t="s">
        <v>1104</v>
      </c>
      <c r="C175" s="113" t="s">
        <v>1276</v>
      </c>
      <c r="D175" s="113" t="s">
        <v>1462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1</v>
      </c>
    </row>
    <row r="176" spans="2:9" x14ac:dyDescent="0.25">
      <c r="B176" s="113" t="s">
        <v>1104</v>
      </c>
      <c r="C176" s="113" t="s">
        <v>1274</v>
      </c>
      <c r="D176" s="113" t="s">
        <v>1325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1</v>
      </c>
    </row>
    <row r="177" spans="2:9" x14ac:dyDescent="0.25">
      <c r="B177" s="113" t="s">
        <v>1104</v>
      </c>
      <c r="C177" s="113" t="s">
        <v>1272</v>
      </c>
      <c r="D177" s="572" t="s">
        <v>1461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1</v>
      </c>
    </row>
    <row r="178" spans="2:9" x14ac:dyDescent="0.25">
      <c r="B178" s="113" t="s">
        <v>1104</v>
      </c>
      <c r="C178" s="113" t="s">
        <v>1270</v>
      </c>
      <c r="D178" s="113" t="s">
        <v>1460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1</v>
      </c>
    </row>
    <row r="179" spans="2:9" x14ac:dyDescent="0.25">
      <c r="B179" s="113" t="s">
        <v>1104</v>
      </c>
      <c r="C179" s="113" t="s">
        <v>1268</v>
      </c>
      <c r="D179" s="113" t="s">
        <v>1315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1</v>
      </c>
    </row>
    <row r="180" spans="2:9" x14ac:dyDescent="0.25">
      <c r="B180" s="113" t="s">
        <v>1104</v>
      </c>
      <c r="C180" s="113" t="s">
        <v>1266</v>
      </c>
      <c r="D180" s="113" t="s">
        <v>1459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1</v>
      </c>
    </row>
    <row r="181" spans="2:9" x14ac:dyDescent="0.25">
      <c r="B181" s="113" t="s">
        <v>1104</v>
      </c>
      <c r="C181" s="113" t="s">
        <v>1262</v>
      </c>
      <c r="D181" s="113" t="s">
        <v>1458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1</v>
      </c>
    </row>
    <row r="182" spans="2:9" x14ac:dyDescent="0.25">
      <c r="B182" s="113" t="s">
        <v>1103</v>
      </c>
      <c r="C182" s="113" t="s">
        <v>170</v>
      </c>
      <c r="D182" s="113" t="s">
        <v>42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1</v>
      </c>
    </row>
    <row r="183" spans="2:9" x14ac:dyDescent="0.25">
      <c r="B183" s="113" t="s">
        <v>1103</v>
      </c>
      <c r="C183" s="113" t="s">
        <v>1306</v>
      </c>
      <c r="D183" s="113" t="s">
        <v>42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1</v>
      </c>
    </row>
    <row r="184" spans="2:9" x14ac:dyDescent="0.25">
      <c r="B184" s="113" t="s">
        <v>1103</v>
      </c>
      <c r="C184" s="113" t="s">
        <v>1304</v>
      </c>
      <c r="D184" s="113" t="s">
        <v>42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1</v>
      </c>
    </row>
    <row r="185" spans="2:9" x14ac:dyDescent="0.25">
      <c r="B185" s="113" t="s">
        <v>1103</v>
      </c>
      <c r="C185" s="113" t="s">
        <v>539</v>
      </c>
      <c r="D185" s="113" t="s">
        <v>42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1</v>
      </c>
    </row>
    <row r="186" spans="2:9" x14ac:dyDescent="0.25">
      <c r="B186" s="113" t="s">
        <v>1103</v>
      </c>
      <c r="C186" s="113" t="s">
        <v>172</v>
      </c>
      <c r="D186" s="113" t="s">
        <v>42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1</v>
      </c>
    </row>
    <row r="187" spans="2:9" x14ac:dyDescent="0.25">
      <c r="B187" s="113" t="s">
        <v>1103</v>
      </c>
      <c r="C187" s="113" t="s">
        <v>1300</v>
      </c>
      <c r="D187" s="113" t="s">
        <v>42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1</v>
      </c>
    </row>
    <row r="188" spans="2:9" x14ac:dyDescent="0.25">
      <c r="B188" s="113" t="s">
        <v>1103</v>
      </c>
      <c r="C188" s="113" t="s">
        <v>1298</v>
      </c>
      <c r="D188" s="113" t="s">
        <v>42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1</v>
      </c>
    </row>
    <row r="189" spans="2:9" x14ac:dyDescent="0.25">
      <c r="B189" s="113" t="s">
        <v>1103</v>
      </c>
      <c r="C189" s="113" t="s">
        <v>1296</v>
      </c>
      <c r="D189" s="113" t="s">
        <v>43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1</v>
      </c>
    </row>
    <row r="190" spans="2:9" x14ac:dyDescent="0.25">
      <c r="B190" s="113" t="s">
        <v>1103</v>
      </c>
      <c r="C190" s="113" t="s">
        <v>1296</v>
      </c>
      <c r="D190" s="113" t="s">
        <v>1342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1</v>
      </c>
    </row>
    <row r="191" spans="2:9" x14ac:dyDescent="0.25">
      <c r="B191" s="113" t="s">
        <v>1103</v>
      </c>
      <c r="C191" s="113" t="s">
        <v>175</v>
      </c>
      <c r="D191" s="113" t="s">
        <v>42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1</v>
      </c>
    </row>
    <row r="192" spans="2:9" x14ac:dyDescent="0.25">
      <c r="B192" s="113" t="s">
        <v>1103</v>
      </c>
      <c r="C192" s="113" t="s">
        <v>1293</v>
      </c>
      <c r="D192" s="113" t="s">
        <v>42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1</v>
      </c>
    </row>
    <row r="193" spans="2:9" x14ac:dyDescent="0.25">
      <c r="B193" s="113" t="s">
        <v>1103</v>
      </c>
      <c r="C193" s="113" t="s">
        <v>1291</v>
      </c>
      <c r="D193" s="113" t="s">
        <v>42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1</v>
      </c>
    </row>
    <row r="194" spans="2:9" x14ac:dyDescent="0.25">
      <c r="B194" s="113" t="s">
        <v>1103</v>
      </c>
      <c r="C194" s="113" t="s">
        <v>540</v>
      </c>
      <c r="D194" s="113" t="s">
        <v>42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1</v>
      </c>
    </row>
    <row r="195" spans="2:9" x14ac:dyDescent="0.25">
      <c r="B195" s="113" t="s">
        <v>1103</v>
      </c>
      <c r="C195" s="113" t="s">
        <v>541</v>
      </c>
      <c r="D195" s="113" t="s">
        <v>42</v>
      </c>
      <c r="E195" s="113" t="s">
        <v>707</v>
      </c>
      <c r="F195" s="113" t="s">
        <v>707</v>
      </c>
      <c r="G195" s="113" t="s">
        <v>707</v>
      </c>
      <c r="H195" s="113" t="s">
        <v>707</v>
      </c>
      <c r="I195" s="113">
        <v>1</v>
      </c>
    </row>
    <row r="196" spans="2:9" x14ac:dyDescent="0.25">
      <c r="B196" s="113" t="s">
        <v>1103</v>
      </c>
      <c r="C196" s="113" t="s">
        <v>179</v>
      </c>
      <c r="D196" s="113" t="s">
        <v>42</v>
      </c>
      <c r="E196" s="113" t="s">
        <v>707</v>
      </c>
      <c r="F196" s="113" t="s">
        <v>707</v>
      </c>
      <c r="G196" s="113" t="s">
        <v>707</v>
      </c>
      <c r="H196" s="113" t="s">
        <v>707</v>
      </c>
      <c r="I196" s="113">
        <v>1</v>
      </c>
    </row>
    <row r="197" spans="2:9" x14ac:dyDescent="0.25">
      <c r="B197" s="113" t="s">
        <v>1103</v>
      </c>
      <c r="C197" s="113" t="s">
        <v>1286</v>
      </c>
      <c r="D197" s="113" t="s">
        <v>42</v>
      </c>
      <c r="E197" s="113" t="s">
        <v>707</v>
      </c>
      <c r="F197" s="113" t="s">
        <v>707</v>
      </c>
      <c r="G197" s="113" t="s">
        <v>707</v>
      </c>
      <c r="H197" s="113" t="s">
        <v>707</v>
      </c>
      <c r="I197" s="113">
        <v>1</v>
      </c>
    </row>
    <row r="198" spans="2:9" x14ac:dyDescent="0.25">
      <c r="B198" s="113" t="s">
        <v>1103</v>
      </c>
      <c r="C198" s="113" t="s">
        <v>1284</v>
      </c>
      <c r="D198" s="113" t="s">
        <v>42</v>
      </c>
      <c r="E198" s="113" t="s">
        <v>707</v>
      </c>
      <c r="F198" s="113" t="s">
        <v>707</v>
      </c>
      <c r="G198" s="113" t="s">
        <v>707</v>
      </c>
      <c r="H198" s="113" t="s">
        <v>707</v>
      </c>
      <c r="I198" s="113">
        <v>1</v>
      </c>
    </row>
    <row r="199" spans="2:9" x14ac:dyDescent="0.25">
      <c r="B199" s="113" t="s">
        <v>1103</v>
      </c>
      <c r="C199" s="113" t="s">
        <v>181</v>
      </c>
      <c r="D199" s="113" t="s">
        <v>42</v>
      </c>
      <c r="E199" s="113" t="s">
        <v>707</v>
      </c>
      <c r="F199" s="113" t="s">
        <v>707</v>
      </c>
      <c r="G199" s="113" t="s">
        <v>707</v>
      </c>
      <c r="H199" s="113" t="s">
        <v>707</v>
      </c>
      <c r="I199" s="113">
        <v>1</v>
      </c>
    </row>
    <row r="200" spans="2:9" x14ac:dyDescent="0.25">
      <c r="B200" s="113" t="s">
        <v>1103</v>
      </c>
      <c r="C200" s="113" t="s">
        <v>1281</v>
      </c>
      <c r="D200" s="113" t="s">
        <v>42</v>
      </c>
      <c r="E200" s="113" t="s">
        <v>707</v>
      </c>
      <c r="F200" s="113" t="s">
        <v>707</v>
      </c>
      <c r="G200" s="113" t="s">
        <v>707</v>
      </c>
      <c r="H200" s="113" t="s">
        <v>707</v>
      </c>
      <c r="I200" s="113">
        <v>1</v>
      </c>
    </row>
    <row r="201" spans="2:9" x14ac:dyDescent="0.25">
      <c r="B201" s="113" t="s">
        <v>1103</v>
      </c>
      <c r="C201" s="113" t="s">
        <v>1279</v>
      </c>
      <c r="D201" s="113" t="s">
        <v>42</v>
      </c>
      <c r="E201" s="113" t="s">
        <v>707</v>
      </c>
      <c r="F201" s="113" t="s">
        <v>707</v>
      </c>
      <c r="G201" s="113" t="s">
        <v>707</v>
      </c>
      <c r="H201" s="113" t="s">
        <v>707</v>
      </c>
      <c r="I201" s="113">
        <v>1</v>
      </c>
    </row>
    <row r="202" spans="2:9" x14ac:dyDescent="0.25">
      <c r="B202" s="113" t="s">
        <v>1103</v>
      </c>
      <c r="C202" s="113" t="s">
        <v>542</v>
      </c>
      <c r="D202" s="113" t="s">
        <v>42</v>
      </c>
      <c r="E202" s="113" t="s">
        <v>707</v>
      </c>
      <c r="F202" s="113" t="s">
        <v>707</v>
      </c>
      <c r="G202" s="113" t="s">
        <v>707</v>
      </c>
      <c r="H202" s="113" t="s">
        <v>707</v>
      </c>
      <c r="I202" s="113">
        <v>1</v>
      </c>
    </row>
    <row r="203" spans="2:9" x14ac:dyDescent="0.25">
      <c r="B203" s="113" t="s">
        <v>1103</v>
      </c>
      <c r="C203" s="113" t="s">
        <v>1276</v>
      </c>
      <c r="D203" s="113" t="s">
        <v>1350</v>
      </c>
      <c r="E203" s="113" t="s">
        <v>707</v>
      </c>
      <c r="F203" s="113" t="s">
        <v>707</v>
      </c>
      <c r="G203" s="113" t="s">
        <v>707</v>
      </c>
      <c r="H203" s="113" t="s">
        <v>707</v>
      </c>
      <c r="I203" s="113">
        <v>1</v>
      </c>
    </row>
    <row r="204" spans="2:9" x14ac:dyDescent="0.25">
      <c r="B204" s="113" t="s">
        <v>1103</v>
      </c>
      <c r="C204" s="113" t="s">
        <v>1274</v>
      </c>
      <c r="D204" s="113" t="s">
        <v>1348</v>
      </c>
      <c r="E204" s="113" t="s">
        <v>707</v>
      </c>
      <c r="F204" s="113" t="s">
        <v>707</v>
      </c>
      <c r="G204" s="113" t="s">
        <v>707</v>
      </c>
      <c r="H204" s="113" t="s">
        <v>707</v>
      </c>
      <c r="I204" s="113">
        <v>1</v>
      </c>
    </row>
    <row r="205" spans="2:9" x14ac:dyDescent="0.25">
      <c r="B205" s="113" t="s">
        <v>1103</v>
      </c>
      <c r="C205" s="113" t="s">
        <v>1272</v>
      </c>
      <c r="D205" s="113" t="s">
        <v>40</v>
      </c>
      <c r="E205" s="113" t="s">
        <v>707</v>
      </c>
      <c r="F205" s="113" t="s">
        <v>707</v>
      </c>
      <c r="G205" s="113" t="s">
        <v>707</v>
      </c>
      <c r="H205" s="113" t="s">
        <v>707</v>
      </c>
      <c r="I205" s="113">
        <v>1</v>
      </c>
    </row>
    <row r="206" spans="2:9" x14ac:dyDescent="0.25">
      <c r="B206" s="113" t="s">
        <v>1103</v>
      </c>
      <c r="C206" s="113" t="s">
        <v>1270</v>
      </c>
      <c r="D206" s="113" t="s">
        <v>592</v>
      </c>
      <c r="E206" s="113" t="s">
        <v>707</v>
      </c>
      <c r="F206" s="113" t="s">
        <v>707</v>
      </c>
      <c r="G206" s="113" t="s">
        <v>707</v>
      </c>
      <c r="H206" s="113" t="s">
        <v>707</v>
      </c>
      <c r="I206" s="113">
        <v>1</v>
      </c>
    </row>
    <row r="207" spans="2:9" x14ac:dyDescent="0.25">
      <c r="B207" s="113" t="s">
        <v>1103</v>
      </c>
      <c r="C207" s="113" t="s">
        <v>1268</v>
      </c>
      <c r="D207" s="113" t="s">
        <v>1337</v>
      </c>
      <c r="E207" s="113" t="s">
        <v>707</v>
      </c>
      <c r="F207" s="113" t="s">
        <v>707</v>
      </c>
      <c r="G207" s="113" t="s">
        <v>707</v>
      </c>
      <c r="H207" s="113" t="s">
        <v>707</v>
      </c>
      <c r="I207" s="113">
        <v>1</v>
      </c>
    </row>
    <row r="208" spans="2:9" x14ac:dyDescent="0.25">
      <c r="B208" s="113" t="s">
        <v>1103</v>
      </c>
      <c r="C208" s="113" t="s">
        <v>1266</v>
      </c>
      <c r="D208" s="113" t="s">
        <v>595</v>
      </c>
      <c r="E208" s="113" t="s">
        <v>707</v>
      </c>
      <c r="F208" s="113" t="s">
        <v>707</v>
      </c>
      <c r="G208" s="113" t="s">
        <v>707</v>
      </c>
      <c r="H208" s="113" t="s">
        <v>707</v>
      </c>
      <c r="I208" s="113">
        <v>1</v>
      </c>
    </row>
    <row r="209" spans="2:9" x14ac:dyDescent="0.25">
      <c r="B209" s="113" t="s">
        <v>1103</v>
      </c>
      <c r="C209" s="113" t="s">
        <v>1264</v>
      </c>
      <c r="D209" s="113" t="s">
        <v>41</v>
      </c>
      <c r="E209" s="113" t="s">
        <v>707</v>
      </c>
      <c r="F209" s="113" t="s">
        <v>707</v>
      </c>
      <c r="G209" s="113" t="s">
        <v>707</v>
      </c>
      <c r="H209" s="113" t="s">
        <v>707</v>
      </c>
      <c r="I209" s="113">
        <v>1</v>
      </c>
    </row>
    <row r="210" spans="2:9" x14ac:dyDescent="0.25">
      <c r="B210" s="113" t="s">
        <v>1103</v>
      </c>
      <c r="C210" s="113" t="s">
        <v>1262</v>
      </c>
      <c r="D210" s="113" t="s">
        <v>1335</v>
      </c>
      <c r="E210" s="113" t="s">
        <v>707</v>
      </c>
      <c r="F210" s="113" t="s">
        <v>707</v>
      </c>
      <c r="G210" s="113" t="s">
        <v>707</v>
      </c>
      <c r="H210" s="113" t="s">
        <v>707</v>
      </c>
      <c r="I210" s="113">
        <v>1</v>
      </c>
    </row>
    <row r="211" spans="2:9" x14ac:dyDescent="0.25">
      <c r="B211" s="113" t="s">
        <v>1457</v>
      </c>
      <c r="C211" s="113" t="s">
        <v>1429</v>
      </c>
      <c r="D211" s="113" t="s">
        <v>707</v>
      </c>
      <c r="E211" s="113" t="s">
        <v>707</v>
      </c>
      <c r="F211" s="113" t="s">
        <v>707</v>
      </c>
      <c r="G211" s="113" t="s">
        <v>707</v>
      </c>
      <c r="H211" s="113" t="s">
        <v>707</v>
      </c>
      <c r="I211" s="113">
        <v>1</v>
      </c>
    </row>
    <row r="212" spans="2:9" x14ac:dyDescent="0.25">
      <c r="B212" s="113" t="s">
        <v>1457</v>
      </c>
      <c r="C212" s="113" t="s">
        <v>1427</v>
      </c>
      <c r="D212" s="113" t="s">
        <v>707</v>
      </c>
      <c r="E212" s="113" t="s">
        <v>707</v>
      </c>
      <c r="F212" s="113" t="s">
        <v>707</v>
      </c>
      <c r="G212" s="113" t="s">
        <v>707</v>
      </c>
      <c r="H212" s="113" t="s">
        <v>707</v>
      </c>
      <c r="I212" s="113">
        <v>1</v>
      </c>
    </row>
    <row r="213" spans="2:9" x14ac:dyDescent="0.25">
      <c r="B213" s="113" t="s">
        <v>1457</v>
      </c>
      <c r="C213" s="113" t="s">
        <v>1425</v>
      </c>
      <c r="D213" s="113" t="s">
        <v>707</v>
      </c>
      <c r="E213" s="113" t="s">
        <v>707</v>
      </c>
      <c r="F213" s="113" t="s">
        <v>707</v>
      </c>
      <c r="G213" s="113" t="s">
        <v>707</v>
      </c>
      <c r="H213" s="113" t="s">
        <v>707</v>
      </c>
      <c r="I213" s="113">
        <v>1</v>
      </c>
    </row>
    <row r="214" spans="2:9" x14ac:dyDescent="0.25">
      <c r="B214" s="113" t="s">
        <v>1457</v>
      </c>
      <c r="C214" s="113" t="s">
        <v>1423</v>
      </c>
      <c r="D214" s="113" t="s">
        <v>707</v>
      </c>
      <c r="E214" s="113" t="s">
        <v>707</v>
      </c>
      <c r="F214" s="113" t="s">
        <v>707</v>
      </c>
      <c r="G214" s="113" t="s">
        <v>707</v>
      </c>
      <c r="H214" s="113" t="s">
        <v>707</v>
      </c>
      <c r="I214" s="113">
        <v>1</v>
      </c>
    </row>
    <row r="215" spans="2:9" x14ac:dyDescent="0.25">
      <c r="B215" s="113" t="s">
        <v>1457</v>
      </c>
      <c r="C215" s="113" t="s">
        <v>1421</v>
      </c>
      <c r="D215" s="113" t="s">
        <v>707</v>
      </c>
      <c r="E215" s="113" t="s">
        <v>707</v>
      </c>
      <c r="F215" s="113" t="s">
        <v>707</v>
      </c>
      <c r="G215" s="113" t="s">
        <v>707</v>
      </c>
      <c r="H215" s="113" t="s">
        <v>707</v>
      </c>
      <c r="I215" s="113">
        <v>1</v>
      </c>
    </row>
    <row r="216" spans="2:9" x14ac:dyDescent="0.25">
      <c r="B216" s="113" t="s">
        <v>1457</v>
      </c>
      <c r="C216" s="113" t="s">
        <v>1419</v>
      </c>
      <c r="D216" s="113" t="s">
        <v>707</v>
      </c>
      <c r="E216" s="113" t="s">
        <v>707</v>
      </c>
      <c r="F216" s="113" t="s">
        <v>707</v>
      </c>
      <c r="G216" s="113" t="s">
        <v>707</v>
      </c>
      <c r="H216" s="113" t="s">
        <v>707</v>
      </c>
      <c r="I216" s="113">
        <v>1</v>
      </c>
    </row>
    <row r="217" spans="2:9" x14ac:dyDescent="0.25">
      <c r="B217" s="113" t="s">
        <v>1457</v>
      </c>
      <c r="C217" s="113" t="s">
        <v>1417</v>
      </c>
      <c r="D217" s="113" t="s">
        <v>707</v>
      </c>
      <c r="E217" s="113" t="s">
        <v>707</v>
      </c>
      <c r="F217" s="113" t="s">
        <v>707</v>
      </c>
      <c r="G217" s="113" t="s">
        <v>707</v>
      </c>
      <c r="H217" s="113" t="s">
        <v>707</v>
      </c>
      <c r="I217" s="113">
        <v>1</v>
      </c>
    </row>
    <row r="218" spans="2:9" x14ac:dyDescent="0.25">
      <c r="B218" s="113" t="s">
        <v>1457</v>
      </c>
      <c r="C218" s="113" t="s">
        <v>1415</v>
      </c>
      <c r="D218" s="113" t="s">
        <v>707</v>
      </c>
      <c r="E218" s="113" t="s">
        <v>707</v>
      </c>
      <c r="F218" s="113" t="s">
        <v>707</v>
      </c>
      <c r="G218" s="113" t="s">
        <v>707</v>
      </c>
      <c r="H218" s="113" t="s">
        <v>707</v>
      </c>
      <c r="I218" s="113">
        <v>1</v>
      </c>
    </row>
    <row r="219" spans="2:9" x14ac:dyDescent="0.25">
      <c r="B219" s="113" t="s">
        <v>1457</v>
      </c>
      <c r="C219" s="113" t="s">
        <v>1413</v>
      </c>
      <c r="D219" s="113" t="s">
        <v>707</v>
      </c>
      <c r="E219" s="113" t="s">
        <v>707</v>
      </c>
      <c r="F219" s="113" t="s">
        <v>707</v>
      </c>
      <c r="G219" s="113" t="s">
        <v>707</v>
      </c>
      <c r="H219" s="113" t="s">
        <v>707</v>
      </c>
      <c r="I219" s="113">
        <v>1</v>
      </c>
    </row>
    <row r="220" spans="2:9" x14ac:dyDescent="0.25">
      <c r="B220" s="113" t="s">
        <v>1457</v>
      </c>
      <c r="C220" s="113" t="s">
        <v>1411</v>
      </c>
      <c r="D220" s="113" t="s">
        <v>707</v>
      </c>
      <c r="E220" s="113" t="s">
        <v>707</v>
      </c>
      <c r="F220" s="113" t="s">
        <v>707</v>
      </c>
      <c r="G220" s="113" t="s">
        <v>707</v>
      </c>
      <c r="H220" s="113" t="s">
        <v>707</v>
      </c>
      <c r="I220" s="113">
        <v>1</v>
      </c>
    </row>
    <row r="221" spans="2:9" x14ac:dyDescent="0.25">
      <c r="B221" s="113" t="s">
        <v>1457</v>
      </c>
      <c r="C221" s="113" t="s">
        <v>1409</v>
      </c>
      <c r="D221" s="113" t="s">
        <v>707</v>
      </c>
      <c r="E221" s="113" t="s">
        <v>707</v>
      </c>
      <c r="F221" s="113" t="s">
        <v>707</v>
      </c>
      <c r="G221" s="113" t="s">
        <v>707</v>
      </c>
      <c r="H221" s="113" t="s">
        <v>707</v>
      </c>
      <c r="I221" s="113">
        <v>1</v>
      </c>
    </row>
    <row r="222" spans="2:9" x14ac:dyDescent="0.25">
      <c r="B222" s="113" t="s">
        <v>1457</v>
      </c>
      <c r="C222" s="113" t="s">
        <v>1407</v>
      </c>
      <c r="D222" s="113" t="s">
        <v>707</v>
      </c>
      <c r="E222" s="113" t="s">
        <v>707</v>
      </c>
      <c r="F222" s="113" t="s">
        <v>707</v>
      </c>
      <c r="G222" s="113" t="s">
        <v>707</v>
      </c>
      <c r="H222" s="113" t="s">
        <v>707</v>
      </c>
      <c r="I222" s="113">
        <v>1</v>
      </c>
    </row>
    <row r="223" spans="2:9" x14ac:dyDescent="0.25">
      <c r="B223" s="113" t="s">
        <v>1457</v>
      </c>
      <c r="C223" s="113" t="s">
        <v>1405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707</v>
      </c>
      <c r="I223" s="113">
        <v>1</v>
      </c>
    </row>
    <row r="224" spans="2:9" x14ac:dyDescent="0.25">
      <c r="B224" s="113" t="s">
        <v>1457</v>
      </c>
      <c r="C224" s="113" t="s">
        <v>1403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">
        <v>707</v>
      </c>
      <c r="I224" s="113">
        <v>1</v>
      </c>
    </row>
    <row r="225" spans="2:9" x14ac:dyDescent="0.25">
      <c r="B225" s="113" t="s">
        <v>1457</v>
      </c>
      <c r="C225" s="113" t="s">
        <v>1401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">
        <v>707</v>
      </c>
      <c r="I225" s="113">
        <v>1</v>
      </c>
    </row>
    <row r="226" spans="2:9" x14ac:dyDescent="0.25">
      <c r="B226" s="113" t="s">
        <v>1457</v>
      </c>
      <c r="C226" s="113" t="s">
        <v>1399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707</v>
      </c>
      <c r="I226" s="113">
        <v>1</v>
      </c>
    </row>
    <row r="227" spans="2:9" x14ac:dyDescent="0.25">
      <c r="B227" s="113" t="s">
        <v>1457</v>
      </c>
      <c r="C227" s="113" t="s">
        <v>1396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">
        <v>707</v>
      </c>
      <c r="I227" s="113">
        <v>1</v>
      </c>
    </row>
    <row r="228" spans="2:9" x14ac:dyDescent="0.25">
      <c r="B228" s="113" t="s">
        <v>1109</v>
      </c>
      <c r="C228" s="113" t="s">
        <v>542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">
        <v>707</v>
      </c>
      <c r="I228" s="113">
        <v>2017</v>
      </c>
    </row>
    <row r="229" spans="2:9" x14ac:dyDescent="0.25">
      <c r="B229" s="113" t="s">
        <v>1109</v>
      </c>
      <c r="C229" s="113" t="s">
        <v>539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707</v>
      </c>
      <c r="I229" s="113">
        <v>2017</v>
      </c>
    </row>
    <row r="230" spans="2:9" x14ac:dyDescent="0.25">
      <c r="B230" s="113" t="s">
        <v>1109</v>
      </c>
      <c r="C230" s="113" t="s">
        <v>540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">
        <v>707</v>
      </c>
      <c r="I230" s="113">
        <v>2017</v>
      </c>
    </row>
    <row r="231" spans="2:9" x14ac:dyDescent="0.25">
      <c r="B231" s="113" t="s">
        <v>1109</v>
      </c>
      <c r="C231" s="113" t="s">
        <v>541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">
        <v>707</v>
      </c>
      <c r="I231" s="113">
        <v>2017</v>
      </c>
    </row>
  </sheetData>
  <autoFilter ref="A1:I231" xr:uid="{00000000-0009-0000-0000-000029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7" zoomScale="85" zoomScaleNormal="85" workbookViewId="0">
      <selection activeCell="U29" sqref="U29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1513</v>
      </c>
    </row>
    <row r="3" spans="1:40" x14ac:dyDescent="0.2">
      <c r="A3" s="555" t="s">
        <v>1512</v>
      </c>
      <c r="J3" s="650" t="s">
        <v>1511</v>
      </c>
      <c r="K3" s="637"/>
      <c r="L3" s="637"/>
      <c r="M3" s="637"/>
    </row>
    <row r="4" spans="1:40" x14ac:dyDescent="0.2">
      <c r="A4" s="555" t="s">
        <v>1510</v>
      </c>
      <c r="J4" s="651" t="s">
        <v>1509</v>
      </c>
    </row>
    <row r="5" spans="1:40" x14ac:dyDescent="0.2">
      <c r="A5" s="555" t="s">
        <v>1508</v>
      </c>
    </row>
    <row r="6" spans="1:40" x14ac:dyDescent="0.2">
      <c r="A6" s="572" t="s">
        <v>1507</v>
      </c>
    </row>
    <row r="7" spans="1:40" x14ac:dyDescent="0.2">
      <c r="A7" s="572"/>
    </row>
    <row r="9" spans="1:40" x14ac:dyDescent="0.2">
      <c r="X9" s="572" t="s">
        <v>1506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906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7" t="s">
        <v>906</v>
      </c>
      <c r="E11" s="637" t="s">
        <v>908</v>
      </c>
      <c r="F11" s="637"/>
      <c r="G11" s="637"/>
      <c r="H11" s="637"/>
      <c r="J11" s="650" t="s">
        <v>1451</v>
      </c>
      <c r="K11" s="649" t="s">
        <v>1505</v>
      </c>
      <c r="R11" s="555">
        <v>2012</v>
      </c>
      <c r="S11" s="572"/>
      <c r="X11" s="560" t="s">
        <v>170</v>
      </c>
      <c r="Z11" s="625">
        <f>'[18]SATIM input'!C57</f>
        <v>16.42657042314022</v>
      </c>
      <c r="AD11" s="572" t="s">
        <v>932</v>
      </c>
      <c r="AF11" s="572" t="s">
        <v>1504</v>
      </c>
    </row>
    <row r="12" spans="1:40" x14ac:dyDescent="0.2">
      <c r="B12" s="560"/>
      <c r="C12" s="637"/>
      <c r="E12" s="637" t="s">
        <v>13</v>
      </c>
      <c r="F12" s="637" t="s">
        <v>201</v>
      </c>
      <c r="G12" s="637" t="s">
        <v>14</v>
      </c>
      <c r="H12" s="637" t="s">
        <v>11</v>
      </c>
      <c r="J12" s="637"/>
      <c r="K12" s="559"/>
      <c r="O12" s="567" t="s">
        <v>1503</v>
      </c>
      <c r="P12" s="567" t="s">
        <v>1502</v>
      </c>
      <c r="R12" s="555" t="s">
        <v>1501</v>
      </c>
      <c r="S12" s="555" t="s">
        <v>1500</v>
      </c>
      <c r="T12" s="555" t="s">
        <v>1499</v>
      </c>
      <c r="U12" s="555" t="s">
        <v>1498</v>
      </c>
      <c r="V12" s="572" t="s">
        <v>1497</v>
      </c>
      <c r="X12" s="560" t="s">
        <v>539</v>
      </c>
      <c r="Z12" s="625">
        <f>'[18]SATIM input'!C58</f>
        <v>16.42657042314022</v>
      </c>
      <c r="AC12" s="572" t="s">
        <v>1496</v>
      </c>
      <c r="AD12" s="572" t="s">
        <v>1495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'[19]New I&amp;S model detail'!B81</f>
        <v>BF-BOF</v>
      </c>
      <c r="C13" s="647">
        <f>'[19]New I&amp;S model detail'!S81</f>
        <v>21.400691692311092</v>
      </c>
      <c r="D13" s="567"/>
      <c r="E13" s="646">
        <f>INDEX('[19]New I&amp;S model detail'!$O$90:$R$94,MATCH($B13,'[19]New I&amp;S model detail'!$S$90:$S$94,0),MATCH(E$12,'[19]New I&amp;S model detail'!$O$80:$R$80,0))</f>
        <v>0.20494664672805019</v>
      </c>
      <c r="F13" s="646">
        <f>INDEX('[19]New I&amp;S model detail'!$O$90:$R$94,MATCH($B13,'[19]New I&amp;S model detail'!$S$90:$S$94,0),MATCH(F$12,'[19]New I&amp;S model detail'!$O$80:$R$80,0))</f>
        <v>0.23508585948217525</v>
      </c>
      <c r="G13" s="646">
        <f>INDEX('[19]New I&amp;S model detail'!$O$90:$R$94,MATCH($B13,'[19]New I&amp;S model detail'!$S$90:$S$94,0),MATCH(G$12,'[19]New I&amp;S model detail'!$O$80:$R$80,0))</f>
        <v>0.13801851523202419</v>
      </c>
      <c r="H13" s="646">
        <f>INDEX('[19]New I&amp;S model detail'!$O$90:$R$94,MATCH($B13,'[19]New I&amp;S model detail'!$S$90:$S$94,0),MATCH(H$12,'[19]New I&amp;S model detail'!$O$80:$R$80,0))</f>
        <v>0.42194897855775038</v>
      </c>
      <c r="I13" s="625"/>
      <c r="J13" s="645">
        <f>INDEX('[19]New I&amp;S model detail'!$C$81:$C$85,MATCH(B13,'[19]New I&amp;S model detail'!$B$81:$B$85,0))</f>
        <v>4.9000000000000004</v>
      </c>
      <c r="K13" s="644">
        <f>INDEX('[19]New I&amp;S model detail'!$D$81:$D$85,MATCH(B13,'[19]New I&amp;S model detail'!$B$81:$B$85,0))</f>
        <v>3.3</v>
      </c>
      <c r="L13" s="113" t="s">
        <v>170</v>
      </c>
      <c r="O13" s="113" t="s">
        <v>170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7">
        <f>IF(T13&gt;0.85,T13,0.85)</f>
        <v>0.85</v>
      </c>
      <c r="V13" s="555">
        <f>IF(T13&lt;$V$10,T13,$V$10)</f>
        <v>0</v>
      </c>
      <c r="X13" s="560" t="s">
        <v>172</v>
      </c>
      <c r="Z13" s="625">
        <f>'[18]SATIM input'!C59</f>
        <v>22.151676172353415</v>
      </c>
      <c r="AB13" s="560" t="s">
        <v>170</v>
      </c>
      <c r="AC13" s="565">
        <f>'[18]SATIM input'!C22</f>
        <v>0.6889960595189083</v>
      </c>
      <c r="AD13" s="643">
        <f>MAX(AC13,90%)</f>
        <v>0.9</v>
      </c>
      <c r="AF13" s="642">
        <f>'[18]SATIM input'!D22</f>
        <v>3.3</v>
      </c>
      <c r="AG13" s="642">
        <f>'[18]SATIM input'!E22</f>
        <v>3.3760806916426511</v>
      </c>
      <c r="AH13" s="642">
        <f>'[18]SATIM input'!F22</f>
        <v>3.0907780979827089</v>
      </c>
      <c r="AI13" s="642">
        <f>'[18]SATIM input'!G22</f>
        <v>3.1641891891891891</v>
      </c>
      <c r="AJ13" s="642">
        <f>'[18]SATIM input'!H22</f>
        <v>3.1641891891891891</v>
      </c>
      <c r="AK13" s="642">
        <f>'[18]SATIM input'!I22</f>
        <v>3.0330810810810807</v>
      </c>
      <c r="AL13" s="642">
        <f>'[18]SATIM input'!J22</f>
        <v>3.2032972972972971</v>
      </c>
      <c r="AM13" s="642">
        <f>'[18]SATIM input'!K22</f>
        <v>3.0300947810555652</v>
      </c>
      <c r="AN13" s="642">
        <f>'[18]SATIM input'!L22</f>
        <v>3.0300947810555652</v>
      </c>
    </row>
    <row r="14" spans="1:40" ht="15" x14ac:dyDescent="0.25">
      <c r="B14" s="560" t="str">
        <f>'[19]New I&amp;S model detail'!B82</f>
        <v>Scrap-EAF</v>
      </c>
      <c r="C14" s="647">
        <f>'[19]New I&amp;S model detail'!S82</f>
        <v>10</v>
      </c>
      <c r="D14" s="567"/>
      <c r="E14" s="646">
        <f>INDEX('[19]New I&amp;S model detail'!$O$90:$R$94,MATCH($B14,'[19]New I&amp;S model detail'!$S$90:$S$94,0),MATCH(E$12,'[19]New I&amp;S model detail'!$O$80:$R$80,0))</f>
        <v>0.25</v>
      </c>
      <c r="F14" s="646">
        <f>INDEX('[19]New I&amp;S model detail'!$O$90:$R$94,MATCH($B14,'[19]New I&amp;S model detail'!$S$90:$S$94,0),MATCH(F$12,'[19]New I&amp;S model detail'!$O$80:$R$80,0))</f>
        <v>0</v>
      </c>
      <c r="G14" s="646">
        <f>INDEX('[19]New I&amp;S model detail'!$O$90:$R$94,MATCH($B14,'[19]New I&amp;S model detail'!$S$90:$S$94,0),MATCH(G$12,'[19]New I&amp;S model detail'!$O$80:$R$80,0))</f>
        <v>0.75</v>
      </c>
      <c r="H14" s="646">
        <f>INDEX('[19]New I&amp;S model detail'!$O$90:$R$94,MATCH($B14,'[19]New I&amp;S model detail'!$S$90:$S$94,0),MATCH(H$12,'[19]New I&amp;S model detail'!$O$80:$R$80,0))</f>
        <v>0</v>
      </c>
      <c r="I14" s="625"/>
      <c r="J14" s="645">
        <f>INDEX('[19]New I&amp;S model detail'!$C$81:$C$85,MATCH(B14,'[19]New I&amp;S model detail'!$B$81:$B$85,0))</f>
        <v>1.7200000000000002</v>
      </c>
      <c r="K14" s="644">
        <f>INDEX('[19]New I&amp;S model detail'!$D$81:$D$85,MATCH(B14,'[19]New I&amp;S model detail'!$B$81:$B$85,0))</f>
        <v>0.86</v>
      </c>
      <c r="L14" s="113" t="s">
        <v>181</v>
      </c>
      <c r="O14" s="113" t="s">
        <v>172</v>
      </c>
      <c r="P14" s="572" t="s">
        <v>173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7">
        <f>IF(T14&gt;0.85,T14,0.85)</f>
        <v>0.85</v>
      </c>
      <c r="V14" s="555">
        <f>IF(T14&lt;$V$10,T14,$V$10)</f>
        <v>0</v>
      </c>
      <c r="X14" s="560" t="s">
        <v>175</v>
      </c>
      <c r="Z14" s="625">
        <f>'[18]SATIM input'!C60</f>
        <v>27.743824076135091</v>
      </c>
      <c r="AB14" s="560" t="s">
        <v>172</v>
      </c>
      <c r="AC14" s="565">
        <f>'[18]SATIM input'!C23</f>
        <v>0.99830343032443969</v>
      </c>
      <c r="AD14" s="643">
        <f>MAX(AC14,90%)</f>
        <v>0.99830343032443969</v>
      </c>
      <c r="AF14" s="642">
        <f>'[18]SATIM input'!D23</f>
        <v>1.21</v>
      </c>
      <c r="AG14" s="642">
        <f>'[18]SATIM input'!E23</f>
        <v>1.2378962536023055</v>
      </c>
      <c r="AH14" s="642">
        <f>'[18]SATIM input'!F23</f>
        <v>1.13328530259366</v>
      </c>
      <c r="AI14" s="642">
        <f>'[18]SATIM input'!G23</f>
        <v>0.96299999999999997</v>
      </c>
      <c r="AJ14" s="642">
        <f>'[18]SATIM input'!H23</f>
        <v>0.83199999999999996</v>
      </c>
      <c r="AK14" s="642">
        <f>'[18]SATIM input'!I23</f>
        <v>1.1180000000000001</v>
      </c>
      <c r="AL14" s="642">
        <f>'[18]SATIM input'!J23</f>
        <v>1.0860000000000001</v>
      </c>
      <c r="AM14" s="642">
        <f>'[18]SATIM input'!K23</f>
        <v>1.0860000000000001</v>
      </c>
      <c r="AN14" s="642">
        <f>'[18]SATIM input'!L23</f>
        <v>0</v>
      </c>
    </row>
    <row r="15" spans="1:40" ht="15" x14ac:dyDescent="0.25">
      <c r="B15" s="560" t="str">
        <f>'[19]New I&amp;S model detail'!B83</f>
        <v>DRI-EAF</v>
      </c>
      <c r="C15" s="647">
        <f>'[19]New I&amp;S model detail'!S83</f>
        <v>31.247950199170173</v>
      </c>
      <c r="D15" s="567"/>
      <c r="E15" s="646">
        <f>INDEX('[19]New I&amp;S model detail'!$O$90:$R$94,MATCH($B15,'[19]New I&amp;S model detail'!$S$90:$S$94,0),MATCH(E$12,'[19]New I&amp;S model detail'!$O$80:$R$80,0))</f>
        <v>0.66708375644280071</v>
      </c>
      <c r="F15" s="646">
        <f>INDEX('[19]New I&amp;S model detail'!$O$90:$R$94,MATCH($B15,'[19]New I&amp;S model detail'!$S$90:$S$94,0),MATCH(F$12,'[19]New I&amp;S model detail'!$O$80:$R$80,0))</f>
        <v>1.2128795571687277E-2</v>
      </c>
      <c r="G15" s="646">
        <f>INDEX('[19]New I&amp;S model detail'!$O$90:$R$94,MATCH($B15,'[19]New I&amp;S model detail'!$S$90:$S$94,0),MATCH(G$12,'[19]New I&amp;S model detail'!$O$80:$R$80,0))</f>
        <v>0.32078744798551195</v>
      </c>
      <c r="H15" s="646">
        <f>INDEX('[19]New I&amp;S model detail'!$O$90:$R$94,MATCH($B15,'[19]New I&amp;S model detail'!$S$90:$S$94,0),MATCH(H$12,'[19]New I&amp;S model detail'!$O$80:$R$80,0))</f>
        <v>0</v>
      </c>
      <c r="I15" s="625"/>
      <c r="J15" s="645">
        <f>INDEX('[19]New I&amp;S model detail'!$C$81:$C$85,MATCH(B15,'[19]New I&amp;S model detail'!$B$81:$B$85,0))</f>
        <v>1.44</v>
      </c>
      <c r="K15" s="644">
        <f>INDEX('[19]New I&amp;S model detail'!$D$81:$D$85,MATCH(B15,'[19]New I&amp;S model detail'!$B$81:$B$85,0))</f>
        <v>0.95</v>
      </c>
      <c r="L15" s="113" t="s">
        <v>175</v>
      </c>
      <c r="O15" s="113" t="s">
        <v>175</v>
      </c>
      <c r="P15" s="572" t="s">
        <v>176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7">
        <f>IF(T15&gt;0.85,T15,0.85)</f>
        <v>0.85</v>
      </c>
      <c r="V15" s="555">
        <f>IF(T15&lt;$V$10,T15,$V$10)</f>
        <v>0</v>
      </c>
      <c r="X15" s="560" t="s">
        <v>540</v>
      </c>
      <c r="Z15" s="625">
        <f>'[18]SATIM input'!C61</f>
        <v>27.743824076135091</v>
      </c>
      <c r="AB15" s="560" t="s">
        <v>175</v>
      </c>
      <c r="AC15" s="565">
        <f>'[18]SATIM input'!C24</f>
        <v>0.67493195645212933</v>
      </c>
      <c r="AD15" s="643">
        <f>MAX(AC15,90%)</f>
        <v>0.9</v>
      </c>
      <c r="AF15" s="642">
        <f>'[18]SATIM input'!D24</f>
        <v>0.95</v>
      </c>
      <c r="AG15" s="642">
        <f>'[18]SATIM input'!E24</f>
        <v>0.97190201729106618</v>
      </c>
      <c r="AH15" s="642">
        <f>'[18]SATIM input'!F24</f>
        <v>0.88976945244956762</v>
      </c>
      <c r="AI15" s="642">
        <f>'[18]SATIM input'!G24</f>
        <v>0.77481081081081082</v>
      </c>
      <c r="AJ15" s="642">
        <f>'[18]SATIM input'!H24</f>
        <v>0.77481081081081082</v>
      </c>
      <c r="AK15" s="642">
        <f>'[18]SATIM input'!I24</f>
        <v>0.75891891891891894</v>
      </c>
      <c r="AL15" s="642">
        <f>'[18]SATIM input'!J24</f>
        <v>0.80270270270270283</v>
      </c>
      <c r="AM15" s="642">
        <f>'[18]SATIM input'!K24</f>
        <v>0.80270270270270283</v>
      </c>
      <c r="AN15" s="642">
        <f>'[18]SATIM input'!L24</f>
        <v>0.76492845786963448</v>
      </c>
    </row>
    <row r="16" spans="1:40" ht="15" x14ac:dyDescent="0.25">
      <c r="B16" s="560" t="str">
        <f>'[19]New I&amp;S model detail'!B84</f>
        <v>Corex-Conarc</v>
      </c>
      <c r="C16" s="647">
        <f>'[19]New I&amp;S model detail'!S84</f>
        <v>21.51458852713521</v>
      </c>
      <c r="D16" s="567"/>
      <c r="E16" s="646">
        <f>INDEX('[19]New I&amp;S model detail'!$O$90:$R$94,MATCH($B16,'[19]New I&amp;S model detail'!$S$90:$S$94,0),MATCH(E$12,'[19]New I&amp;S model detail'!$O$80:$R$80,0))</f>
        <v>0.53173222372211926</v>
      </c>
      <c r="F16" s="646">
        <f>INDEX('[19]New I&amp;S model detail'!$O$90:$R$94,MATCH($B16,'[19]New I&amp;S model detail'!$S$90:$S$94,0),MATCH(F$12,'[19]New I&amp;S model detail'!$O$80:$R$80,0))</f>
        <v>0</v>
      </c>
      <c r="G16" s="646">
        <f>INDEX('[19]New I&amp;S model detail'!$O$90:$R$94,MATCH($B16,'[19]New I&amp;S model detail'!$S$90:$S$94,0),MATCH(G$12,'[19]New I&amp;S model detail'!$O$80:$R$80,0))</f>
        <v>0.26282578074888002</v>
      </c>
      <c r="H16" s="646">
        <f>INDEX('[19]New I&amp;S model detail'!$O$90:$R$94,MATCH($B16,'[19]New I&amp;S model detail'!$S$90:$S$94,0),MATCH(H$12,'[19]New I&amp;S model detail'!$O$80:$R$80,0))</f>
        <v>0.20544199552900064</v>
      </c>
      <c r="I16" s="625"/>
      <c r="J16" s="645">
        <f>INDEX('[19]New I&amp;S model detail'!$C$81:$C$85,MATCH(B16,'[19]New I&amp;S model detail'!$B$81:$B$85,0))</f>
        <v>1.2400000000000002</v>
      </c>
      <c r="K16" s="644">
        <f>INDEX('[19]New I&amp;S model detail'!$D$81:$D$85,MATCH(B16,'[19]New I&amp;S model detail'!$B$81:$B$85,0))</f>
        <v>1.21</v>
      </c>
      <c r="L16" s="113" t="s">
        <v>172</v>
      </c>
      <c r="O16" s="113" t="s">
        <v>179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8">
        <f>IF(T16&gt;0.85,T16,0.85)</f>
        <v>0.97580645161290303</v>
      </c>
      <c r="V16" s="555">
        <f>IF(T16&lt;$V$10,T16,$V$10)</f>
        <v>0</v>
      </c>
      <c r="X16" s="560" t="s">
        <v>541</v>
      </c>
      <c r="Z16" s="625">
        <f>'[18]SATIM input'!C62</f>
        <v>0</v>
      </c>
      <c r="AB16" s="560" t="s">
        <v>179</v>
      </c>
      <c r="AC16" s="565">
        <f>'[18]SATIM input'!C25</f>
        <v>0.63429394812680118</v>
      </c>
      <c r="AD16" s="643">
        <f>MAX(AC16,90%)</f>
        <v>0.9</v>
      </c>
      <c r="AF16" s="642">
        <f>'[18]SATIM input'!D25</f>
        <v>0.62</v>
      </c>
      <c r="AG16" s="642">
        <f>'[18]SATIM input'!E25</f>
        <v>0.63429394812680118</v>
      </c>
      <c r="AH16" s="642">
        <f>'[18]SATIM input'!F25</f>
        <v>0.5806916426512968</v>
      </c>
      <c r="AI16" s="642">
        <f>'[18]SATIM input'!G25</f>
        <v>0.1360000000000007</v>
      </c>
      <c r="AJ16" s="642">
        <f>'[18]SATIM input'!H25</f>
        <v>0</v>
      </c>
      <c r="AK16" s="642">
        <f>'[18]SATIM input'!I25</f>
        <v>0</v>
      </c>
      <c r="AL16" s="642">
        <f>'[18]SATIM input'!J25</f>
        <v>0</v>
      </c>
      <c r="AM16" s="642">
        <f>'[18]SATIM input'!K25</f>
        <v>0</v>
      </c>
      <c r="AN16" s="642">
        <f>'[18]SATIM input'!L25</f>
        <v>0</v>
      </c>
    </row>
    <row r="17" spans="1:67" ht="15" x14ac:dyDescent="0.25">
      <c r="B17" s="560" t="str">
        <f>'[19]New I&amp;S model detail'!B85</f>
        <v>Other-EAF</v>
      </c>
      <c r="C17" s="647">
        <f>'[19]New I&amp;S model detail'!S85</f>
        <v>37.074375174722789</v>
      </c>
      <c r="D17" s="567"/>
      <c r="E17" s="646">
        <f>INDEX('[19]New I&amp;S model detail'!$O$90:$R$94,MATCH($B17,'[19]New I&amp;S model detail'!$S$90:$S$94,0),MATCH(E$12,'[19]New I&amp;S model detail'!$O$80:$R$80,0))</f>
        <v>0.55590957104118222</v>
      </c>
      <c r="F17" s="646">
        <f>INDEX('[19]New I&amp;S model detail'!$O$90:$R$94,MATCH($B17,'[19]New I&amp;S model detail'!$S$90:$S$94,0),MATCH(F$12,'[19]New I&amp;S model detail'!$O$80:$R$80,0))</f>
        <v>3.0883865057843445E-2</v>
      </c>
      <c r="G17" s="646">
        <f>INDEX('[19]New I&amp;S model detail'!$O$90:$R$94,MATCH($B17,'[19]New I&amp;S model detail'!$S$90:$S$94,0),MATCH(G$12,'[19]New I&amp;S model detail'!$O$80:$R$80,0))</f>
        <v>0.41320656390097438</v>
      </c>
      <c r="H17" s="646">
        <f>INDEX('[19]New I&amp;S model detail'!$O$90:$R$94,MATCH($B17,'[19]New I&amp;S model detail'!$S$90:$S$94,0),MATCH(H$12,'[19]New I&amp;S model detail'!$O$80:$R$80,0))</f>
        <v>0</v>
      </c>
      <c r="I17" s="625"/>
      <c r="J17" s="645">
        <f>INDEX('[19]New I&amp;S model detail'!$C$81:$C$85,MATCH(B17,'[19]New I&amp;S model detail'!$B$81:$B$85,0))</f>
        <v>1</v>
      </c>
      <c r="K17" s="644">
        <f>INDEX('[19]New I&amp;S model detail'!$D$81:$D$85,MATCH(B17,'[19]New I&amp;S model detail'!$B$81:$B$85,0))</f>
        <v>0.62</v>
      </c>
      <c r="L17" s="113" t="s">
        <v>179</v>
      </c>
      <c r="O17" s="113" t="s">
        <v>181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7">
        <f>IF(T17&gt;0.85,T17,0.85)</f>
        <v>0.85</v>
      </c>
      <c r="V17" s="555">
        <f>IF(T17&lt;$V$10,T17,$V$10)</f>
        <v>0</v>
      </c>
      <c r="X17" s="560" t="s">
        <v>179</v>
      </c>
      <c r="Z17" s="625">
        <f>'[18]SATIM input'!C63</f>
        <v>44.655000000000001</v>
      </c>
      <c r="AB17" s="560" t="s">
        <v>181</v>
      </c>
      <c r="AC17" s="565">
        <f>'[18]SATIM input'!C26</f>
        <v>1</v>
      </c>
      <c r="AD17" s="643">
        <f>MAX(AC17,90%)</f>
        <v>1</v>
      </c>
      <c r="AF17" s="642">
        <f>'[18]SATIM input'!D26</f>
        <v>0.86</v>
      </c>
      <c r="AG17" s="642">
        <f>'[18]SATIM input'!E26</f>
        <v>0.87982708933717579</v>
      </c>
      <c r="AH17" s="642">
        <f>'[18]SATIM input'!F26</f>
        <v>0.8054755043227666</v>
      </c>
      <c r="AI17" s="642">
        <f>'[18]SATIM input'!G26</f>
        <v>1.3620000000000003</v>
      </c>
      <c r="AJ17" s="642">
        <f>'[18]SATIM input'!H26</f>
        <v>1.3200000000000003</v>
      </c>
      <c r="AK17" s="642">
        <f>'[18]SATIM input'!I26</f>
        <v>1.3200000000000003</v>
      </c>
      <c r="AL17" s="642">
        <f>'[18]SATIM input'!J26</f>
        <v>1.2079999999999993</v>
      </c>
      <c r="AM17" s="642">
        <f>'[18]SATIM input'!K26</f>
        <v>1.2079999999999993</v>
      </c>
      <c r="AN17" s="642">
        <f>'[18]SATIM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1">
        <f>SUM(K13:K17)</f>
        <v>6.94</v>
      </c>
      <c r="S18" s="631">
        <f>SUM(S13:S17)</f>
        <v>6.94</v>
      </c>
      <c r="X18" s="560" t="s">
        <v>181</v>
      </c>
      <c r="Z18" s="625">
        <f>'[18]SATIM input'!C64</f>
        <v>5.4887322803632257</v>
      </c>
      <c r="AF18" s="640">
        <f t="shared" ref="AF18:AN18" si="0">SUM(AF13:AF17)</f>
        <v>6.94</v>
      </c>
      <c r="AG18" s="640">
        <f t="shared" si="0"/>
        <v>7.1000000000000005</v>
      </c>
      <c r="AH18" s="640">
        <f t="shared" si="0"/>
        <v>6.5</v>
      </c>
      <c r="AI18" s="640">
        <f t="shared" si="0"/>
        <v>6.4000000000000012</v>
      </c>
      <c r="AJ18" s="640">
        <f t="shared" si="0"/>
        <v>6.0910000000000002</v>
      </c>
      <c r="AK18" s="640">
        <f t="shared" si="0"/>
        <v>6.23</v>
      </c>
      <c r="AL18" s="640">
        <f t="shared" si="0"/>
        <v>6.3</v>
      </c>
      <c r="AM18" s="640">
        <f t="shared" si="0"/>
        <v>6.1267974837582679</v>
      </c>
      <c r="AN18" s="640">
        <f t="shared" si="0"/>
        <v>5.0030232389251985</v>
      </c>
    </row>
    <row r="19" spans="1:67" ht="15" x14ac:dyDescent="0.25">
      <c r="N19" s="639">
        <f>K14/K18</f>
        <v>0.1239193083573487</v>
      </c>
      <c r="O19" s="113" t="s">
        <v>528</v>
      </c>
      <c r="X19" s="560" t="s">
        <v>542</v>
      </c>
      <c r="Z19" s="625">
        <f>'[18]SATIM input'!C65</f>
        <v>5.4887322803632257</v>
      </c>
    </row>
    <row r="20" spans="1:67" x14ac:dyDescent="0.2">
      <c r="R20" s="572" t="s">
        <v>1494</v>
      </c>
      <c r="S20" s="555">
        <v>6.4</v>
      </c>
      <c r="T20" s="572" t="s">
        <v>1493</v>
      </c>
      <c r="X20" s="560"/>
      <c r="AB20" s="559"/>
    </row>
    <row r="21" spans="1:67" ht="15" x14ac:dyDescent="0.25">
      <c r="E21" s="113" t="s">
        <v>40</v>
      </c>
      <c r="F21" s="113" t="s">
        <v>592</v>
      </c>
      <c r="G21" s="113" t="s">
        <v>39</v>
      </c>
      <c r="H21" s="113" t="s">
        <v>43</v>
      </c>
      <c r="X21" s="563" t="s">
        <v>908</v>
      </c>
      <c r="AB21" s="559"/>
      <c r="AF21" s="572" t="s">
        <v>1492</v>
      </c>
    </row>
    <row r="22" spans="1:67" x14ac:dyDescent="0.2">
      <c r="R22" s="572"/>
      <c r="S22" s="625"/>
      <c r="X22" s="563"/>
      <c r="Z22" s="572" t="s">
        <v>593</v>
      </c>
      <c r="AA22" s="572" t="s">
        <v>594</v>
      </c>
      <c r="AB22" s="559"/>
    </row>
    <row r="23" spans="1:67" ht="15" x14ac:dyDescent="0.25">
      <c r="L23" s="567" t="s">
        <v>1491</v>
      </c>
      <c r="O23" s="638" t="s">
        <v>1490</v>
      </c>
      <c r="R23" s="567" t="s">
        <v>1489</v>
      </c>
      <c r="S23" s="625"/>
      <c r="X23" s="560" t="s">
        <v>170</v>
      </c>
      <c r="Y23" s="113" t="s">
        <v>40</v>
      </c>
      <c r="Z23" s="635">
        <f>'[18]SATIM input'!D82</f>
        <v>0.26361053874824431</v>
      </c>
      <c r="AA23" s="635">
        <f>'[18]SATIM input'!E82</f>
        <v>0.26624664413572674</v>
      </c>
      <c r="AB23" s="559"/>
      <c r="AD23" s="555" t="str">
        <f t="shared" ref="AD23:AD47" si="1">X23&amp;Y23</f>
        <v>IISBFBOF-EIISCOA</v>
      </c>
      <c r="AE23" s="560" t="s">
        <v>170</v>
      </c>
      <c r="AF23" s="555">
        <f>'[18]SATIM input'!D12</f>
        <v>4.9000000000000004</v>
      </c>
      <c r="AG23" s="555">
        <f>'[18]SATIM input'!E12</f>
        <v>4.9000000000000004</v>
      </c>
      <c r="AH23" s="555">
        <f>'[18]SATIM input'!F12</f>
        <v>4.9000000000000004</v>
      </c>
      <c r="AI23" s="555">
        <f>'[18]SATIM input'!G12</f>
        <v>4.9000000000000004</v>
      </c>
      <c r="AJ23" s="555">
        <f>'[18]SATIM input'!H12</f>
        <v>4.9000000000000004</v>
      </c>
      <c r="AK23" s="555">
        <f>'[18]SATIM input'!I12</f>
        <v>4.9000000000000004</v>
      </c>
      <c r="AL23" s="555">
        <f>'[18]SATIM input'!J12</f>
        <v>4.9000000000000004</v>
      </c>
      <c r="AM23" s="555">
        <f>'[18]SATIM input'!K12</f>
        <v>4.9000000000000004</v>
      </c>
      <c r="AN23" s="555">
        <f>'[18]SATIM input'!L12</f>
        <v>4.9000000000000004</v>
      </c>
      <c r="AO23" s="555">
        <f>'[18]SATIM input'!M12</f>
        <v>4.9000000000000004</v>
      </c>
      <c r="AP23" s="555">
        <f>'[18]SATIM input'!N12</f>
        <v>4.9000000000000004</v>
      </c>
      <c r="AQ23" s="555">
        <f>'[18]SATIM input'!O12</f>
        <v>4.9000000000000004</v>
      </c>
      <c r="AR23" s="555">
        <f>'[18]SATIM input'!P12</f>
        <v>4.9000000000000004</v>
      </c>
      <c r="AS23" s="555">
        <f>'[18]SATIM input'!Q12</f>
        <v>4.9000000000000004</v>
      </c>
      <c r="AT23" s="555">
        <f>'[18]SATIM input'!R12</f>
        <v>4.9000000000000004</v>
      </c>
      <c r="AU23" s="555">
        <f>'[18]SATIM input'!S12</f>
        <v>4.9000000000000004</v>
      </c>
      <c r="AV23" s="555">
        <f>'[18]SATIM input'!T12</f>
        <v>4.9000000000000004</v>
      </c>
      <c r="AW23" s="555">
        <f>'[18]SATIM input'!U12</f>
        <v>4.9000000000000004</v>
      </c>
      <c r="AX23" s="555">
        <f>'[18]SATIM input'!V12</f>
        <v>4.9000000000000004</v>
      </c>
      <c r="AY23" s="555">
        <f>'[18]SATIM input'!W12</f>
        <v>4.9000000000000004</v>
      </c>
      <c r="AZ23" s="555">
        <f>'[18]SATIM input'!X12</f>
        <v>4.9000000000000004</v>
      </c>
      <c r="BA23" s="555">
        <f>'[18]SATIM input'!Y12</f>
        <v>4.9000000000000004</v>
      </c>
      <c r="BB23" s="555">
        <f>'[18]SATIM input'!Z12</f>
        <v>4.9000000000000004</v>
      </c>
      <c r="BC23" s="555">
        <f>'[18]SATIM input'!AA12</f>
        <v>4.9000000000000004</v>
      </c>
      <c r="BD23" s="555">
        <f>'[18]SATIM input'!AB12</f>
        <v>4.9000000000000004</v>
      </c>
      <c r="BE23" s="555">
        <f>'[18]SATIM input'!AC12</f>
        <v>0</v>
      </c>
      <c r="BF23" s="555">
        <f>'[18]SATIM input'!AD12</f>
        <v>0</v>
      </c>
      <c r="BG23" s="555">
        <f>'[18]SATIM input'!AE12</f>
        <v>0</v>
      </c>
      <c r="BH23" s="555">
        <f>'[18]SATIM input'!AF12</f>
        <v>0</v>
      </c>
      <c r="BI23" s="555">
        <f>'[18]SATIM input'!AG12</f>
        <v>0</v>
      </c>
      <c r="BJ23" s="555">
        <f>'[18]SATIM input'!AH12</f>
        <v>0</v>
      </c>
      <c r="BK23" s="555">
        <f>'[18]SATIM input'!AI12</f>
        <v>0</v>
      </c>
      <c r="BL23" s="555">
        <f>'[18]SATIM input'!AJ12</f>
        <v>0</v>
      </c>
      <c r="BM23" s="555">
        <f>'[18]SATIM input'!AK12</f>
        <v>0</v>
      </c>
      <c r="BN23" s="555">
        <f>'[18]SATIM input'!AL12</f>
        <v>0</v>
      </c>
      <c r="BO23" s="555">
        <f>'[18]SATIM input'!AM12</f>
        <v>0</v>
      </c>
    </row>
    <row r="24" spans="1:67" ht="15" x14ac:dyDescent="0.25">
      <c r="A24" s="567" t="s">
        <v>1488</v>
      </c>
      <c r="L24" s="572" t="s">
        <v>1487</v>
      </c>
      <c r="M24" s="572" t="s">
        <v>1486</v>
      </c>
      <c r="O24" s="637"/>
      <c r="S24" s="625"/>
      <c r="X24" s="560" t="s">
        <v>175</v>
      </c>
      <c r="Y24" s="113" t="s">
        <v>40</v>
      </c>
      <c r="Z24" s="635">
        <f>'[18]SATIM input'!D83</f>
        <v>0.74238447012267461</v>
      </c>
      <c r="AA24" s="635">
        <f>'[18]SATIM input'!E83</f>
        <v>0.74980831482390131</v>
      </c>
      <c r="AB24" s="559"/>
      <c r="AD24" s="555" t="str">
        <f t="shared" si="1"/>
        <v>IISDRIEAF-EIISCOA</v>
      </c>
      <c r="AE24" s="560" t="s">
        <v>172</v>
      </c>
      <c r="AF24" s="555">
        <f>'[18]SATIM input'!D13</f>
        <v>1.2400000000000002</v>
      </c>
      <c r="AG24" s="555">
        <f>'[18]SATIM input'!E13</f>
        <v>1.2400000000000002</v>
      </c>
      <c r="AH24" s="555">
        <f>'[18]SATIM input'!F13</f>
        <v>1.2400000000000002</v>
      </c>
      <c r="AI24" s="555">
        <f>'[18]SATIM input'!G13</f>
        <v>1.2400000000000002</v>
      </c>
      <c r="AJ24" s="555">
        <f>'[18]SATIM input'!H13</f>
        <v>1.2400000000000002</v>
      </c>
      <c r="AK24" s="555">
        <f>'[18]SATIM input'!I13</f>
        <v>1.2400000000000002</v>
      </c>
      <c r="AL24" s="555">
        <f>'[18]SATIM input'!J13</f>
        <v>1.2400000000000002</v>
      </c>
      <c r="AM24" s="555">
        <f>'[18]SATIM input'!K13</f>
        <v>1.2400000000000002</v>
      </c>
      <c r="AN24" s="555">
        <f>'[18]SATIM input'!L13</f>
        <v>1.2400000000000002</v>
      </c>
      <c r="AO24" s="555">
        <f>'[18]SATIM input'!M13</f>
        <v>1.2400000000000002</v>
      </c>
      <c r="AP24" s="555">
        <f>'[18]SATIM input'!N13</f>
        <v>1.2400000000000002</v>
      </c>
      <c r="AQ24" s="555">
        <f>'[18]SATIM input'!O13</f>
        <v>1.2400000000000002</v>
      </c>
      <c r="AR24" s="555">
        <f>'[18]SATIM input'!P13</f>
        <v>1.2400000000000002</v>
      </c>
      <c r="AS24" s="555">
        <f>'[18]SATIM input'!Q13</f>
        <v>1.2400000000000002</v>
      </c>
      <c r="AT24" s="555">
        <f>'[18]SATIM input'!R13</f>
        <v>1.2400000000000002</v>
      </c>
      <c r="AU24" s="555">
        <f>'[18]SATIM input'!S13</f>
        <v>1.2400000000000002</v>
      </c>
      <c r="AV24" s="555">
        <f>'[18]SATIM input'!T13</f>
        <v>1.2400000000000002</v>
      </c>
      <c r="AW24" s="555">
        <f>'[18]SATIM input'!U13</f>
        <v>1.2400000000000002</v>
      </c>
      <c r="AX24" s="555">
        <f>'[18]SATIM input'!V13</f>
        <v>1.2400000000000002</v>
      </c>
      <c r="AY24" s="555">
        <f>'[18]SATIM input'!W13</f>
        <v>1.2400000000000002</v>
      </c>
      <c r="AZ24" s="555">
        <f>'[18]SATIM input'!X13</f>
        <v>1.2400000000000002</v>
      </c>
      <c r="BA24" s="555">
        <f>'[18]SATIM input'!Y13</f>
        <v>1.2400000000000002</v>
      </c>
      <c r="BB24" s="555">
        <f>'[18]SATIM input'!Z13</f>
        <v>1.2400000000000002</v>
      </c>
      <c r="BC24" s="555">
        <f>'[18]SATIM input'!AA13</f>
        <v>1.2400000000000002</v>
      </c>
      <c r="BD24" s="555">
        <f>'[18]SATIM input'!AB13</f>
        <v>1.2400000000000002</v>
      </c>
      <c r="BE24" s="555">
        <f>'[18]SATIM input'!AC13</f>
        <v>1.2400000000000002</v>
      </c>
      <c r="BF24" s="555">
        <f>'[18]SATIM input'!AD13</f>
        <v>1.2400000000000002</v>
      </c>
      <c r="BG24" s="555">
        <f>'[18]SATIM input'!AE13</f>
        <v>1.2400000000000002</v>
      </c>
      <c r="BH24" s="555">
        <f>'[18]SATIM input'!AF13</f>
        <v>1.2400000000000002</v>
      </c>
      <c r="BI24" s="555">
        <f>'[18]SATIM input'!AG13</f>
        <v>1.2400000000000002</v>
      </c>
      <c r="BJ24" s="555">
        <f>'[18]SATIM input'!AH13</f>
        <v>1.2400000000000002</v>
      </c>
      <c r="BK24" s="555">
        <f>'[18]SATIM input'!AI13</f>
        <v>1.2400000000000002</v>
      </c>
      <c r="BL24" s="555">
        <f>'[18]SATIM input'!AJ13</f>
        <v>1.2400000000000002</v>
      </c>
      <c r="BM24" s="555">
        <f>'[18]SATIM input'!AK13</f>
        <v>1.2400000000000002</v>
      </c>
      <c r="BN24" s="555">
        <f>'[18]SATIM input'!AL13</f>
        <v>1.2400000000000002</v>
      </c>
      <c r="BO24" s="555">
        <f>'[18]SATIM input'!AM13</f>
        <v>0</v>
      </c>
    </row>
    <row r="25" spans="1:67" ht="15" x14ac:dyDescent="0.25">
      <c r="A25" s="570"/>
      <c r="B25" s="636" t="s">
        <v>170</v>
      </c>
      <c r="C25" s="569"/>
      <c r="D25" s="636" t="s">
        <v>43</v>
      </c>
      <c r="E25" s="636" t="s">
        <v>1392</v>
      </c>
      <c r="F25" s="636" t="s">
        <v>707</v>
      </c>
      <c r="G25" s="636" t="s">
        <v>1101</v>
      </c>
      <c r="H25" s="636" t="s">
        <v>593</v>
      </c>
      <c r="I25" s="636">
        <v>3</v>
      </c>
      <c r="J25" s="636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0.54033090194192068</v>
      </c>
      <c r="S25" s="625"/>
      <c r="X25" s="560" t="s">
        <v>181</v>
      </c>
      <c r="Y25" s="113" t="s">
        <v>40</v>
      </c>
      <c r="Z25" s="635">
        <f>'[18]SATIM input'!D84</f>
        <v>0</v>
      </c>
      <c r="AA25" s="635">
        <f>'[18]SATIM input'!E84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175</v>
      </c>
      <c r="AF25" s="555">
        <f>'[18]SATIM input'!D14</f>
        <v>1.44</v>
      </c>
      <c r="AG25" s="555">
        <f>'[18]SATIM input'!E14</f>
        <v>1.44</v>
      </c>
      <c r="AH25" s="555">
        <f>'[18]SATIM input'!F14</f>
        <v>1.44</v>
      </c>
      <c r="AI25" s="555">
        <f>'[18]SATIM input'!G14</f>
        <v>1.44</v>
      </c>
      <c r="AJ25" s="555">
        <f>'[18]SATIM input'!H14</f>
        <v>1.44</v>
      </c>
      <c r="AK25" s="555">
        <f>'[18]SATIM input'!I14</f>
        <v>1.44</v>
      </c>
      <c r="AL25" s="555">
        <f>'[18]SATIM input'!J14</f>
        <v>1.44</v>
      </c>
      <c r="AM25" s="555">
        <f>'[18]SATIM input'!K14</f>
        <v>1.44</v>
      </c>
      <c r="AN25" s="555">
        <f>'[18]SATIM input'!L14</f>
        <v>1.44</v>
      </c>
      <c r="AO25" s="555">
        <f>'[18]SATIM input'!M14</f>
        <v>1.44</v>
      </c>
      <c r="AP25" s="555">
        <f>'[18]SATIM input'!N14</f>
        <v>1.44</v>
      </c>
      <c r="AQ25" s="555">
        <f>'[18]SATIM input'!O14</f>
        <v>1.44</v>
      </c>
      <c r="AR25" s="555">
        <f>'[18]SATIM input'!P14</f>
        <v>1.44</v>
      </c>
      <c r="AS25" s="555">
        <f>'[18]SATIM input'!Q14</f>
        <v>1.44</v>
      </c>
      <c r="AT25" s="555">
        <f>'[18]SATIM input'!R14</f>
        <v>1.44</v>
      </c>
      <c r="AU25" s="555">
        <f>'[18]SATIM input'!S14</f>
        <v>1.44</v>
      </c>
      <c r="AV25" s="555">
        <f>'[18]SATIM input'!T14</f>
        <v>1.44</v>
      </c>
      <c r="AW25" s="555">
        <f>'[18]SATIM input'!U14</f>
        <v>1.44</v>
      </c>
      <c r="AX25" s="555">
        <f>'[18]SATIM input'!V14</f>
        <v>1.44</v>
      </c>
      <c r="AY25" s="555">
        <f>'[18]SATIM input'!W14</f>
        <v>1.44</v>
      </c>
      <c r="AZ25" s="555">
        <f>'[18]SATIM input'!X14</f>
        <v>1.44</v>
      </c>
      <c r="BA25" s="555">
        <f>'[18]SATIM input'!Y14</f>
        <v>1.44</v>
      </c>
      <c r="BB25" s="555">
        <f>'[18]SATIM input'!Z14</f>
        <v>1.44</v>
      </c>
      <c r="BC25" s="555">
        <f>'[18]SATIM input'!AA14</f>
        <v>1.44</v>
      </c>
      <c r="BD25" s="555">
        <f>'[18]SATIM input'!AB14</f>
        <v>1.44</v>
      </c>
      <c r="BE25" s="555">
        <f>'[18]SATIM input'!AC14</f>
        <v>0</v>
      </c>
      <c r="BF25" s="555">
        <f>'[18]SATIM input'!AD14</f>
        <v>0</v>
      </c>
      <c r="BG25" s="555">
        <f>'[18]SATIM input'!AE14</f>
        <v>0</v>
      </c>
      <c r="BH25" s="555">
        <f>'[18]SATIM input'!AF14</f>
        <v>0</v>
      </c>
      <c r="BI25" s="555">
        <f>'[18]SATIM input'!AG14</f>
        <v>0</v>
      </c>
      <c r="BJ25" s="555">
        <f>'[18]SATIM input'!AH14</f>
        <v>0</v>
      </c>
      <c r="BK25" s="555">
        <f>'[18]SATIM input'!AI14</f>
        <v>0</v>
      </c>
      <c r="BL25" s="555">
        <f>'[18]SATIM input'!AJ14</f>
        <v>0</v>
      </c>
      <c r="BM25" s="555">
        <f>'[18]SATIM input'!AK14</f>
        <v>0</v>
      </c>
      <c r="BN25" s="555">
        <f>'[18]SATIM input'!AL14</f>
        <v>0</v>
      </c>
      <c r="BO25" s="555">
        <f>'[18]SATIM input'!AM14</f>
        <v>0</v>
      </c>
    </row>
    <row r="26" spans="1:67" ht="15" x14ac:dyDescent="0.25">
      <c r="A26" s="560"/>
      <c r="B26" s="113" t="s">
        <v>170</v>
      </c>
      <c r="D26" s="113" t="s">
        <v>43</v>
      </c>
      <c r="E26" s="113" t="s">
        <v>1392</v>
      </c>
      <c r="F26" s="113" t="s">
        <v>707</v>
      </c>
      <c r="G26" s="113" t="s">
        <v>1101</v>
      </c>
      <c r="H26" s="113" t="s">
        <v>594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0.54573421096133989</v>
      </c>
      <c r="S26" s="625"/>
      <c r="X26" s="560" t="s">
        <v>172</v>
      </c>
      <c r="Y26" s="113" t="s">
        <v>40</v>
      </c>
      <c r="Z26" s="635">
        <f>'[18]SATIM input'!D85</f>
        <v>0.77646494405992639</v>
      </c>
      <c r="AA26" s="635">
        <f>'[18]SATIM input'!E85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179</v>
      </c>
      <c r="AF26" s="555">
        <f>'[18]SATIM input'!D15</f>
        <v>1</v>
      </c>
      <c r="AG26" s="555">
        <f>'[18]SATIM input'!E15</f>
        <v>1</v>
      </c>
      <c r="AH26" s="555">
        <f>'[18]SATIM input'!F15</f>
        <v>1</v>
      </c>
      <c r="AI26" s="555">
        <f>'[18]SATIM input'!G15</f>
        <v>1</v>
      </c>
      <c r="AJ26" s="555">
        <f>'[18]SATIM input'!H15</f>
        <v>1</v>
      </c>
      <c r="AK26" s="555">
        <f>'[18]SATIM input'!I15</f>
        <v>1</v>
      </c>
      <c r="AL26" s="555">
        <f>'[18]SATIM input'!J15</f>
        <v>1</v>
      </c>
      <c r="AM26" s="555">
        <f>'[18]SATIM input'!K15</f>
        <v>1</v>
      </c>
      <c r="AN26" s="555">
        <f>'[18]SATIM input'!L15</f>
        <v>1</v>
      </c>
      <c r="AO26" s="555">
        <f>'[18]SATIM input'!M15</f>
        <v>1</v>
      </c>
      <c r="AP26" s="555">
        <f>'[18]SATIM input'!N15</f>
        <v>1</v>
      </c>
      <c r="AQ26" s="555">
        <f>'[18]SATIM input'!O15</f>
        <v>1</v>
      </c>
      <c r="AR26" s="555">
        <f>'[18]SATIM input'!P15</f>
        <v>1</v>
      </c>
      <c r="AS26" s="555">
        <f>'[18]SATIM input'!Q15</f>
        <v>1</v>
      </c>
      <c r="AT26" s="555">
        <f>'[18]SATIM input'!R15</f>
        <v>1</v>
      </c>
      <c r="AU26" s="555">
        <f>'[18]SATIM input'!S15</f>
        <v>1</v>
      </c>
      <c r="AV26" s="555">
        <f>'[18]SATIM input'!T15</f>
        <v>1</v>
      </c>
      <c r="AW26" s="555">
        <f>'[18]SATIM input'!U15</f>
        <v>1</v>
      </c>
      <c r="AX26" s="555">
        <f>'[18]SATIM input'!V15</f>
        <v>1</v>
      </c>
      <c r="AY26" s="555">
        <f>'[18]SATIM input'!W15</f>
        <v>1</v>
      </c>
      <c r="AZ26" s="555">
        <f>'[18]SATIM input'!X15</f>
        <v>1</v>
      </c>
      <c r="BA26" s="555">
        <f>'[18]SATIM input'!Y15</f>
        <v>1</v>
      </c>
      <c r="BB26" s="555">
        <f>'[18]SATIM input'!Z15</f>
        <v>1</v>
      </c>
      <c r="BC26" s="555">
        <f>'[18]SATIM input'!AA15</f>
        <v>1</v>
      </c>
      <c r="BD26" s="555">
        <f>'[18]SATIM input'!AB15</f>
        <v>1</v>
      </c>
      <c r="BE26" s="555">
        <f>'[18]SATIM input'!AC15</f>
        <v>0</v>
      </c>
      <c r="BF26" s="555">
        <f>'[18]SATIM input'!AD15</f>
        <v>0</v>
      </c>
      <c r="BG26" s="555">
        <f>'[18]SATIM input'!AE15</f>
        <v>0</v>
      </c>
      <c r="BH26" s="555">
        <f>'[18]SATIM input'!AF15</f>
        <v>0</v>
      </c>
      <c r="BI26" s="555">
        <f>'[18]SATIM input'!AG15</f>
        <v>0</v>
      </c>
      <c r="BJ26" s="555">
        <f>'[18]SATIM input'!AH15</f>
        <v>0</v>
      </c>
      <c r="BK26" s="555">
        <f>'[18]SATIM input'!AI15</f>
        <v>0</v>
      </c>
      <c r="BL26" s="555">
        <f>'[18]SATIM input'!AJ15</f>
        <v>0</v>
      </c>
      <c r="BM26" s="555">
        <f>'[18]SATIM input'!AK15</f>
        <v>0</v>
      </c>
      <c r="BN26" s="555">
        <f>'[18]SATIM input'!AL15</f>
        <v>0</v>
      </c>
      <c r="BO26" s="555">
        <f>'[18]SATIM input'!AM15</f>
        <v>0</v>
      </c>
    </row>
    <row r="27" spans="1:67" ht="15" x14ac:dyDescent="0.25">
      <c r="A27" s="560"/>
      <c r="B27" s="113" t="s">
        <v>170</v>
      </c>
      <c r="D27" s="113" t="s">
        <v>40</v>
      </c>
      <c r="E27" s="113" t="s">
        <v>1392</v>
      </c>
      <c r="F27" s="113" t="s">
        <v>707</v>
      </c>
      <c r="G27" s="113" t="s">
        <v>1101</v>
      </c>
      <c r="H27" s="113" t="s">
        <v>593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0.26361053874824431</v>
      </c>
      <c r="X27" s="560" t="s">
        <v>179</v>
      </c>
      <c r="Y27" s="113" t="s">
        <v>40</v>
      </c>
      <c r="Z27" s="635">
        <f>'[18]SATIM input'!D86</f>
        <v>0.46153846153846151</v>
      </c>
      <c r="AA27" s="635">
        <f>'[18]SATIM input'!E86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181</v>
      </c>
      <c r="AF27" s="555">
        <f>'[18]SATIM input'!D16</f>
        <v>1.7200000000000002</v>
      </c>
      <c r="AG27" s="555">
        <f>'[18]SATIM input'!E16</f>
        <v>1.7200000000000002</v>
      </c>
      <c r="AH27" s="555">
        <f>'[18]SATIM input'!F16</f>
        <v>1.7200000000000002</v>
      </c>
      <c r="AI27" s="555">
        <f>'[18]SATIM input'!G16</f>
        <v>1.7200000000000002</v>
      </c>
      <c r="AJ27" s="555">
        <f>'[18]SATIM input'!H16</f>
        <v>1.3200000000000003</v>
      </c>
      <c r="AK27" s="555">
        <f>'[18]SATIM input'!I16</f>
        <v>1.3200000000000003</v>
      </c>
      <c r="AL27" s="555">
        <f>'[18]SATIM input'!J16</f>
        <v>1.3200000000000003</v>
      </c>
      <c r="AM27" s="555">
        <f>'[18]SATIM input'!K16</f>
        <v>1.3200000000000003</v>
      </c>
      <c r="AN27" s="555">
        <f>'[18]SATIM input'!L16</f>
        <v>1.3200000000000003</v>
      </c>
      <c r="AO27" s="555">
        <f>'[18]SATIM input'!M16</f>
        <v>1.3200000000000003</v>
      </c>
      <c r="AP27" s="555">
        <f>'[18]SATIM input'!N16</f>
        <v>1.3200000000000003</v>
      </c>
      <c r="AQ27" s="555">
        <f>'[18]SATIM input'!O16</f>
        <v>1.3200000000000003</v>
      </c>
      <c r="AR27" s="555">
        <f>'[18]SATIM input'!P16</f>
        <v>1.3200000000000003</v>
      </c>
      <c r="AS27" s="555">
        <f>'[18]SATIM input'!Q16</f>
        <v>1.3200000000000003</v>
      </c>
      <c r="AT27" s="555">
        <f>'[18]SATIM input'!R16</f>
        <v>1.3200000000000003</v>
      </c>
      <c r="AU27" s="555">
        <f>'[18]SATIM input'!S16</f>
        <v>1.3200000000000003</v>
      </c>
      <c r="AV27" s="555">
        <f>'[18]SATIM input'!T16</f>
        <v>1.3200000000000003</v>
      </c>
      <c r="AW27" s="555">
        <f>'[18]SATIM input'!U16</f>
        <v>1.3200000000000003</v>
      </c>
      <c r="AX27" s="555">
        <f>'[18]SATIM input'!V16</f>
        <v>1.3200000000000003</v>
      </c>
      <c r="AY27" s="555">
        <f>'[18]SATIM input'!W16</f>
        <v>1.3200000000000003</v>
      </c>
      <c r="AZ27" s="555">
        <f>'[18]SATIM input'!X16</f>
        <v>1.3200000000000003</v>
      </c>
      <c r="BA27" s="555">
        <f>'[18]SATIM input'!Y16</f>
        <v>1.3200000000000003</v>
      </c>
      <c r="BB27" s="555">
        <f>'[18]SATIM input'!Z16</f>
        <v>1.3200000000000003</v>
      </c>
      <c r="BC27" s="555">
        <f>'[18]SATIM input'!AA16</f>
        <v>1.3200000000000003</v>
      </c>
      <c r="BD27" s="555">
        <f>'[18]SATIM input'!AB16</f>
        <v>1.3200000000000003</v>
      </c>
      <c r="BE27" s="555">
        <f>'[18]SATIM input'!AC16</f>
        <v>0</v>
      </c>
      <c r="BF27" s="555">
        <f>'[18]SATIM input'!AD16</f>
        <v>0</v>
      </c>
      <c r="BG27" s="555">
        <f>'[18]SATIM input'!AE16</f>
        <v>0</v>
      </c>
      <c r="BH27" s="555">
        <f>'[18]SATIM input'!AF16</f>
        <v>0</v>
      </c>
      <c r="BI27" s="555">
        <f>'[18]SATIM input'!AG16</f>
        <v>0</v>
      </c>
      <c r="BJ27" s="555">
        <f>'[18]SATIM input'!AH16</f>
        <v>0</v>
      </c>
      <c r="BK27" s="555">
        <f>'[18]SATIM input'!AI16</f>
        <v>0</v>
      </c>
      <c r="BL27" s="555">
        <f>'[18]SATIM input'!AJ16</f>
        <v>0</v>
      </c>
      <c r="BM27" s="555">
        <f>'[18]SATIM input'!AK16</f>
        <v>0</v>
      </c>
      <c r="BN27" s="555">
        <f>'[18]SATIM input'!AL16</f>
        <v>0</v>
      </c>
      <c r="BO27" s="555">
        <f>'[18]SATIM input'!AM16</f>
        <v>0</v>
      </c>
    </row>
    <row r="28" spans="1:67" ht="15" x14ac:dyDescent="0.25">
      <c r="A28" s="560"/>
      <c r="B28" s="113" t="s">
        <v>170</v>
      </c>
      <c r="D28" s="113" t="s">
        <v>40</v>
      </c>
      <c r="E28" s="113" t="s">
        <v>1392</v>
      </c>
      <c r="F28" s="113" t="s">
        <v>707</v>
      </c>
      <c r="G28" s="113" t="s">
        <v>1101</v>
      </c>
      <c r="H28" s="113" t="s">
        <v>594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0.26624664413572674</v>
      </c>
      <c r="X28" s="560" t="s">
        <v>170</v>
      </c>
      <c r="Y28" s="113" t="s">
        <v>39</v>
      </c>
      <c r="Z28" s="635">
        <f>'[18]SATIM input'!D87</f>
        <v>0.12782206880423377</v>
      </c>
      <c r="AA28" s="635">
        <f>'[18]SATIM input'!E87</f>
        <v>0.12910028949227612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170</v>
      </c>
      <c r="D29" s="113" t="s">
        <v>39</v>
      </c>
      <c r="E29" s="113" t="s">
        <v>1392</v>
      </c>
      <c r="F29" s="113" t="s">
        <v>707</v>
      </c>
      <c r="G29" s="113" t="s">
        <v>1101</v>
      </c>
      <c r="H29" s="113" t="s">
        <v>593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0.12782206880423377</v>
      </c>
      <c r="X29" s="560" t="s">
        <v>175</v>
      </c>
      <c r="Y29" s="113" t="s">
        <v>39</v>
      </c>
      <c r="Z29" s="635">
        <f>'[18]SATIM input'!D88</f>
        <v>0.17508378988061105</v>
      </c>
      <c r="AA29" s="635">
        <f>'[18]SATIM input'!E88</f>
        <v>0.17683462777941716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170</v>
      </c>
      <c r="D30" s="113" t="s">
        <v>592</v>
      </c>
      <c r="E30" s="113" t="s">
        <v>1392</v>
      </c>
      <c r="F30" s="113" t="s">
        <v>707</v>
      </c>
      <c r="G30" s="113" t="s">
        <v>1101</v>
      </c>
      <c r="H30" s="113" t="s">
        <v>593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3.2055167215532178E-2</v>
      </c>
      <c r="X30" s="560" t="s">
        <v>181</v>
      </c>
      <c r="Y30" s="113" t="s">
        <v>39</v>
      </c>
      <c r="Z30" s="635">
        <f>'[18]SATIM input'!D89</f>
        <v>0.74487768236857965</v>
      </c>
      <c r="AA30" s="635">
        <f>'[18]SATIM input'!E89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530</v>
      </c>
    </row>
    <row r="31" spans="1:67" ht="15" x14ac:dyDescent="0.25">
      <c r="A31" s="560"/>
      <c r="B31" s="113" t="s">
        <v>170</v>
      </c>
      <c r="D31" s="113" t="s">
        <v>592</v>
      </c>
      <c r="E31" s="113" t="s">
        <v>1392</v>
      </c>
      <c r="F31" s="113" t="s">
        <v>707</v>
      </c>
      <c r="G31" s="113" t="s">
        <v>1101</v>
      </c>
      <c r="H31" s="113" t="s">
        <v>594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3.2375718887687498E-2</v>
      </c>
      <c r="X31" s="560" t="s">
        <v>172</v>
      </c>
      <c r="Y31" s="113" t="s">
        <v>39</v>
      </c>
      <c r="Z31" s="635">
        <f>'[18]SATIM input'!D90</f>
        <v>7.8007640891601907E-2</v>
      </c>
      <c r="AA31" s="635">
        <f>'[18]SATIM input'!E90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534</v>
      </c>
      <c r="AF31" s="555" t="str">
        <f>'[18]SATIM input'!D29</f>
        <v>-0.126</v>
      </c>
      <c r="AG31" s="555" t="str">
        <f>'[18]SATIM input'!E29</f>
        <v>-0.126</v>
      </c>
      <c r="AH31" s="555" t="str">
        <f>'[18]SATIM input'!F29</f>
        <v>-0.126</v>
      </c>
      <c r="AI31" s="555" t="str">
        <f>'[18]SATIM input'!G29</f>
        <v>-0.217</v>
      </c>
      <c r="AJ31" s="555" t="str">
        <f>'[18]SATIM input'!H29</f>
        <v>-0.221</v>
      </c>
      <c r="AK31" s="555" t="str">
        <f>'[18]SATIM input'!I29</f>
        <v>-0.216</v>
      </c>
      <c r="AL31" s="555" t="str">
        <f>'[18]SATIM input'!J29</f>
        <v>-0.196</v>
      </c>
      <c r="AM31" s="555" t="str">
        <f>'[18]SATIM input'!K29</f>
        <v>-0.201</v>
      </c>
      <c r="AN31" s="555" t="str">
        <f>'[18]SATIM input'!L29</f>
        <v>-0.246</v>
      </c>
    </row>
    <row r="32" spans="1:67" ht="15" x14ac:dyDescent="0.25">
      <c r="A32" s="560"/>
      <c r="B32" s="113" t="s">
        <v>170</v>
      </c>
      <c r="D32" s="113" t="s">
        <v>1337</v>
      </c>
      <c r="E32" s="113" t="s">
        <v>1392</v>
      </c>
      <c r="F32" s="113" t="s">
        <v>707</v>
      </c>
      <c r="G32" s="113" t="s">
        <v>1101</v>
      </c>
      <c r="H32" s="113" t="s">
        <v>593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179</v>
      </c>
      <c r="Y32" s="113" t="s">
        <v>39</v>
      </c>
      <c r="Z32" s="635">
        <f>'[18]SATIM input'!D91</f>
        <v>0.46153846153846151</v>
      </c>
      <c r="AA32" s="635">
        <f>'[18]SATIM input'!E91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792</v>
      </c>
      <c r="AF32" s="555" t="str">
        <f>'[18]SATIM input'!D30</f>
        <v>-0.121</v>
      </c>
      <c r="AG32" s="555" t="str">
        <f>'[18]SATIM input'!E30</f>
        <v>-0.121</v>
      </c>
      <c r="AH32" s="555" t="str">
        <f>'[18]SATIM input'!F30</f>
        <v>-0.121</v>
      </c>
      <c r="AI32" s="555" t="str">
        <f>'[18]SATIM input'!G30</f>
        <v>-0.209</v>
      </c>
      <c r="AJ32" s="555" t="str">
        <f>'[18]SATIM input'!H30</f>
        <v>-0.212</v>
      </c>
      <c r="AK32" s="555" t="str">
        <f>'[18]SATIM input'!I30</f>
        <v>-0.208</v>
      </c>
      <c r="AL32" s="555" t="str">
        <f>'[18]SATIM input'!J30</f>
        <v>-0.188</v>
      </c>
      <c r="AM32" s="555" t="str">
        <f>'[18]SATIM input'!K30</f>
        <v>-0.193</v>
      </c>
      <c r="AN32" s="555" t="str">
        <f>'[18]SATIM input'!L30</f>
        <v>-0.237</v>
      </c>
    </row>
    <row r="33" spans="1:30" ht="15" x14ac:dyDescent="0.25">
      <c r="A33" s="560"/>
      <c r="B33" s="449" t="s">
        <v>170</v>
      </c>
      <c r="C33" s="557"/>
      <c r="D33" s="449" t="s">
        <v>1337</v>
      </c>
      <c r="E33" s="449" t="s">
        <v>1392</v>
      </c>
      <c r="F33" s="449" t="s">
        <v>707</v>
      </c>
      <c r="G33" s="449" t="s">
        <v>1101</v>
      </c>
      <c r="H33" s="449" t="s">
        <v>594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170</v>
      </c>
      <c r="Y33" s="113" t="s">
        <v>43</v>
      </c>
      <c r="Z33" s="635">
        <f>'[18]SATIM input'!D92</f>
        <v>0.54033090194192068</v>
      </c>
      <c r="AA33" s="635">
        <f>'[18]SATIM input'!E92</f>
        <v>0.54573421096133989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539</v>
      </c>
      <c r="D34" s="113" t="s">
        <v>43</v>
      </c>
      <c r="E34" s="113" t="s">
        <v>1388</v>
      </c>
      <c r="F34" s="113" t="s">
        <v>707</v>
      </c>
      <c r="G34" s="113" t="s">
        <v>1101</v>
      </c>
      <c r="H34" s="113" t="s">
        <v>593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0.54033090194192068</v>
      </c>
      <c r="X34" s="560" t="s">
        <v>175</v>
      </c>
      <c r="Y34" s="113" t="s">
        <v>43</v>
      </c>
      <c r="Z34" s="635">
        <f>'[18]SATIM input'!D93</f>
        <v>0</v>
      </c>
      <c r="AA34" s="635">
        <f>'[18]SATIM input'!E93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539</v>
      </c>
      <c r="D35" s="113" t="s">
        <v>43</v>
      </c>
      <c r="E35" s="113" t="s">
        <v>1388</v>
      </c>
      <c r="F35" s="113" t="s">
        <v>707</v>
      </c>
      <c r="G35" s="113" t="s">
        <v>1101</v>
      </c>
      <c r="H35" s="113" t="s">
        <v>594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0.54573421096133989</v>
      </c>
      <c r="X35" s="560" t="s">
        <v>181</v>
      </c>
      <c r="Y35" s="113" t="s">
        <v>43</v>
      </c>
      <c r="Z35" s="635">
        <f>'[18]SATIM input'!D94</f>
        <v>0</v>
      </c>
      <c r="AA35" s="635">
        <f>'[18]SATIM input'!E94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539</v>
      </c>
      <c r="D36" s="113" t="s">
        <v>40</v>
      </c>
      <c r="E36" s="113" t="s">
        <v>1388</v>
      </c>
      <c r="F36" s="113" t="s">
        <v>707</v>
      </c>
      <c r="G36" s="113" t="s">
        <v>1101</v>
      </c>
      <c r="H36" s="113" t="s">
        <v>593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0.26361053874824431</v>
      </c>
      <c r="X36" s="560" t="s">
        <v>172</v>
      </c>
      <c r="Y36" s="113" t="s">
        <v>43</v>
      </c>
      <c r="Z36" s="635">
        <f>'[18]SATIM input'!D95</f>
        <v>0.11737260782301213</v>
      </c>
      <c r="AA36" s="635">
        <f>'[18]SATIM input'!E95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539</v>
      </c>
      <c r="D37" s="113" t="s">
        <v>40</v>
      </c>
      <c r="E37" s="113" t="s">
        <v>1388</v>
      </c>
      <c r="F37" s="113" t="s">
        <v>707</v>
      </c>
      <c r="G37" s="113" t="s">
        <v>1101</v>
      </c>
      <c r="H37" s="113" t="s">
        <v>594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0.26624664413572674</v>
      </c>
      <c r="X37" s="560" t="s">
        <v>179</v>
      </c>
      <c r="Y37" s="113" t="s">
        <v>43</v>
      </c>
      <c r="Z37" s="635">
        <f>'[18]SATIM input'!D96</f>
        <v>0</v>
      </c>
      <c r="AA37" s="635">
        <f>'[18]SATIM input'!E96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539</v>
      </c>
      <c r="D38" s="113" t="s">
        <v>39</v>
      </c>
      <c r="E38" s="113" t="s">
        <v>1388</v>
      </c>
      <c r="F38" s="113" t="s">
        <v>707</v>
      </c>
      <c r="G38" s="113" t="s">
        <v>1101</v>
      </c>
      <c r="H38" s="113" t="s">
        <v>1102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0.12782206880423377</v>
      </c>
      <c r="X38" s="560" t="s">
        <v>170</v>
      </c>
      <c r="Y38" s="555" t="s">
        <v>595</v>
      </c>
      <c r="Z38" s="635">
        <f>'[18]SATIM input'!D97</f>
        <v>3.6181323290069074E-2</v>
      </c>
      <c r="AA38" s="635">
        <f>'[18]SATIM input'!E97</f>
        <v>3.6543136522969769E-2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539</v>
      </c>
      <c r="D39" s="113" t="s">
        <v>592</v>
      </c>
      <c r="E39" s="113" t="s">
        <v>1388</v>
      </c>
      <c r="F39" s="113" t="s">
        <v>707</v>
      </c>
      <c r="G39" s="113" t="s">
        <v>1101</v>
      </c>
      <c r="H39" s="113" t="s">
        <v>593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3.2055167215532178E-2</v>
      </c>
      <c r="X39" s="560" t="s">
        <v>175</v>
      </c>
      <c r="Y39" s="555" t="s">
        <v>595</v>
      </c>
      <c r="Z39" s="635">
        <f>'[18]SATIM input'!D98</f>
        <v>0</v>
      </c>
      <c r="AA39" s="635">
        <f>'[18]SATIM input'!E98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539</v>
      </c>
      <c r="D40" s="113" t="s">
        <v>592</v>
      </c>
      <c r="E40" s="113" t="s">
        <v>1388</v>
      </c>
      <c r="F40" s="113" t="s">
        <v>707</v>
      </c>
      <c r="G40" s="113" t="s">
        <v>1101</v>
      </c>
      <c r="H40" s="113" t="s">
        <v>594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3.2375718887687498E-2</v>
      </c>
      <c r="X40" s="560" t="s">
        <v>181</v>
      </c>
      <c r="Y40" s="555" t="s">
        <v>595</v>
      </c>
      <c r="Z40" s="635">
        <f>'[18]SATIM input'!D99</f>
        <v>0.12863089961074112</v>
      </c>
      <c r="AA40" s="635">
        <f>'[18]SATIM input'!E99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539</v>
      </c>
      <c r="D41" s="113" t="s">
        <v>1337</v>
      </c>
      <c r="E41" s="113" t="s">
        <v>1388</v>
      </c>
      <c r="F41" s="113" t="s">
        <v>707</v>
      </c>
      <c r="G41" s="113" t="s">
        <v>1101</v>
      </c>
      <c r="H41" s="113" t="s">
        <v>593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172</v>
      </c>
      <c r="Y41" s="555" t="s">
        <v>595</v>
      </c>
      <c r="Z41" s="635">
        <f>'[18]SATIM input'!D100</f>
        <v>9.794992575659793E-3</v>
      </c>
      <c r="AA41" s="635">
        <f>'[18]SATIM input'!E100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539</v>
      </c>
      <c r="C42" s="557"/>
      <c r="D42" s="449" t="s">
        <v>1337</v>
      </c>
      <c r="E42" s="449" t="s">
        <v>1388</v>
      </c>
      <c r="F42" s="449" t="s">
        <v>707</v>
      </c>
      <c r="G42" s="449" t="s">
        <v>1101</v>
      </c>
      <c r="H42" s="449" t="s">
        <v>594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179</v>
      </c>
      <c r="Y42" s="555" t="s">
        <v>595</v>
      </c>
      <c r="Z42" s="635">
        <f>'[18]SATIM input'!D101</f>
        <v>0</v>
      </c>
      <c r="AA42" s="635">
        <f>'[18]SATIM input'!E101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172</v>
      </c>
      <c r="D43" s="113" t="s">
        <v>43</v>
      </c>
      <c r="E43" s="113" t="s">
        <v>1384</v>
      </c>
      <c r="F43" s="113" t="s">
        <v>707</v>
      </c>
      <c r="G43" s="113" t="s">
        <v>1101</v>
      </c>
      <c r="H43" s="113" t="s">
        <v>1102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170</v>
      </c>
      <c r="Y43" s="113" t="s">
        <v>592</v>
      </c>
      <c r="Z43" s="635">
        <f>'[18]SATIM input'!D102</f>
        <v>3.2055167215532178E-2</v>
      </c>
      <c r="AA43" s="635">
        <f>'[18]SATIM input'!E102</f>
        <v>3.2375718887687498E-2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172</v>
      </c>
      <c r="D44" s="113" t="s">
        <v>40</v>
      </c>
      <c r="E44" s="113" t="s">
        <v>1384</v>
      </c>
      <c r="F44" s="113" t="s">
        <v>707</v>
      </c>
      <c r="G44" s="113" t="s">
        <v>1101</v>
      </c>
      <c r="H44" s="113" t="s">
        <v>1102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175</v>
      </c>
      <c r="Y44" s="113" t="s">
        <v>592</v>
      </c>
      <c r="Z44" s="635">
        <f>'[18]SATIM input'!D103</f>
        <v>8.2531739996714287E-2</v>
      </c>
      <c r="AA44" s="635">
        <f>'[18]SATIM input'!E103</f>
        <v>8.3357057396681436E-2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172</v>
      </c>
      <c r="D45" s="113" t="s">
        <v>39</v>
      </c>
      <c r="E45" s="113" t="s">
        <v>1384</v>
      </c>
      <c r="F45" s="113" t="s">
        <v>707</v>
      </c>
      <c r="G45" s="113" t="s">
        <v>1101</v>
      </c>
      <c r="H45" s="113" t="s">
        <v>1102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181</v>
      </c>
      <c r="Y45" s="113" t="s">
        <v>592</v>
      </c>
      <c r="Z45" s="635">
        <f>'[18]SATIM input'!D104</f>
        <v>0.12649141802067926</v>
      </c>
      <c r="AA45" s="635">
        <f>'[18]SATIM input'!E104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172</v>
      </c>
      <c r="D46" s="113" t="s">
        <v>592</v>
      </c>
      <c r="E46" s="113" t="s">
        <v>1384</v>
      </c>
      <c r="F46" s="113" t="s">
        <v>707</v>
      </c>
      <c r="G46" s="113" t="s">
        <v>1101</v>
      </c>
      <c r="H46" s="113" t="s">
        <v>1102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172</v>
      </c>
      <c r="Y46" s="113" t="s">
        <v>592</v>
      </c>
      <c r="Z46" s="635">
        <f>'[18]SATIM input'!D105</f>
        <v>1.8359814649799511E-2</v>
      </c>
      <c r="AA46" s="635">
        <f>'[18]SATIM input'!E105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172</v>
      </c>
      <c r="C47" s="557"/>
      <c r="D47" s="449" t="s">
        <v>595</v>
      </c>
      <c r="E47" s="449" t="s">
        <v>1384</v>
      </c>
      <c r="F47" s="449" t="s">
        <v>707</v>
      </c>
      <c r="G47" s="449" t="s">
        <v>1101</v>
      </c>
      <c r="H47" s="449" t="s">
        <v>1102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179</v>
      </c>
      <c r="Y47" s="113" t="s">
        <v>592</v>
      </c>
      <c r="Z47" s="635">
        <f>'[18]SATIM input'!D106</f>
        <v>7.6923076923076913E-2</v>
      </c>
      <c r="AA47" s="635">
        <f>'[18]SATIM input'!E106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175</v>
      </c>
      <c r="D48" s="113" t="s">
        <v>40</v>
      </c>
      <c r="E48" s="113" t="s">
        <v>1380</v>
      </c>
      <c r="F48" s="113" t="s">
        <v>707</v>
      </c>
      <c r="G48" s="113" t="s">
        <v>1101</v>
      </c>
      <c r="H48" s="113" t="s">
        <v>593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0.74238447012267461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175</v>
      </c>
      <c r="D49" s="113" t="s">
        <v>40</v>
      </c>
      <c r="E49" s="113" t="s">
        <v>1380</v>
      </c>
      <c r="F49" s="113" t="s">
        <v>707</v>
      </c>
      <c r="G49" s="113" t="s">
        <v>1101</v>
      </c>
      <c r="H49" s="113" t="s">
        <v>594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0.74980831482390131</v>
      </c>
      <c r="AC49" s="555" t="str">
        <f t="shared" si="5"/>
        <v>IISDRIEAF-EIISCOA</v>
      </c>
    </row>
    <row r="50" spans="1:29" ht="15" x14ac:dyDescent="0.25">
      <c r="A50" s="560"/>
      <c r="B50" s="113" t="s">
        <v>175</v>
      </c>
      <c r="D50" s="113" t="s">
        <v>39</v>
      </c>
      <c r="E50" s="113" t="s">
        <v>1380</v>
      </c>
      <c r="F50" s="113" t="s">
        <v>707</v>
      </c>
      <c r="G50" s="113" t="s">
        <v>1101</v>
      </c>
      <c r="H50" s="113" t="s">
        <v>1102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0.17683462777941716</v>
      </c>
      <c r="AC50" s="555" t="str">
        <f t="shared" si="5"/>
        <v>IISDRIEAF-EIISELC</v>
      </c>
    </row>
    <row r="51" spans="1:29" ht="15" x14ac:dyDescent="0.25">
      <c r="A51" s="560"/>
      <c r="B51" s="113" t="s">
        <v>175</v>
      </c>
      <c r="D51" s="113" t="s">
        <v>592</v>
      </c>
      <c r="E51" s="113" t="s">
        <v>1380</v>
      </c>
      <c r="F51" s="113" t="s">
        <v>707</v>
      </c>
      <c r="G51" s="113" t="s">
        <v>1101</v>
      </c>
      <c r="H51" s="113" t="s">
        <v>593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8.2531739996714287E-2</v>
      </c>
      <c r="AC51" s="555" t="str">
        <f t="shared" si="5"/>
        <v>IISDRIEAF-EIISGAS</v>
      </c>
    </row>
    <row r="52" spans="1:29" ht="15" x14ac:dyDescent="0.25">
      <c r="A52" s="560"/>
      <c r="B52" s="113" t="s">
        <v>175</v>
      </c>
      <c r="D52" s="113" t="s">
        <v>592</v>
      </c>
      <c r="E52" s="113" t="s">
        <v>1380</v>
      </c>
      <c r="F52" s="113" t="s">
        <v>707</v>
      </c>
      <c r="G52" s="113" t="s">
        <v>1101</v>
      </c>
      <c r="H52" s="113" t="s">
        <v>594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8.3357057396681436E-2</v>
      </c>
      <c r="AC52" s="555" t="str">
        <f t="shared" si="5"/>
        <v>IISDRIEAF-EIISGAS</v>
      </c>
    </row>
    <row r="53" spans="1:29" ht="15" x14ac:dyDescent="0.25">
      <c r="A53" s="560"/>
      <c r="B53" s="113" t="s">
        <v>175</v>
      </c>
      <c r="D53" s="113" t="s">
        <v>1337</v>
      </c>
      <c r="E53" s="113" t="s">
        <v>1380</v>
      </c>
      <c r="F53" s="113" t="s">
        <v>707</v>
      </c>
      <c r="G53" s="113" t="s">
        <v>1101</v>
      </c>
      <c r="H53" s="113" t="s">
        <v>593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175</v>
      </c>
      <c r="C54" s="557"/>
      <c r="D54" s="449" t="s">
        <v>1337</v>
      </c>
      <c r="E54" s="449" t="s">
        <v>1380</v>
      </c>
      <c r="F54" s="449" t="s">
        <v>707</v>
      </c>
      <c r="G54" s="449" t="s">
        <v>1101</v>
      </c>
      <c r="H54" s="449" t="s">
        <v>594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540</v>
      </c>
      <c r="D55" s="113" t="s">
        <v>40</v>
      </c>
      <c r="E55" s="113" t="s">
        <v>1372</v>
      </c>
      <c r="F55" s="113" t="s">
        <v>707</v>
      </c>
      <c r="G55" s="113" t="s">
        <v>1101</v>
      </c>
      <c r="H55" s="113" t="s">
        <v>593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0.74238447012267461</v>
      </c>
      <c r="AC55" s="555" t="str">
        <f t="shared" si="5"/>
        <v>IISDRIEAF-NCIISCOA</v>
      </c>
    </row>
    <row r="56" spans="1:29" ht="15" x14ac:dyDescent="0.25">
      <c r="A56" s="560"/>
      <c r="B56" s="113" t="s">
        <v>540</v>
      </c>
      <c r="D56" s="113" t="s">
        <v>40</v>
      </c>
      <c r="E56" s="113" t="s">
        <v>1372</v>
      </c>
      <c r="F56" s="113" t="s">
        <v>707</v>
      </c>
      <c r="G56" s="113" t="s">
        <v>1101</v>
      </c>
      <c r="H56" s="113" t="s">
        <v>594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0.74980831482390131</v>
      </c>
      <c r="AC56" s="555" t="str">
        <f t="shared" si="5"/>
        <v>IISDRIEAF-NCIISCOA</v>
      </c>
    </row>
    <row r="57" spans="1:29" ht="15" x14ac:dyDescent="0.25">
      <c r="A57" s="560"/>
      <c r="B57" s="113" t="s">
        <v>540</v>
      </c>
      <c r="D57" s="113" t="s">
        <v>39</v>
      </c>
      <c r="E57" s="113" t="s">
        <v>1372</v>
      </c>
      <c r="F57" s="113" t="s">
        <v>707</v>
      </c>
      <c r="G57" s="113" t="s">
        <v>1101</v>
      </c>
      <c r="H57" s="113" t="s">
        <v>1102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8" si="9">SUM(L57:N57)</f>
        <v>0.38</v>
      </c>
      <c r="R57" s="631">
        <f t="shared" si="8"/>
        <v>0.17683462777941716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540</v>
      </c>
      <c r="D58" s="113" t="s">
        <v>592</v>
      </c>
      <c r="E58" s="113" t="s">
        <v>1372</v>
      </c>
      <c r="F58" s="113" t="s">
        <v>707</v>
      </c>
      <c r="G58" s="113" t="s">
        <v>1101</v>
      </c>
      <c r="H58" s="113" t="s">
        <v>593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8.2531739996714287E-2</v>
      </c>
      <c r="AC58" s="555" t="str">
        <f t="shared" si="10"/>
        <v>IISDRIEAF-NCIISGAS</v>
      </c>
    </row>
    <row r="59" spans="1:29" ht="15" x14ac:dyDescent="0.25">
      <c r="A59" s="560"/>
      <c r="B59" s="113" t="s">
        <v>540</v>
      </c>
      <c r="D59" s="113" t="s">
        <v>592</v>
      </c>
      <c r="E59" s="113" t="s">
        <v>1372</v>
      </c>
      <c r="F59" s="113" t="s">
        <v>707</v>
      </c>
      <c r="G59" s="113" t="s">
        <v>1101</v>
      </c>
      <c r="H59" s="113" t="s">
        <v>594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8.3357057396681436E-2</v>
      </c>
      <c r="AC59" s="555" t="str">
        <f t="shared" si="10"/>
        <v>IISDRIEAF-NCIISGAS</v>
      </c>
    </row>
    <row r="60" spans="1:29" ht="15" x14ac:dyDescent="0.25">
      <c r="A60" s="560"/>
      <c r="B60" s="113" t="s">
        <v>540</v>
      </c>
      <c r="D60" s="113" t="s">
        <v>1337</v>
      </c>
      <c r="E60" s="113" t="s">
        <v>1372</v>
      </c>
      <c r="F60" s="113" t="s">
        <v>707</v>
      </c>
      <c r="G60" s="113" t="s">
        <v>1101</v>
      </c>
      <c r="H60" s="113" t="s">
        <v>593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540</v>
      </c>
      <c r="C61" s="557"/>
      <c r="D61" s="449" t="s">
        <v>1337</v>
      </c>
      <c r="E61" s="449" t="s">
        <v>1372</v>
      </c>
      <c r="F61" s="449" t="s">
        <v>707</v>
      </c>
      <c r="G61" s="449" t="s">
        <v>1101</v>
      </c>
      <c r="H61" s="449" t="s">
        <v>594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541</v>
      </c>
      <c r="D62" s="113" t="s">
        <v>39</v>
      </c>
      <c r="E62" s="113" t="s">
        <v>1376</v>
      </c>
      <c r="F62" s="113" t="s">
        <v>707</v>
      </c>
      <c r="G62" s="113" t="s">
        <v>1101</v>
      </c>
      <c r="H62" s="113" t="s">
        <v>1102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541</v>
      </c>
      <c r="D63" s="113" t="s">
        <v>592</v>
      </c>
      <c r="E63" s="113" t="s">
        <v>1376</v>
      </c>
      <c r="F63" s="113" t="s">
        <v>707</v>
      </c>
      <c r="G63" s="113" t="s">
        <v>1101</v>
      </c>
      <c r="H63" s="113" t="s">
        <v>1102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541</v>
      </c>
      <c r="C64" s="557"/>
      <c r="D64" s="449" t="s">
        <v>1337</v>
      </c>
      <c r="E64" s="449" t="s">
        <v>1376</v>
      </c>
      <c r="F64" s="449" t="s">
        <v>707</v>
      </c>
      <c r="G64" s="449" t="s">
        <v>1101</v>
      </c>
      <c r="H64" s="449" t="s">
        <v>1102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179</v>
      </c>
      <c r="D65" s="113" t="s">
        <v>1348</v>
      </c>
      <c r="E65" s="113" t="s">
        <v>1368</v>
      </c>
      <c r="F65" s="113" t="s">
        <v>707</v>
      </c>
      <c r="G65" s="113" t="s">
        <v>1101</v>
      </c>
      <c r="H65" s="113" t="s">
        <v>1102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179</v>
      </c>
      <c r="D66" s="113" t="s">
        <v>40</v>
      </c>
      <c r="E66" s="113" t="s">
        <v>1368</v>
      </c>
      <c r="F66" s="113" t="s">
        <v>707</v>
      </c>
      <c r="G66" s="113" t="s">
        <v>1101</v>
      </c>
      <c r="H66" s="113" t="s">
        <v>1102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179</v>
      </c>
      <c r="D67" s="113" t="s">
        <v>39</v>
      </c>
      <c r="E67" s="113" t="s">
        <v>1368</v>
      </c>
      <c r="F67" s="113" t="s">
        <v>707</v>
      </c>
      <c r="G67" s="113" t="s">
        <v>1101</v>
      </c>
      <c r="H67" s="113" t="s">
        <v>1102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179</v>
      </c>
      <c r="D68" s="113" t="s">
        <v>592</v>
      </c>
      <c r="E68" s="113" t="s">
        <v>1368</v>
      </c>
      <c r="F68" s="113" t="s">
        <v>707</v>
      </c>
      <c r="G68" s="113" t="s">
        <v>1101</v>
      </c>
      <c r="H68" s="113" t="s">
        <v>1102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179</v>
      </c>
      <c r="C69" s="557"/>
      <c r="D69" s="449" t="s">
        <v>1337</v>
      </c>
      <c r="E69" s="449" t="s">
        <v>1368</v>
      </c>
      <c r="F69" s="449" t="s">
        <v>707</v>
      </c>
      <c r="G69" s="449" t="s">
        <v>1101</v>
      </c>
      <c r="H69" s="449" t="s">
        <v>1102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181</v>
      </c>
      <c r="D70" s="113" t="s">
        <v>40</v>
      </c>
      <c r="E70" s="113" t="s">
        <v>1360</v>
      </c>
      <c r="F70" s="113" t="s">
        <v>707</v>
      </c>
      <c r="G70" s="113" t="s">
        <v>1101</v>
      </c>
      <c r="H70" s="113" t="s">
        <v>593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181</v>
      </c>
      <c r="D71" s="113" t="s">
        <v>40</v>
      </c>
      <c r="E71" s="113" t="s">
        <v>1360</v>
      </c>
      <c r="F71" s="113" t="s">
        <v>707</v>
      </c>
      <c r="G71" s="113" t="s">
        <v>1101</v>
      </c>
      <c r="H71" s="113" t="s">
        <v>594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181</v>
      </c>
      <c r="D72" s="113" t="s">
        <v>39</v>
      </c>
      <c r="E72" s="113" t="s">
        <v>1360</v>
      </c>
      <c r="F72" s="113" t="s">
        <v>707</v>
      </c>
      <c r="G72" s="113" t="s">
        <v>1101</v>
      </c>
      <c r="H72" s="113" t="s">
        <v>1102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181</v>
      </c>
      <c r="D73" s="113" t="s">
        <v>592</v>
      </c>
      <c r="E73" s="113" t="s">
        <v>1360</v>
      </c>
      <c r="F73" s="113" t="s">
        <v>707</v>
      </c>
      <c r="G73" s="113" t="s">
        <v>1101</v>
      </c>
      <c r="H73" s="113" t="s">
        <v>593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181</v>
      </c>
      <c r="D74" s="113" t="s">
        <v>592</v>
      </c>
      <c r="E74" s="113" t="s">
        <v>1360</v>
      </c>
      <c r="F74" s="113" t="s">
        <v>707</v>
      </c>
      <c r="G74" s="113" t="s">
        <v>1101</v>
      </c>
      <c r="H74" s="113" t="s">
        <v>594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181</v>
      </c>
      <c r="D75" s="113" t="s">
        <v>1337</v>
      </c>
      <c r="E75" s="113" t="s">
        <v>1360</v>
      </c>
      <c r="F75" s="113" t="s">
        <v>707</v>
      </c>
      <c r="G75" s="113" t="s">
        <v>1101</v>
      </c>
      <c r="H75" s="113" t="s">
        <v>593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181</v>
      </c>
      <c r="C76" s="557"/>
      <c r="D76" s="449" t="s">
        <v>1337</v>
      </c>
      <c r="E76" s="449" t="s">
        <v>1360</v>
      </c>
      <c r="F76" s="449" t="s">
        <v>707</v>
      </c>
      <c r="G76" s="449" t="s">
        <v>1101</v>
      </c>
      <c r="H76" s="449" t="s">
        <v>594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542</v>
      </c>
      <c r="D77" s="113" t="s">
        <v>40</v>
      </c>
      <c r="E77" s="113" t="s">
        <v>1356</v>
      </c>
      <c r="F77" s="113" t="s">
        <v>707</v>
      </c>
      <c r="G77" s="113" t="s">
        <v>1101</v>
      </c>
      <c r="H77" s="113" t="s">
        <v>593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542</v>
      </c>
      <c r="D78" s="113" t="s">
        <v>40</v>
      </c>
      <c r="E78" s="113" t="s">
        <v>1356</v>
      </c>
      <c r="F78" s="113" t="s">
        <v>707</v>
      </c>
      <c r="G78" s="113" t="s">
        <v>1101</v>
      </c>
      <c r="H78" s="113" t="s">
        <v>594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542</v>
      </c>
      <c r="D79" s="113" t="s">
        <v>39</v>
      </c>
      <c r="E79" s="113" t="s">
        <v>1356</v>
      </c>
      <c r="F79" s="113" t="s">
        <v>707</v>
      </c>
      <c r="G79" s="113" t="s">
        <v>1101</v>
      </c>
      <c r="H79" s="113" t="s">
        <v>1102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542</v>
      </c>
      <c r="D80" s="113" t="s">
        <v>592</v>
      </c>
      <c r="E80" s="113" t="s">
        <v>1356</v>
      </c>
      <c r="F80" s="113" t="s">
        <v>707</v>
      </c>
      <c r="G80" s="113" t="s">
        <v>1101</v>
      </c>
      <c r="H80" s="113" t="s">
        <v>593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542</v>
      </c>
      <c r="D81" s="113" t="s">
        <v>592</v>
      </c>
      <c r="E81" s="113" t="s">
        <v>1356</v>
      </c>
      <c r="F81" s="113" t="s">
        <v>707</v>
      </c>
      <c r="G81" s="113" t="s">
        <v>1101</v>
      </c>
      <c r="H81" s="113" t="s">
        <v>594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542</v>
      </c>
      <c r="D82" s="113" t="s">
        <v>1337</v>
      </c>
      <c r="E82" s="113" t="s">
        <v>1356</v>
      </c>
      <c r="F82" s="113" t="s">
        <v>707</v>
      </c>
      <c r="G82" s="113" t="s">
        <v>1101</v>
      </c>
      <c r="H82" s="113" t="s">
        <v>593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542</v>
      </c>
      <c r="D83" s="113" t="s">
        <v>1337</v>
      </c>
      <c r="E83" s="113" t="s">
        <v>1356</v>
      </c>
      <c r="F83" s="113" t="s">
        <v>707</v>
      </c>
      <c r="G83" s="113" t="s">
        <v>1101</v>
      </c>
      <c r="H83" s="113" t="s">
        <v>594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1485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917</v>
      </c>
      <c r="C89" s="113" t="s">
        <v>170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1484</v>
      </c>
    </row>
    <row r="90" spans="1:29" ht="15" x14ac:dyDescent="0.25">
      <c r="A90" s="560"/>
      <c r="B90" s="113" t="s">
        <v>917</v>
      </c>
      <c r="C90" s="113" t="s">
        <v>1306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917</v>
      </c>
      <c r="C91" s="113" t="s">
        <v>1304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917</v>
      </c>
      <c r="C92" s="113" t="s">
        <v>539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917</v>
      </c>
      <c r="C93" s="113" t="s">
        <v>172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917</v>
      </c>
      <c r="C94" s="113" t="s">
        <v>1300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917</v>
      </c>
      <c r="C95" s="113" t="s">
        <v>1298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917</v>
      </c>
      <c r="C96" s="113" t="s">
        <v>1296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917</v>
      </c>
      <c r="C97" s="113" t="s">
        <v>175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917</v>
      </c>
      <c r="C98" s="113" t="s">
        <v>1293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917</v>
      </c>
      <c r="C99" s="113" t="s">
        <v>1291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917</v>
      </c>
      <c r="C100" s="113" t="s">
        <v>540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917</v>
      </c>
      <c r="C101" s="113" t="s">
        <v>541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917</v>
      </c>
      <c r="C102" s="113" t="s">
        <v>179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917</v>
      </c>
      <c r="C103" s="113" t="s">
        <v>1286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917</v>
      </c>
      <c r="C104" s="113" t="s">
        <v>1284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917</v>
      </c>
      <c r="C105" s="113" t="s">
        <v>181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917</v>
      </c>
      <c r="C106" s="113" t="s">
        <v>1281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917</v>
      </c>
      <c r="C107" s="113" t="s">
        <v>1279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917</v>
      </c>
      <c r="C108" s="113" t="s">
        <v>542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917</v>
      </c>
      <c r="C109" s="113" t="s">
        <v>1264</v>
      </c>
      <c r="D109" s="113">
        <v>0</v>
      </c>
      <c r="K109" s="559"/>
      <c r="O109" s="555">
        <f t="shared" si="13"/>
        <v>0</v>
      </c>
      <c r="R109" s="555" t="s">
        <v>1483</v>
      </c>
    </row>
    <row r="110" spans="1:19" x14ac:dyDescent="0.2">
      <c r="A110" s="560"/>
      <c r="K110" s="559"/>
      <c r="R110" s="555">
        <v>15000</v>
      </c>
      <c r="S110" s="555" t="s">
        <v>1482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1088</v>
      </c>
      <c r="C112" s="113" t="s">
        <v>1306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1088</v>
      </c>
      <c r="C113" s="113" t="s">
        <v>1304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1088</v>
      </c>
      <c r="C114" s="113" t="s">
        <v>539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1088</v>
      </c>
      <c r="C115" s="113" t="s">
        <v>1300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1088</v>
      </c>
      <c r="C116" s="113" t="s">
        <v>1298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1088</v>
      </c>
      <c r="C117" s="113" t="s">
        <v>1293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1088</v>
      </c>
      <c r="C118" s="113" t="s">
        <v>1291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1088</v>
      </c>
      <c r="C119" s="113" t="s">
        <v>540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1088</v>
      </c>
      <c r="C120" s="113" t="s">
        <v>541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1088</v>
      </c>
      <c r="C121" s="113" t="s">
        <v>1286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1088</v>
      </c>
      <c r="C122" s="113" t="s">
        <v>1284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1088</v>
      </c>
      <c r="C123" s="113" t="s">
        <v>1281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1088</v>
      </c>
      <c r="C124" s="113" t="s">
        <v>1279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1088</v>
      </c>
      <c r="C125" s="113" t="s">
        <v>542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1088</v>
      </c>
      <c r="C126" s="113" t="s">
        <v>1276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1088</v>
      </c>
      <c r="C127" s="113" t="s">
        <v>1270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1088</v>
      </c>
      <c r="C128" s="113" t="s">
        <v>1268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1088</v>
      </c>
      <c r="C129" s="113" t="s">
        <v>1266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1088</v>
      </c>
      <c r="C130" s="113" t="s">
        <v>1262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1481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906</v>
      </c>
      <c r="C137" s="113" t="s">
        <v>539</v>
      </c>
      <c r="D137" s="113" t="s">
        <v>707</v>
      </c>
      <c r="E137" s="113" t="s">
        <v>1386</v>
      </c>
      <c r="F137" s="113" t="s">
        <v>1388</v>
      </c>
      <c r="G137" s="113" t="s">
        <v>1101</v>
      </c>
      <c r="H137" s="113" t="s">
        <v>707</v>
      </c>
      <c r="I137" s="113">
        <v>0</v>
      </c>
      <c r="J137" s="113">
        <v>19.7</v>
      </c>
      <c r="K137" s="559"/>
    </row>
    <row r="138" spans="1:15" ht="15" x14ac:dyDescent="0.25">
      <c r="B138" s="630" t="s">
        <v>906</v>
      </c>
      <c r="C138" s="113" t="s">
        <v>540</v>
      </c>
      <c r="D138" s="113" t="s">
        <v>707</v>
      </c>
      <c r="E138" s="113" t="s">
        <v>1370</v>
      </c>
      <c r="F138" s="113" t="s">
        <v>1372</v>
      </c>
      <c r="G138" s="113" t="s">
        <v>1101</v>
      </c>
      <c r="H138" s="113" t="s">
        <v>707</v>
      </c>
      <c r="I138" s="113">
        <v>0</v>
      </c>
      <c r="J138" s="113">
        <v>20.3</v>
      </c>
      <c r="K138" s="559"/>
    </row>
    <row r="139" spans="1:15" ht="15" x14ac:dyDescent="0.25">
      <c r="B139" s="630" t="s">
        <v>906</v>
      </c>
      <c r="C139" s="113" t="s">
        <v>541</v>
      </c>
      <c r="D139" s="113" t="s">
        <v>707</v>
      </c>
      <c r="E139" s="113" t="s">
        <v>1374</v>
      </c>
      <c r="F139" s="113" t="s">
        <v>1376</v>
      </c>
      <c r="G139" s="113" t="s">
        <v>1101</v>
      </c>
      <c r="H139" s="113" t="s">
        <v>707</v>
      </c>
      <c r="I139" s="113">
        <v>0</v>
      </c>
      <c r="J139" s="113">
        <v>14.6</v>
      </c>
      <c r="K139" s="559"/>
    </row>
    <row r="140" spans="1:15" ht="15" x14ac:dyDescent="0.25">
      <c r="B140" s="630" t="s">
        <v>906</v>
      </c>
      <c r="C140" s="113" t="s">
        <v>542</v>
      </c>
      <c r="D140" s="113" t="s">
        <v>707</v>
      </c>
      <c r="E140" s="113" t="s">
        <v>1354</v>
      </c>
      <c r="F140" s="113" t="s">
        <v>1356</v>
      </c>
      <c r="G140" s="113" t="s">
        <v>1101</v>
      </c>
      <c r="H140" s="113" t="s">
        <v>707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1480</v>
      </c>
      <c r="D150" s="555">
        <v>-0.3</v>
      </c>
      <c r="E150" s="572" t="s">
        <v>1479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1478</v>
      </c>
      <c r="E155" s="628" t="s">
        <v>1470</v>
      </c>
      <c r="F155" s="627" t="s">
        <v>1477</v>
      </c>
      <c r="G155" s="627" t="s">
        <v>1476</v>
      </c>
      <c r="H155" s="627" t="s">
        <v>1475</v>
      </c>
      <c r="I155" s="627" t="s">
        <v>1474</v>
      </c>
      <c r="J155" s="627" t="s">
        <v>1473</v>
      </c>
      <c r="K155" s="627" t="s">
        <v>1472</v>
      </c>
    </row>
    <row r="156" spans="2:11" ht="15" x14ac:dyDescent="0.2">
      <c r="D156" s="627" t="s">
        <v>1471</v>
      </c>
      <c r="E156" s="628" t="s">
        <v>1470</v>
      </c>
      <c r="F156" s="627" t="s">
        <v>1469</v>
      </c>
      <c r="G156" s="627" t="s">
        <v>1468</v>
      </c>
      <c r="H156" s="627" t="s">
        <v>1467</v>
      </c>
      <c r="I156" s="627" t="s">
        <v>1466</v>
      </c>
      <c r="J156" s="627" t="s">
        <v>1465</v>
      </c>
      <c r="K156" s="627" t="s">
        <v>1464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opLeftCell="A139" workbookViewId="0">
      <selection activeCell="R155" sqref="R155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525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173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504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526</v>
      </c>
      <c r="B11" s="136"/>
      <c r="C11" s="413" t="s">
        <v>763</v>
      </c>
      <c r="M11" s="136" t="s">
        <v>527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173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 t="shared" ref="M13:AB16" si="4">IF(M$1&lt;$C13,L13,0)</f>
        <v>1.2400000000000002</v>
      </c>
      <c r="N13">
        <f t="shared" si="4"/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 t="shared" si="4"/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 t="shared" si="4"/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 t="shared" si="4"/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770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529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173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530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530</v>
      </c>
      <c r="B29" s="136" t="s">
        <v>532</v>
      </c>
      <c r="C29" t="s">
        <v>534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533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538</v>
      </c>
    </row>
    <row r="35" spans="1:5" x14ac:dyDescent="0.25">
      <c r="C35" t="s">
        <v>536</v>
      </c>
      <c r="E35" t="s">
        <v>771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173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588</v>
      </c>
    </row>
    <row r="44" spans="1:5" x14ac:dyDescent="0.25">
      <c r="B44" t="s">
        <v>170</v>
      </c>
      <c r="C44">
        <f>C36</f>
        <v>2.81</v>
      </c>
    </row>
    <row r="45" spans="1:5" x14ac:dyDescent="0.25">
      <c r="B45" t="s">
        <v>539</v>
      </c>
      <c r="C45">
        <f>C44</f>
        <v>2.81</v>
      </c>
    </row>
    <row r="46" spans="1:5" x14ac:dyDescent="0.25">
      <c r="B46" t="s">
        <v>172</v>
      </c>
      <c r="C46" s="355">
        <f>C37</f>
        <v>2.1267142857142858</v>
      </c>
    </row>
    <row r="47" spans="1:5" x14ac:dyDescent="0.25">
      <c r="B47" t="s">
        <v>175</v>
      </c>
      <c r="C47" s="355">
        <f>C38</f>
        <v>1.605</v>
      </c>
    </row>
    <row r="48" spans="1:5" x14ac:dyDescent="0.25">
      <c r="B48" t="s">
        <v>540</v>
      </c>
      <c r="C48" s="355">
        <f>C47</f>
        <v>1.605</v>
      </c>
    </row>
    <row r="49" spans="1:15" x14ac:dyDescent="0.25">
      <c r="B49" t="s">
        <v>541</v>
      </c>
      <c r="C49" s="355">
        <f>C48</f>
        <v>1.605</v>
      </c>
    </row>
    <row r="50" spans="1:15" x14ac:dyDescent="0.25">
      <c r="B50" t="s">
        <v>179</v>
      </c>
      <c r="C50">
        <f>C39</f>
        <v>1.54</v>
      </c>
    </row>
    <row r="51" spans="1:15" x14ac:dyDescent="0.25">
      <c r="B51" t="s">
        <v>181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542</v>
      </c>
      <c r="C52">
        <f>C51</f>
        <v>0.08</v>
      </c>
    </row>
    <row r="55" spans="1:15" x14ac:dyDescent="0.25">
      <c r="A55" s="136" t="s">
        <v>589</v>
      </c>
    </row>
    <row r="57" spans="1:15" x14ac:dyDescent="0.25">
      <c r="B57" t="s">
        <v>170</v>
      </c>
      <c r="C57" s="355">
        <f>'Energy Intensity'!L99</f>
        <v>16.42657042314022</v>
      </c>
    </row>
    <row r="58" spans="1:15" x14ac:dyDescent="0.25">
      <c r="B58" t="s">
        <v>539</v>
      </c>
      <c r="C58" s="355">
        <f>C57</f>
        <v>16.42657042314022</v>
      </c>
    </row>
    <row r="59" spans="1:15" x14ac:dyDescent="0.25">
      <c r="B59" t="s">
        <v>172</v>
      </c>
      <c r="C59" s="355">
        <f>'Energy Intensity'!L102</f>
        <v>22.151676172353415</v>
      </c>
    </row>
    <row r="60" spans="1:15" x14ac:dyDescent="0.25">
      <c r="B60" t="s">
        <v>175</v>
      </c>
      <c r="C60" s="355">
        <f>'Energy Intensity'!L100</f>
        <v>27.743824076135091</v>
      </c>
    </row>
    <row r="61" spans="1:15" x14ac:dyDescent="0.25">
      <c r="B61" t="s">
        <v>540</v>
      </c>
      <c r="C61" s="355">
        <f>C60</f>
        <v>27.743824076135091</v>
      </c>
    </row>
    <row r="62" spans="1:15" x14ac:dyDescent="0.25">
      <c r="B62" t="s">
        <v>541</v>
      </c>
      <c r="C62" s="355"/>
    </row>
    <row r="63" spans="1:15" x14ac:dyDescent="0.25">
      <c r="B63" t="s">
        <v>179</v>
      </c>
      <c r="C63" s="355">
        <f>'Energy Intensity'!L103</f>
        <v>44.655000000000001</v>
      </c>
    </row>
    <row r="64" spans="1:15" x14ac:dyDescent="0.25">
      <c r="B64" t="s">
        <v>181</v>
      </c>
      <c r="C64" s="355">
        <f>'Energy Intensity'!L101</f>
        <v>5.4887322803632257</v>
      </c>
    </row>
    <row r="65" spans="1:10" x14ac:dyDescent="0.25">
      <c r="B65" t="s">
        <v>542</v>
      </c>
      <c r="C65" s="355">
        <f>C64</f>
        <v>5.4887322803632257</v>
      </c>
    </row>
    <row r="69" spans="1:10" x14ac:dyDescent="0.25">
      <c r="A69" s="136" t="s">
        <v>590</v>
      </c>
    </row>
    <row r="70" spans="1:10" x14ac:dyDescent="0.25">
      <c r="D70" t="s">
        <v>40</v>
      </c>
      <c r="E70" t="s">
        <v>39</v>
      </c>
      <c r="F70" t="s">
        <v>43</v>
      </c>
      <c r="H70" t="s">
        <v>595</v>
      </c>
      <c r="I70" t="s">
        <v>592</v>
      </c>
    </row>
    <row r="71" spans="1:10" x14ac:dyDescent="0.25">
      <c r="D71" t="s">
        <v>454</v>
      </c>
      <c r="E71" t="s">
        <v>14</v>
      </c>
      <c r="F71" t="s">
        <v>11</v>
      </c>
      <c r="G71" t="s">
        <v>455</v>
      </c>
      <c r="H71" t="s">
        <v>154</v>
      </c>
      <c r="I71" t="s">
        <v>456</v>
      </c>
      <c r="J71" t="s">
        <v>325</v>
      </c>
    </row>
    <row r="72" spans="1:10" x14ac:dyDescent="0.25">
      <c r="B72" t="s">
        <v>170</v>
      </c>
      <c r="C72" t="str">
        <f>'Energy Intensity'!D118</f>
        <v>BF-BOF</v>
      </c>
      <c r="D72" s="412">
        <f>'Energy Intensity'!E118</f>
        <v>0.26361053874824431</v>
      </c>
      <c r="E72" s="412">
        <f>'Energy Intensity'!F118</f>
        <v>0.12782206880423377</v>
      </c>
      <c r="F72" s="412">
        <f>'Energy Intensity'!G118</f>
        <v>0.54033090194192068</v>
      </c>
      <c r="G72" s="412">
        <f>'Energy Intensity'!H118</f>
        <v>0</v>
      </c>
      <c r="H72" s="412">
        <f>'Energy Intensity'!I118</f>
        <v>3.6181323290069074E-2</v>
      </c>
      <c r="I72" s="412">
        <f>'Energy Intensity'!J118</f>
        <v>3.2055167215532178E-2</v>
      </c>
      <c r="J72" s="412">
        <f>'Energy Intensity'!K118</f>
        <v>0</v>
      </c>
    </row>
    <row r="73" spans="1:10" x14ac:dyDescent="0.25">
      <c r="B73" t="s">
        <v>175</v>
      </c>
      <c r="C73" t="str">
        <f>'Energy Intensity'!D119</f>
        <v>DR-EAF</v>
      </c>
      <c r="D73" s="412">
        <f>'Energy Intensity'!E119</f>
        <v>0.74238447012267461</v>
      </c>
      <c r="E73" s="412">
        <f>'Energy Intensity'!F119</f>
        <v>0.17508378988061105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8.2531739996714287E-2</v>
      </c>
      <c r="J73" s="412">
        <f>'Energy Intensity'!K119</f>
        <v>0</v>
      </c>
    </row>
    <row r="74" spans="1:10" x14ac:dyDescent="0.25">
      <c r="B74" t="s">
        <v>181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172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179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593</v>
      </c>
      <c r="E81" t="s">
        <v>594</v>
      </c>
    </row>
    <row r="82" spans="2:5" x14ac:dyDescent="0.25">
      <c r="B82" t="s">
        <v>170</v>
      </c>
      <c r="C82" s="113" t="s">
        <v>40</v>
      </c>
      <c r="D82" s="357">
        <f>INDEX($D$72:$J$76,MATCH(B82,$B$72:$B$76,0),MATCH($C82,$D$70:$J$70,0))</f>
        <v>0.26361053874824431</v>
      </c>
      <c r="E82" s="357">
        <f>D82*101%</f>
        <v>0.26624664413572674</v>
      </c>
    </row>
    <row r="83" spans="2:5" x14ac:dyDescent="0.25">
      <c r="B83" t="s">
        <v>175</v>
      </c>
      <c r="C83" s="113" t="s">
        <v>40</v>
      </c>
      <c r="D83" s="357">
        <f t="shared" ref="D83:D106" si="11">INDEX($D$72:$J$76,MATCH(B83,$B$72:$B$76,0),MATCH($C83,$D$70:$J$70,0))</f>
        <v>0.74238447012267461</v>
      </c>
      <c r="E83" s="357">
        <f t="shared" ref="E83:E106" si="12">D83*101%</f>
        <v>0.74980831482390131</v>
      </c>
    </row>
    <row r="84" spans="2:5" x14ac:dyDescent="0.25">
      <c r="B84" t="s">
        <v>181</v>
      </c>
      <c r="C84" s="113" t="s">
        <v>40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172</v>
      </c>
      <c r="C85" s="113" t="s">
        <v>40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179</v>
      </c>
      <c r="C86" s="113" t="s">
        <v>40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170</v>
      </c>
      <c r="C87" s="113" t="s">
        <v>39</v>
      </c>
      <c r="D87" s="357">
        <f t="shared" si="11"/>
        <v>0.12782206880423377</v>
      </c>
      <c r="E87" s="357">
        <f>D87*101%</f>
        <v>0.12910028949227612</v>
      </c>
    </row>
    <row r="88" spans="2:5" x14ac:dyDescent="0.25">
      <c r="B88" t="s">
        <v>175</v>
      </c>
      <c r="C88" s="113" t="s">
        <v>39</v>
      </c>
      <c r="D88" s="357">
        <f t="shared" si="11"/>
        <v>0.17508378988061105</v>
      </c>
      <c r="E88" s="357">
        <f t="shared" si="12"/>
        <v>0.17683462777941716</v>
      </c>
    </row>
    <row r="89" spans="2:5" x14ac:dyDescent="0.25">
      <c r="B89" t="s">
        <v>181</v>
      </c>
      <c r="C89" s="113" t="s">
        <v>39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172</v>
      </c>
      <c r="C90" s="113" t="s">
        <v>39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179</v>
      </c>
      <c r="C91" s="113" t="s">
        <v>39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170</v>
      </c>
      <c r="C92" s="113" t="s">
        <v>43</v>
      </c>
      <c r="D92" s="357">
        <f t="shared" si="11"/>
        <v>0.54033090194192068</v>
      </c>
      <c r="E92" s="357">
        <f t="shared" si="12"/>
        <v>0.54573421096133989</v>
      </c>
    </row>
    <row r="93" spans="2:5" x14ac:dyDescent="0.25">
      <c r="B93" t="s">
        <v>175</v>
      </c>
      <c r="C93" s="113" t="s">
        <v>43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181</v>
      </c>
      <c r="C94" s="113" t="s">
        <v>43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172</v>
      </c>
      <c r="C95" s="113" t="s">
        <v>43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179</v>
      </c>
      <c r="C96" s="113" t="s">
        <v>43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170</v>
      </c>
      <c r="C97" t="s">
        <v>595</v>
      </c>
      <c r="D97" s="357">
        <f t="shared" si="11"/>
        <v>3.6181323290069074E-2</v>
      </c>
      <c r="E97" s="357">
        <f t="shared" si="12"/>
        <v>3.6543136522969769E-2</v>
      </c>
    </row>
    <row r="98" spans="1:8" x14ac:dyDescent="0.25">
      <c r="B98" t="s">
        <v>175</v>
      </c>
      <c r="C98" t="s">
        <v>595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181</v>
      </c>
      <c r="C99" t="s">
        <v>595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172</v>
      </c>
      <c r="C100" t="s">
        <v>595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179</v>
      </c>
      <c r="C101" t="s">
        <v>595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170</v>
      </c>
      <c r="C102" s="113" t="s">
        <v>592</v>
      </c>
      <c r="D102" s="357">
        <f t="shared" si="11"/>
        <v>3.2055167215532178E-2</v>
      </c>
      <c r="E102" s="357">
        <f t="shared" si="12"/>
        <v>3.2375718887687498E-2</v>
      </c>
    </row>
    <row r="103" spans="1:8" x14ac:dyDescent="0.25">
      <c r="B103" t="s">
        <v>175</v>
      </c>
      <c r="C103" s="113" t="s">
        <v>592</v>
      </c>
      <c r="D103" s="357">
        <f t="shared" si="11"/>
        <v>8.2531739996714287E-2</v>
      </c>
      <c r="E103" s="357">
        <f t="shared" si="12"/>
        <v>8.3357057396681436E-2</v>
      </c>
    </row>
    <row r="104" spans="1:8" x14ac:dyDescent="0.25">
      <c r="B104" t="s">
        <v>181</v>
      </c>
      <c r="C104" s="113" t="s">
        <v>592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172</v>
      </c>
      <c r="C105" s="113" t="s">
        <v>592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179</v>
      </c>
      <c r="C106" s="113" t="s">
        <v>592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742</v>
      </c>
    </row>
    <row r="111" spans="1:8" x14ac:dyDescent="0.25">
      <c r="C111" s="136" t="s">
        <v>744</v>
      </c>
    </row>
    <row r="112" spans="1:8" x14ac:dyDescent="0.25">
      <c r="A112" t="s">
        <v>743</v>
      </c>
      <c r="B112" t="s">
        <v>170</v>
      </c>
      <c r="C112" s="488">
        <f>'TNapp - Opex sheet'!C122*G112</f>
        <v>2915.8170285641577</v>
      </c>
      <c r="G112">
        <v>1.3</v>
      </c>
      <c r="H112" t="s">
        <v>1252</v>
      </c>
    </row>
    <row r="113" spans="1:5" x14ac:dyDescent="0.25">
      <c r="B113" t="s">
        <v>539</v>
      </c>
      <c r="C113" s="488">
        <f>C112</f>
        <v>2915.8170285641577</v>
      </c>
    </row>
    <row r="114" spans="1:5" x14ac:dyDescent="0.25">
      <c r="B114" t="s">
        <v>175</v>
      </c>
      <c r="C114" s="488">
        <f>'TNapp - Opex sheet'!D123*G112</f>
        <v>3179.6250364582365</v>
      </c>
    </row>
    <row r="115" spans="1:5" x14ac:dyDescent="0.25">
      <c r="B115" t="s">
        <v>540</v>
      </c>
      <c r="C115" s="488">
        <f>C114</f>
        <v>3179.6250364582365</v>
      </c>
    </row>
    <row r="116" spans="1:5" x14ac:dyDescent="0.25">
      <c r="B116" s="611" t="s">
        <v>542</v>
      </c>
      <c r="C116" s="613">
        <f>'TNapp - Opex sheet'!E122*G112</f>
        <v>4353.2059835000982</v>
      </c>
    </row>
    <row r="117" spans="1:5" x14ac:dyDescent="0.25">
      <c r="B117" s="611" t="s">
        <v>172</v>
      </c>
      <c r="C117" s="613">
        <f>'TNapp - Opex sheet'!F122*G112</f>
        <v>2764.6499224930358</v>
      </c>
    </row>
    <row r="118" spans="1:5" x14ac:dyDescent="0.25">
      <c r="A118" t="s">
        <v>777</v>
      </c>
    </row>
    <row r="119" spans="1:5" x14ac:dyDescent="0.25">
      <c r="B119" t="s">
        <v>539</v>
      </c>
      <c r="C119" s="598">
        <f>'TNapp - Capex sheet'!C74*$G$112</f>
        <v>2939.453542317674</v>
      </c>
    </row>
    <row r="120" spans="1:5" x14ac:dyDescent="0.25">
      <c r="B120" t="s">
        <v>540</v>
      </c>
      <c r="C120" s="598">
        <f>'TNapp - Capex sheet'!C75*$G$112</f>
        <v>2930.111097751032</v>
      </c>
    </row>
    <row r="121" spans="1:5" x14ac:dyDescent="0.25">
      <c r="B121" s="611" t="s">
        <v>541</v>
      </c>
      <c r="C121" s="598">
        <f>'TNapp - Capex sheet'!C73*$G$112</f>
        <v>2441.7592481258603</v>
      </c>
    </row>
    <row r="122" spans="1:5" x14ac:dyDescent="0.25">
      <c r="B122" s="611" t="s">
        <v>542</v>
      </c>
      <c r="C122" s="598">
        <f>'TNapp - Capex sheet'!C72*$G$112</f>
        <v>1799.4696669090256</v>
      </c>
    </row>
    <row r="124" spans="1:5" x14ac:dyDescent="0.25">
      <c r="A124" s="136" t="s">
        <v>745</v>
      </c>
    </row>
    <row r="125" spans="1:5" x14ac:dyDescent="0.25">
      <c r="B125" t="s">
        <v>0</v>
      </c>
      <c r="C125">
        <v>20</v>
      </c>
      <c r="D125" t="s">
        <v>747</v>
      </c>
      <c r="E125" t="s">
        <v>746</v>
      </c>
    </row>
    <row r="126" spans="1:5" x14ac:dyDescent="0.25">
      <c r="C126">
        <v>15</v>
      </c>
      <c r="D126" t="s">
        <v>749</v>
      </c>
      <c r="E126" t="s">
        <v>748</v>
      </c>
    </row>
    <row r="127" spans="1:5" x14ac:dyDescent="0.25">
      <c r="C127" s="489" t="s">
        <v>758</v>
      </c>
      <c r="D127" t="s">
        <v>759</v>
      </c>
      <c r="E127" t="s">
        <v>760</v>
      </c>
    </row>
    <row r="129" spans="1:13" x14ac:dyDescent="0.25">
      <c r="C129" s="385">
        <f>C125</f>
        <v>20</v>
      </c>
      <c r="D129" s="385" t="s">
        <v>761</v>
      </c>
      <c r="E129" s="385" t="s">
        <v>762</v>
      </c>
    </row>
    <row r="131" spans="1:13" x14ac:dyDescent="0.25">
      <c r="C131">
        <v>2007</v>
      </c>
      <c r="D131" t="s">
        <v>764</v>
      </c>
    </row>
    <row r="132" spans="1:13" x14ac:dyDescent="0.25">
      <c r="C132">
        <v>2014</v>
      </c>
      <c r="D132" t="s">
        <v>766</v>
      </c>
    </row>
    <row r="133" spans="1:13" x14ac:dyDescent="0.25">
      <c r="C133" s="136">
        <f>C129+C132</f>
        <v>2034</v>
      </c>
      <c r="D133" s="136" t="s">
        <v>765</v>
      </c>
      <c r="E133" s="136"/>
    </row>
    <row r="135" spans="1:13" x14ac:dyDescent="0.25">
      <c r="B135" t="s">
        <v>1</v>
      </c>
      <c r="C135">
        <v>20</v>
      </c>
      <c r="D135" t="s">
        <v>768</v>
      </c>
      <c r="E135" t="s">
        <v>767</v>
      </c>
    </row>
    <row r="136" spans="1:13" x14ac:dyDescent="0.25">
      <c r="C136" s="136">
        <v>2030</v>
      </c>
      <c r="D136" s="136" t="s">
        <v>769</v>
      </c>
      <c r="E136" s="136"/>
      <c r="F136" s="136"/>
    </row>
    <row r="143" spans="1:13" x14ac:dyDescent="0.25">
      <c r="D143" s="673" t="s">
        <v>1159</v>
      </c>
      <c r="E143" s="673"/>
      <c r="F143" s="673"/>
      <c r="G143" s="673"/>
      <c r="H143" s="673" t="s">
        <v>1160</v>
      </c>
      <c r="I143" s="673"/>
      <c r="J143" s="673"/>
      <c r="K143" s="673"/>
      <c r="L143" s="673"/>
      <c r="M143" s="673"/>
    </row>
    <row r="144" spans="1:13" ht="110.25" x14ac:dyDescent="0.25">
      <c r="A144" s="94"/>
      <c r="B144" s="94"/>
      <c r="C144" s="94" t="s">
        <v>677</v>
      </c>
      <c r="D144" s="592" t="s">
        <v>1161</v>
      </c>
      <c r="E144" s="592" t="s">
        <v>1162</v>
      </c>
      <c r="F144" s="592" t="s">
        <v>1163</v>
      </c>
      <c r="G144" s="592" t="s">
        <v>1178</v>
      </c>
      <c r="H144" s="592" t="s">
        <v>1164</v>
      </c>
      <c r="I144" s="592" t="s">
        <v>1165</v>
      </c>
      <c r="J144" s="592" t="s">
        <v>1166</v>
      </c>
      <c r="K144" s="592" t="s">
        <v>1167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463</v>
      </c>
      <c r="G145" s="592" t="s">
        <v>173</v>
      </c>
      <c r="H145" s="592" t="s">
        <v>1168</v>
      </c>
      <c r="I145" s="592" t="s">
        <v>1169</v>
      </c>
      <c r="J145" s="592" t="s">
        <v>1170</v>
      </c>
      <c r="K145" s="592" t="s">
        <v>1171</v>
      </c>
      <c r="L145" s="593"/>
    </row>
    <row r="146" spans="1:24" x14ac:dyDescent="0.25">
      <c r="A146" s="674" t="s">
        <v>1176</v>
      </c>
      <c r="B146" s="594" t="s">
        <v>1177</v>
      </c>
      <c r="C146" s="594" t="s">
        <v>190</v>
      </c>
      <c r="D146" s="594">
        <f>SUMIFS($L$5:$L$9,$B$5:$B$9,D$145)</f>
        <v>4.9000000000000004</v>
      </c>
      <c r="E146" s="594">
        <f t="shared" ref="E146:G146" si="13">SUMIFS($L$5:$L$9,$B$5:$B$9,E$145)</f>
        <v>1.44</v>
      </c>
      <c r="F146" s="594">
        <f t="shared" si="13"/>
        <v>1.7200000000000002</v>
      </c>
      <c r="G146" s="594">
        <f t="shared" si="13"/>
        <v>1.2400000000000002</v>
      </c>
      <c r="H146" s="594"/>
      <c r="I146" s="594"/>
      <c r="J146" s="594"/>
      <c r="K146" s="594"/>
      <c r="L146" s="595"/>
    </row>
    <row r="147" spans="1:24" x14ac:dyDescent="0.25">
      <c r="A147" s="675"/>
      <c r="B147" s="594" t="s">
        <v>932</v>
      </c>
      <c r="C147" s="596" t="s">
        <v>265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75"/>
      <c r="B148" s="594" t="s">
        <v>1173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75"/>
      <c r="B149" s="594" t="s">
        <v>912</v>
      </c>
      <c r="C149" s="594" t="s">
        <v>1175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75"/>
      <c r="B150" s="594" t="s">
        <v>1174</v>
      </c>
      <c r="C150" s="594" t="s">
        <v>946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76"/>
      <c r="B151" s="594" t="s">
        <v>745</v>
      </c>
      <c r="C151" s="594" t="s">
        <v>747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1179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4" t="s">
        <v>233</v>
      </c>
      <c r="B153" s="594" t="s">
        <v>13</v>
      </c>
      <c r="C153" s="596" t="s">
        <v>149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>D153</f>
        <v>4.3302170790299686</v>
      </c>
      <c r="I153" s="597">
        <f>E153</f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455</v>
      </c>
      <c r="V153" s="150" t="s">
        <v>154</v>
      </c>
      <c r="W153" s="150" t="s">
        <v>201</v>
      </c>
      <c r="X153" s="150" t="s">
        <v>325</v>
      </c>
    </row>
    <row r="154" spans="1:24" x14ac:dyDescent="0.25">
      <c r="A154" s="675"/>
      <c r="B154" s="594" t="s">
        <v>11</v>
      </c>
      <c r="C154" s="596" t="s">
        <v>149</v>
      </c>
      <c r="D154" s="597">
        <f t="shared" ref="D154:D157" si="14"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ref="H154:H157" si="15">D154</f>
        <v>8.8757836125478331</v>
      </c>
      <c r="I154" s="597">
        <f t="shared" ref="I154:I157" si="16">E154</f>
        <v>0</v>
      </c>
      <c r="J154" s="597"/>
      <c r="K154" s="597">
        <f t="shared" ref="K154:K157" si="17"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0.52655646169147485</v>
      </c>
      <c r="X154" s="439">
        <f>'Energy Intensity'!K99</f>
        <v>0</v>
      </c>
    </row>
    <row r="155" spans="1:24" x14ac:dyDescent="0.25">
      <c r="A155" s="675"/>
      <c r="B155" s="20" t="s">
        <v>201</v>
      </c>
      <c r="C155" s="596" t="s">
        <v>149</v>
      </c>
      <c r="D155" s="597">
        <f t="shared" si="14"/>
        <v>0.52655646169147485</v>
      </c>
      <c r="E155" s="597">
        <f>SUMIFS($R$155:$X$155,$R$153:$X$153,$B155)</f>
        <v>2.2897460751661631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5"/>
        <v>0.52655646169147485</v>
      </c>
      <c r="I155" s="597">
        <f t="shared" si="16"/>
        <v>2.2897460751661631</v>
      </c>
      <c r="J155" s="597">
        <v>16</v>
      </c>
      <c r="K155" s="597">
        <f t="shared" si="17"/>
        <v>0.69427752927902087</v>
      </c>
      <c r="L155" s="595"/>
      <c r="Q155" s="131" t="s">
        <v>176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2.2897460751661631</v>
      </c>
      <c r="X155" s="439">
        <f>'Energy Intensity'!K100</f>
        <v>0</v>
      </c>
    </row>
    <row r="156" spans="1:24" x14ac:dyDescent="0.25">
      <c r="A156" s="675"/>
      <c r="B156" s="20" t="s">
        <v>154</v>
      </c>
      <c r="C156" s="596" t="s">
        <v>149</v>
      </c>
      <c r="D156" s="597">
        <f t="shared" si="14"/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5"/>
        <v>0.59433505502672301</v>
      </c>
      <c r="I156" s="597">
        <f t="shared" si="16"/>
        <v>0</v>
      </c>
      <c r="J156" s="597"/>
      <c r="K156" s="597">
        <f t="shared" si="17"/>
        <v>0.70602057094563631</v>
      </c>
      <c r="L156" s="595"/>
      <c r="Q156" s="131" t="s">
        <v>463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75"/>
      <c r="B157" s="594" t="s">
        <v>14</v>
      </c>
      <c r="C157" s="596" t="s">
        <v>149</v>
      </c>
      <c r="D157" s="597">
        <f t="shared" si="14"/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5"/>
        <v>2.0996782148442206</v>
      </c>
      <c r="I157" s="597">
        <f t="shared" si="16"/>
        <v>4.8574938650306745</v>
      </c>
      <c r="J157" s="597">
        <f>E157</f>
        <v>4.8574938650306745</v>
      </c>
      <c r="K157" s="597">
        <f t="shared" si="17"/>
        <v>4.0884341801385684</v>
      </c>
      <c r="L157" s="595"/>
      <c r="Q157" s="131" t="s">
        <v>98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76"/>
      <c r="B158" s="604" t="s">
        <v>1172</v>
      </c>
      <c r="C158" s="605" t="s">
        <v>149</v>
      </c>
      <c r="D158" s="603">
        <f>SUM(D153:D157)</f>
        <v>16.426570423140223</v>
      </c>
      <c r="E158" s="603">
        <f t="shared" ref="E158:G158" si="18">SUM(E153:E157)</f>
        <v>27.743824076135091</v>
      </c>
      <c r="F158" s="603">
        <f t="shared" si="18"/>
        <v>5.4887322803632257</v>
      </c>
      <c r="G158" s="603">
        <f t="shared" si="18"/>
        <v>22.151676172353415</v>
      </c>
      <c r="H158" s="603">
        <f t="shared" ref="H158" si="19">SUM(H153:H157)</f>
        <v>16.426570423140223</v>
      </c>
      <c r="I158" s="603">
        <f t="shared" ref="I158" si="20">SUM(I153:I157)</f>
        <v>27.743824076135091</v>
      </c>
      <c r="J158" s="603">
        <f t="shared" ref="J158" si="21">SUM(J153:J157)</f>
        <v>20.857493865030676</v>
      </c>
      <c r="K158" s="603">
        <f t="shared" ref="K158" si="22">SUM(K153:K157)</f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394</v>
      </c>
      <c r="B160" s="594" t="s">
        <v>1180</v>
      </c>
      <c r="C160" s="594" t="s">
        <v>1181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1255</v>
      </c>
    </row>
    <row r="163" spans="4:20" x14ac:dyDescent="0.25">
      <c r="D163" s="594"/>
      <c r="R163" t="s">
        <v>9</v>
      </c>
    </row>
    <row r="164" spans="4:20" x14ac:dyDescent="0.25">
      <c r="R164" t="s">
        <v>1256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1257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67" zoomScale="70" zoomScaleNormal="70" workbookViewId="0">
      <selection activeCell="Q103" sqref="Q103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457</v>
      </c>
    </row>
    <row r="3" spans="2:24" x14ac:dyDescent="0.25">
      <c r="B3" t="s">
        <v>416</v>
      </c>
      <c r="P3" t="s">
        <v>458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453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454</v>
      </c>
      <c r="R5" s="12" t="s">
        <v>14</v>
      </c>
      <c r="S5" s="12" t="s">
        <v>12</v>
      </c>
      <c r="T5" s="12" t="s">
        <v>455</v>
      </c>
      <c r="U5" s="12" t="s">
        <v>154</v>
      </c>
      <c r="V5" s="12" t="s">
        <v>456</v>
      </c>
      <c r="W5" s="12" t="s">
        <v>325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139</v>
      </c>
      <c r="I6" s="26" t="s">
        <v>10</v>
      </c>
      <c r="J6" s="12"/>
      <c r="K6" s="12"/>
      <c r="L6" s="5"/>
      <c r="P6" s="4" t="s">
        <v>459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140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460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133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454</v>
      </c>
      <c r="R10" s="12" t="s">
        <v>14</v>
      </c>
      <c r="S10" s="12" t="s">
        <v>12</v>
      </c>
      <c r="T10" s="12" t="s">
        <v>455</v>
      </c>
      <c r="U10" s="12" t="s">
        <v>154</v>
      </c>
      <c r="V10" s="12" t="s">
        <v>456</v>
      </c>
      <c r="W10" s="12" t="s">
        <v>325</v>
      </c>
      <c r="X10" s="5" t="s">
        <v>3</v>
      </c>
    </row>
    <row r="11" spans="2:24" ht="15.75" x14ac:dyDescent="0.25">
      <c r="B11" s="370"/>
      <c r="C11" s="28" t="s">
        <v>141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459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461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454</v>
      </c>
      <c r="R15" s="12" t="s">
        <v>14</v>
      </c>
      <c r="S15" s="12" t="s">
        <v>12</v>
      </c>
      <c r="T15" s="12" t="s">
        <v>455</v>
      </c>
      <c r="U15" s="12" t="s">
        <v>154</v>
      </c>
      <c r="V15" s="12" t="s">
        <v>456</v>
      </c>
      <c r="W15" s="12" t="s">
        <v>325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459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98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118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454</v>
      </c>
      <c r="R19" s="12" t="s">
        <v>14</v>
      </c>
      <c r="S19" s="12" t="s">
        <v>12</v>
      </c>
      <c r="T19" s="12" t="s">
        <v>455</v>
      </c>
      <c r="U19" s="12" t="s">
        <v>154</v>
      </c>
      <c r="V19" s="12" t="s">
        <v>456</v>
      </c>
      <c r="W19" s="12" t="s">
        <v>325</v>
      </c>
      <c r="X19" s="5" t="s">
        <v>3</v>
      </c>
    </row>
    <row r="20" spans="2:28" ht="15.75" x14ac:dyDescent="0.25">
      <c r="B20" s="375" t="s">
        <v>125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459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462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133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149</v>
      </c>
      <c r="Q24" s="12"/>
      <c r="R24" s="12"/>
      <c r="S24" s="12"/>
      <c r="T24" s="12"/>
      <c r="U24" s="12"/>
      <c r="V24" s="12"/>
      <c r="W24" s="12"/>
      <c r="X24" s="5"/>
      <c r="Z24" t="s">
        <v>544</v>
      </c>
    </row>
    <row r="25" spans="2:28" ht="15.75" x14ac:dyDescent="0.25">
      <c r="B25" s="376" t="s">
        <v>134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454</v>
      </c>
      <c r="R25" s="150" t="s">
        <v>14</v>
      </c>
      <c r="S25" s="150" t="s">
        <v>12</v>
      </c>
      <c r="T25" s="150" t="s">
        <v>455</v>
      </c>
      <c r="U25" s="150" t="s">
        <v>154</v>
      </c>
      <c r="V25" s="150" t="s">
        <v>456</v>
      </c>
      <c r="W25" s="150" t="s">
        <v>325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176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463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98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173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188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548</v>
      </c>
      <c r="AA33" t="s">
        <v>550</v>
      </c>
    </row>
    <row r="34" spans="2:27" x14ac:dyDescent="0.25">
      <c r="B34" s="4" t="s">
        <v>149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139</v>
      </c>
      <c r="I35" s="423" t="s">
        <v>10</v>
      </c>
      <c r="J35" s="12"/>
      <c r="K35" s="12"/>
      <c r="L35" s="5"/>
      <c r="P35" s="131" t="s">
        <v>176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549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463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98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133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134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454</v>
      </c>
      <c r="D43" s="150" t="s">
        <v>14</v>
      </c>
      <c r="E43" s="150" t="s">
        <v>12</v>
      </c>
      <c r="F43" s="150" t="s">
        <v>455</v>
      </c>
      <c r="G43" s="150" t="s">
        <v>154</v>
      </c>
      <c r="H43" s="150" t="s">
        <v>456</v>
      </c>
      <c r="I43" s="150" t="s">
        <v>325</v>
      </c>
      <c r="J43" s="12"/>
      <c r="K43" s="12"/>
      <c r="L43" s="5"/>
      <c r="P43" s="131" t="s">
        <v>176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463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176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98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463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98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547</v>
      </c>
      <c r="R49" s="425">
        <v>17312</v>
      </c>
      <c r="S49" t="s">
        <v>331</v>
      </c>
    </row>
    <row r="50" spans="2:24" x14ac:dyDescent="0.25">
      <c r="P50" t="s">
        <v>399</v>
      </c>
      <c r="R50" s="426">
        <f>R46*1000</f>
        <v>48384.404638233034</v>
      </c>
    </row>
    <row r="51" spans="2:24" x14ac:dyDescent="0.25">
      <c r="B51" t="s">
        <v>485</v>
      </c>
    </row>
    <row r="52" spans="2:24" x14ac:dyDescent="0.25">
      <c r="B52" s="15"/>
      <c r="C52" s="16" t="s">
        <v>487</v>
      </c>
      <c r="D52" s="16"/>
      <c r="E52" s="16" t="s">
        <v>543</v>
      </c>
      <c r="F52" s="16"/>
      <c r="G52" s="3"/>
      <c r="P52" t="s">
        <v>13</v>
      </c>
      <c r="Q52" t="s">
        <v>554</v>
      </c>
      <c r="R52">
        <f>Coke!L20</f>
        <v>2.91</v>
      </c>
      <c r="S52" t="s">
        <v>190</v>
      </c>
    </row>
    <row r="53" spans="2:24" x14ac:dyDescent="0.25">
      <c r="B53" s="4" t="s">
        <v>486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399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555</v>
      </c>
      <c r="R54">
        <v>2.75</v>
      </c>
    </row>
    <row r="56" spans="2:24" x14ac:dyDescent="0.25">
      <c r="B56" t="s">
        <v>521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518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572</v>
      </c>
    </row>
    <row r="60" spans="2:24" x14ac:dyDescent="0.25">
      <c r="B60" s="4" t="s">
        <v>506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556</v>
      </c>
    </row>
    <row r="61" spans="2:24" x14ac:dyDescent="0.25">
      <c r="B61" s="4" t="s">
        <v>507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454</v>
      </c>
      <c r="R61" s="150" t="s">
        <v>14</v>
      </c>
      <c r="S61" s="150" t="s">
        <v>12</v>
      </c>
      <c r="T61" s="150" t="s">
        <v>455</v>
      </c>
      <c r="U61" s="150" t="s">
        <v>154</v>
      </c>
      <c r="V61" s="150" t="s">
        <v>456</v>
      </c>
      <c r="W61" s="150" t="s">
        <v>325</v>
      </c>
    </row>
    <row r="62" spans="2:24" x14ac:dyDescent="0.25">
      <c r="B62" s="4" t="s">
        <v>508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176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463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545</v>
      </c>
      <c r="E65" s="12" t="s">
        <v>522</v>
      </c>
      <c r="F65" s="12"/>
      <c r="G65" s="5"/>
      <c r="I65" t="s">
        <v>523</v>
      </c>
      <c r="P65" s="131" t="s">
        <v>98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506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507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508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573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47</v>
      </c>
      <c r="S70" s="26"/>
      <c r="T70" s="26" t="s">
        <v>8</v>
      </c>
      <c r="U70" s="26" t="s">
        <v>49</v>
      </c>
      <c r="V70" s="26" t="s">
        <v>10</v>
      </c>
      <c r="W70" s="12"/>
      <c r="X70" s="12"/>
      <c r="Y70" s="5"/>
    </row>
    <row r="71" spans="2:25" ht="15.75" x14ac:dyDescent="0.25">
      <c r="P71" s="376" t="s">
        <v>90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93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P73" s="376" t="s">
        <v>97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176</v>
      </c>
      <c r="E74" s="355">
        <f>AA27</f>
        <v>0.75891891891891894</v>
      </c>
      <c r="P74" s="376" t="s">
        <v>113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463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98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569</v>
      </c>
    </row>
    <row r="79" spans="2:25" x14ac:dyDescent="0.25">
      <c r="E79" t="s">
        <v>556</v>
      </c>
      <c r="P79" t="s">
        <v>557</v>
      </c>
      <c r="R79" s="427" t="s">
        <v>562</v>
      </c>
    </row>
    <row r="80" spans="2:25" x14ac:dyDescent="0.25">
      <c r="E80" s="150" t="s">
        <v>454</v>
      </c>
      <c r="F80" s="150" t="s">
        <v>14</v>
      </c>
      <c r="G80" s="150" t="s">
        <v>12</v>
      </c>
      <c r="H80" s="150" t="s">
        <v>455</v>
      </c>
      <c r="I80" s="150" t="s">
        <v>154</v>
      </c>
      <c r="J80" s="150" t="s">
        <v>456</v>
      </c>
      <c r="K80" s="150" t="s">
        <v>325</v>
      </c>
      <c r="P80" s="15"/>
      <c r="Q80" s="16"/>
      <c r="R80" s="16"/>
      <c r="S80" s="16"/>
      <c r="T80" s="16"/>
      <c r="U80" s="16"/>
      <c r="V80" s="16"/>
      <c r="W80" s="3"/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  <c r="P81" s="4"/>
      <c r="Q81" s="12"/>
      <c r="R81" s="429" t="s">
        <v>558</v>
      </c>
      <c r="S81" s="17" t="s">
        <v>399</v>
      </c>
      <c r="T81" s="17" t="s">
        <v>546</v>
      </c>
      <c r="U81" s="20" t="s">
        <v>3</v>
      </c>
      <c r="V81" s="12"/>
      <c r="W81" s="5"/>
    </row>
    <row r="82" spans="2:23" ht="15.75" x14ac:dyDescent="0.25">
      <c r="D82" s="131" t="s">
        <v>176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  <c r="P82" s="4" t="s">
        <v>14</v>
      </c>
      <c r="Q82" s="12" t="s">
        <v>331</v>
      </c>
      <c r="R82" s="430">
        <v>17312</v>
      </c>
      <c r="S82" s="17">
        <f>F114</f>
        <v>17383.575380289374</v>
      </c>
      <c r="T82" s="17"/>
      <c r="U82" s="431">
        <f>SUM(S82:T82)</f>
        <v>17383.575380289374</v>
      </c>
      <c r="V82" s="18">
        <f>U82/R82-1</f>
        <v>4.1344374011884621E-3</v>
      </c>
      <c r="W82" s="5"/>
    </row>
    <row r="83" spans="2:23" x14ac:dyDescent="0.25">
      <c r="D83" s="131" t="s">
        <v>463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  <c r="P83" s="4"/>
      <c r="Q83" s="12"/>
      <c r="R83" s="429"/>
      <c r="S83" s="17"/>
      <c r="T83" s="17"/>
      <c r="U83" s="431"/>
      <c r="V83" s="12"/>
      <c r="W83" s="5"/>
    </row>
    <row r="84" spans="2:23" x14ac:dyDescent="0.25">
      <c r="D84" s="131" t="s">
        <v>98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  <c r="P84" s="4"/>
      <c r="Q84" s="12"/>
      <c r="R84" s="429" t="s">
        <v>560</v>
      </c>
      <c r="S84" s="17"/>
      <c r="T84" s="17"/>
      <c r="U84" s="431"/>
      <c r="V84" s="12"/>
      <c r="W84" s="5"/>
    </row>
    <row r="85" spans="2:23" x14ac:dyDescent="0.25">
      <c r="P85" s="4" t="s">
        <v>13</v>
      </c>
      <c r="Q85" s="12" t="s">
        <v>190</v>
      </c>
      <c r="R85" s="429">
        <v>2.91</v>
      </c>
      <c r="S85" s="285">
        <f>E114/24000</f>
        <v>1.9997765360520332</v>
      </c>
      <c r="T85" s="17">
        <v>2.75</v>
      </c>
      <c r="U85" s="431">
        <f>SUM(S85:T85)</f>
        <v>4.7497765360520336</v>
      </c>
      <c r="V85" s="18">
        <f>U85/R85-1</f>
        <v>0.63222561376358533</v>
      </c>
      <c r="W85" s="5"/>
    </row>
    <row r="86" spans="2:23" x14ac:dyDescent="0.25">
      <c r="P86" s="4"/>
      <c r="Q86" s="12"/>
      <c r="R86" s="429"/>
      <c r="S86" s="17"/>
      <c r="T86" s="17"/>
      <c r="U86" s="431"/>
      <c r="V86" s="12"/>
      <c r="W86" s="5"/>
    </row>
    <row r="87" spans="2:23" x14ac:dyDescent="0.25">
      <c r="D87" t="s">
        <v>570</v>
      </c>
      <c r="P87" s="4"/>
      <c r="Q87" s="12"/>
      <c r="R87" s="429" t="s">
        <v>561</v>
      </c>
      <c r="S87" s="17"/>
      <c r="T87" s="17"/>
      <c r="U87" s="431"/>
      <c r="V87" s="12"/>
      <c r="W87" s="5"/>
    </row>
    <row r="88" spans="2:23" x14ac:dyDescent="0.25">
      <c r="E88" t="s">
        <v>556</v>
      </c>
      <c r="P88" s="4" t="s">
        <v>571</v>
      </c>
      <c r="Q88" s="12" t="s">
        <v>190</v>
      </c>
      <c r="R88" s="429">
        <v>2.7</v>
      </c>
      <c r="S88" s="285"/>
      <c r="T88" s="17"/>
      <c r="U88" s="431"/>
      <c r="V88" s="18"/>
      <c r="W88" s="5"/>
    </row>
    <row r="89" spans="2:23" x14ac:dyDescent="0.25">
      <c r="E89" s="150" t="s">
        <v>454</v>
      </c>
      <c r="F89" s="150" t="s">
        <v>14</v>
      </c>
      <c r="G89" s="150" t="s">
        <v>12</v>
      </c>
      <c r="H89" s="150" t="s">
        <v>455</v>
      </c>
      <c r="I89" s="150" t="s">
        <v>154</v>
      </c>
      <c r="J89" s="150" t="s">
        <v>456</v>
      </c>
      <c r="K89" s="150" t="s">
        <v>325</v>
      </c>
      <c r="P89" s="4"/>
      <c r="Q89" s="12"/>
      <c r="R89" s="429" t="s">
        <v>567</v>
      </c>
      <c r="S89" s="17"/>
      <c r="T89" s="17"/>
      <c r="U89" s="19"/>
      <c r="V89" s="12"/>
      <c r="W89" s="5"/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  <c r="P90" s="4" t="s">
        <v>563</v>
      </c>
      <c r="Q90" s="12" t="s">
        <v>190</v>
      </c>
      <c r="R90" s="289">
        <f>Coke!J51/1000000</f>
        <v>2.0936980769230766</v>
      </c>
      <c r="S90" s="17"/>
      <c r="T90" s="12"/>
      <c r="U90" s="19"/>
      <c r="V90" s="12"/>
      <c r="W90" s="5"/>
    </row>
    <row r="91" spans="2:23" x14ac:dyDescent="0.25">
      <c r="D91" s="131" t="s">
        <v>176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  <c r="P91" s="4"/>
      <c r="Q91" s="12"/>
      <c r="R91" s="289"/>
      <c r="S91" s="17"/>
      <c r="T91" s="12"/>
      <c r="U91" s="19"/>
      <c r="V91" s="12"/>
      <c r="W91" s="5"/>
    </row>
    <row r="92" spans="2:23" x14ac:dyDescent="0.25">
      <c r="D92" s="131" t="s">
        <v>463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  <c r="P92" s="4" t="s">
        <v>568</v>
      </c>
      <c r="Q92" s="12"/>
      <c r="R92" s="289">
        <f>R90</f>
        <v>2.0936980769230766</v>
      </c>
      <c r="S92" s="17">
        <f>G115</f>
        <v>0.99425904516627739</v>
      </c>
      <c r="T92" s="12">
        <v>1.43</v>
      </c>
      <c r="U92" s="431">
        <f>SUM(S92:T92)</f>
        <v>2.4242590451662771</v>
      </c>
      <c r="V92" s="18">
        <f>U92/R92-1</f>
        <v>0.15788378080233834</v>
      </c>
      <c r="W92" s="5"/>
    </row>
    <row r="93" spans="2:23" x14ac:dyDescent="0.25">
      <c r="D93" s="131" t="s">
        <v>98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  <c r="P93" s="4"/>
      <c r="Q93" s="12"/>
      <c r="R93" s="308"/>
      <c r="S93" s="12"/>
      <c r="T93" s="12"/>
      <c r="U93" s="12"/>
      <c r="V93" s="12"/>
      <c r="W93" s="5"/>
    </row>
    <row r="94" spans="2:23" x14ac:dyDescent="0.25">
      <c r="P94" s="7"/>
      <c r="Q94" s="8"/>
      <c r="R94" s="8"/>
      <c r="S94" s="8"/>
      <c r="T94" s="8"/>
      <c r="U94" s="8"/>
      <c r="V94" s="8"/>
      <c r="W94" s="9"/>
    </row>
    <row r="95" spans="2:23" ht="15.75" thickBot="1" x14ac:dyDescent="0.3"/>
    <row r="96" spans="2:23" x14ac:dyDescent="0.25">
      <c r="B96" s="434" t="s">
        <v>578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</row>
    <row r="97" spans="2:13" x14ac:dyDescent="0.25">
      <c r="B97" s="437"/>
      <c r="C97" s="12"/>
      <c r="D97" s="12"/>
      <c r="E97" s="12" t="s">
        <v>556</v>
      </c>
      <c r="F97" s="12"/>
      <c r="G97" s="12"/>
      <c r="H97" s="12"/>
      <c r="I97" s="12"/>
      <c r="J97" s="12"/>
      <c r="K97" s="12"/>
      <c r="L97" s="12"/>
      <c r="M97" s="438"/>
    </row>
    <row r="98" spans="2:13" x14ac:dyDescent="0.25">
      <c r="B98" s="437"/>
      <c r="C98" s="12"/>
      <c r="D98" s="12"/>
      <c r="E98" s="150" t="s">
        <v>454</v>
      </c>
      <c r="F98" s="150" t="s">
        <v>14</v>
      </c>
      <c r="G98" s="150" t="s">
        <v>11</v>
      </c>
      <c r="H98" s="150" t="s">
        <v>455</v>
      </c>
      <c r="I98" s="150" t="s">
        <v>154</v>
      </c>
      <c r="J98" s="150" t="s">
        <v>456</v>
      </c>
      <c r="K98" s="150" t="s">
        <v>325</v>
      </c>
      <c r="L98" s="475" t="s">
        <v>3</v>
      </c>
      <c r="M98" s="438"/>
    </row>
    <row r="99" spans="2:13" x14ac:dyDescent="0.25">
      <c r="B99" s="437" t="s">
        <v>583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 t="shared" si="15"/>
        <v>0.52655646169147485</v>
      </c>
      <c r="K99" s="439"/>
      <c r="L99" s="310">
        <f>SUM(E99:K99)</f>
        <v>16.42657042314022</v>
      </c>
      <c r="M99" s="438"/>
    </row>
    <row r="100" spans="2:13" x14ac:dyDescent="0.25">
      <c r="B100" s="437" t="s">
        <v>583</v>
      </c>
      <c r="C100" s="12"/>
      <c r="D100" s="131" t="s">
        <v>176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 t="shared" si="15"/>
        <v>2.2897460751661631</v>
      </c>
      <c r="K100" s="439"/>
      <c r="L100" s="310">
        <f>SUM(E100:K100)</f>
        <v>27.743824076135091</v>
      </c>
      <c r="M100" s="438"/>
    </row>
    <row r="101" spans="2:13" x14ac:dyDescent="0.25">
      <c r="B101" s="437" t="s">
        <v>402</v>
      </c>
      <c r="C101" s="308">
        <v>0.2</v>
      </c>
      <c r="D101" s="131" t="s">
        <v>463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</row>
    <row r="102" spans="2:13" x14ac:dyDescent="0.25">
      <c r="B102" s="437" t="s">
        <v>586</v>
      </c>
      <c r="C102" s="308">
        <v>0.6</v>
      </c>
      <c r="D102" s="131" t="s">
        <v>98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</row>
    <row r="103" spans="2:1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</row>
    <row r="104" spans="2:1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</row>
    <row r="106" spans="2:13" x14ac:dyDescent="0.25">
      <c r="D106" t="s">
        <v>559</v>
      </c>
      <c r="G106">
        <v>30</v>
      </c>
    </row>
    <row r="107" spans="2:13" x14ac:dyDescent="0.25">
      <c r="E107" s="150" t="s">
        <v>454</v>
      </c>
      <c r="F107" s="150" t="s">
        <v>14</v>
      </c>
      <c r="G107" s="150" t="s">
        <v>12</v>
      </c>
      <c r="H107" s="150" t="s">
        <v>455</v>
      </c>
      <c r="I107" s="150" t="s">
        <v>154</v>
      </c>
      <c r="J107" s="150" t="s">
        <v>456</v>
      </c>
      <c r="K107" s="150" t="s">
        <v>325</v>
      </c>
    </row>
    <row r="108" spans="2:1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1.5970884420774072</v>
      </c>
      <c r="K108" s="357">
        <f t="shared" si="16"/>
        <v>0</v>
      </c>
    </row>
    <row r="109" spans="2:13" x14ac:dyDescent="0.25">
      <c r="D109" s="131" t="s">
        <v>176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1.7377316159639422</v>
      </c>
      <c r="K109" s="357">
        <f t="shared" si="16"/>
        <v>0</v>
      </c>
    </row>
    <row r="110" spans="2:13" x14ac:dyDescent="0.25">
      <c r="D110" s="131" t="s">
        <v>463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 t="shared" si="16"/>
        <v>0.91644633864830771</v>
      </c>
      <c r="K110" s="357">
        <f t="shared" si="16"/>
        <v>0</v>
      </c>
    </row>
    <row r="111" spans="2:13" x14ac:dyDescent="0.25">
      <c r="D111" s="131" t="s">
        <v>98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</row>
    <row r="113" spans="4:19" x14ac:dyDescent="0.25">
      <c r="D113" t="s">
        <v>143</v>
      </c>
      <c r="E113" s="342">
        <f>SUM(E108:E111)</f>
        <v>47.994636865248793</v>
      </c>
      <c r="F113" s="342">
        <f>SUM(F108:F111)</f>
        <v>17.383575380289376</v>
      </c>
      <c r="G113" s="342">
        <f>SUM(G108:G111)</f>
        <v>29.827771354988322</v>
      </c>
    </row>
    <row r="114" spans="4:19" x14ac:dyDescent="0.25">
      <c r="D114" t="s">
        <v>331</v>
      </c>
      <c r="E114" s="342">
        <f>E113*1000</f>
        <v>47994.636865248794</v>
      </c>
      <c r="F114" s="342">
        <f>F113*1000</f>
        <v>17383.575380289374</v>
      </c>
      <c r="G114" s="342">
        <f>G113*1000</f>
        <v>29827.771354988323</v>
      </c>
    </row>
    <row r="115" spans="4:19" x14ac:dyDescent="0.25">
      <c r="G115" s="421">
        <f>G113/G106</f>
        <v>0.99425904516627739</v>
      </c>
      <c r="H115" t="s">
        <v>190</v>
      </c>
      <c r="N115" s="349">
        <f>'AMSA - Saldanha'!B81</f>
        <v>242.57861307692306</v>
      </c>
      <c r="O115" t="s">
        <v>587</v>
      </c>
    </row>
    <row r="116" spans="4:19" x14ac:dyDescent="0.25">
      <c r="E116" t="s">
        <v>591</v>
      </c>
    </row>
    <row r="118" spans="4:19" x14ac:dyDescent="0.25">
      <c r="D118" s="131" t="s">
        <v>7</v>
      </c>
      <c r="E118" s="412">
        <f t="shared" ref="E118:K118" si="17">E99/$L99</f>
        <v>0.26361053874824431</v>
      </c>
      <c r="F118" s="368">
        <f t="shared" si="17"/>
        <v>0.12782206880423377</v>
      </c>
      <c r="G118" s="412">
        <f t="shared" si="17"/>
        <v>0.54033090194192068</v>
      </c>
      <c r="H118" s="412">
        <f t="shared" si="17"/>
        <v>0</v>
      </c>
      <c r="I118" s="412">
        <f t="shared" si="17"/>
        <v>3.6181323290069074E-2</v>
      </c>
      <c r="J118" s="412">
        <f t="shared" si="17"/>
        <v>3.2055167215532178E-2</v>
      </c>
      <c r="K118" s="412">
        <f t="shared" si="17"/>
        <v>0</v>
      </c>
    </row>
    <row r="119" spans="4:19" x14ac:dyDescent="0.25">
      <c r="D119" s="131" t="s">
        <v>176</v>
      </c>
      <c r="E119" s="412">
        <f t="shared" ref="E119:K119" si="18">E100/$L100</f>
        <v>0.74238447012267461</v>
      </c>
      <c r="F119" s="412">
        <f t="shared" si="18"/>
        <v>0.17508378988061105</v>
      </c>
      <c r="G119" s="412">
        <f t="shared" si="18"/>
        <v>0</v>
      </c>
      <c r="H119" s="412">
        <f t="shared" si="18"/>
        <v>0</v>
      </c>
      <c r="I119" s="412">
        <f t="shared" si="18"/>
        <v>0</v>
      </c>
      <c r="J119" s="412">
        <f t="shared" si="18"/>
        <v>8.2531739996714287E-2</v>
      </c>
      <c r="K119" s="412">
        <f t="shared" si="18"/>
        <v>0</v>
      </c>
    </row>
    <row r="120" spans="4:19" x14ac:dyDescent="0.25">
      <c r="D120" s="131" t="s">
        <v>463</v>
      </c>
      <c r="E120" s="412">
        <f t="shared" ref="E120:K120" si="19">E101/$L101</f>
        <v>0</v>
      </c>
      <c r="F120" s="412">
        <f t="shared" si="19"/>
        <v>0.74487768236857965</v>
      </c>
      <c r="G120" s="412">
        <f t="shared" si="19"/>
        <v>0</v>
      </c>
      <c r="H120" s="412">
        <f t="shared" si="19"/>
        <v>0</v>
      </c>
      <c r="I120" s="412">
        <f t="shared" si="19"/>
        <v>0.12863089961074112</v>
      </c>
      <c r="J120" s="412">
        <f t="shared" si="19"/>
        <v>0.12649141802067926</v>
      </c>
      <c r="K120" s="412">
        <f t="shared" si="19"/>
        <v>0</v>
      </c>
    </row>
    <row r="121" spans="4:19" x14ac:dyDescent="0.25">
      <c r="D121" s="131" t="s">
        <v>98</v>
      </c>
      <c r="E121" s="412">
        <f t="shared" ref="E121:K121" si="20">E102/$L102</f>
        <v>0.77646494405992639</v>
      </c>
      <c r="F121" s="412">
        <f t="shared" si="20"/>
        <v>7.8007640891601907E-2</v>
      </c>
      <c r="G121" s="412">
        <f t="shared" si="20"/>
        <v>0.11737260782301213</v>
      </c>
      <c r="H121" s="412">
        <f t="shared" si="20"/>
        <v>0</v>
      </c>
      <c r="I121" s="412">
        <f t="shared" si="20"/>
        <v>9.794992575659793E-3</v>
      </c>
      <c r="J121" s="412">
        <f t="shared" si="20"/>
        <v>1.8359814649799511E-2</v>
      </c>
      <c r="K121" s="412">
        <f t="shared" si="20"/>
        <v>0</v>
      </c>
    </row>
    <row r="122" spans="4:19" x14ac:dyDescent="0.25">
      <c r="D122" s="448" t="s">
        <v>18</v>
      </c>
      <c r="E122" s="412">
        <f t="shared" ref="E122:K122" si="21">E103/$L103</f>
        <v>0.46153846153846151</v>
      </c>
      <c r="F122" s="412">
        <f t="shared" si="21"/>
        <v>0.46153846153846151</v>
      </c>
      <c r="G122" s="412">
        <f t="shared" si="21"/>
        <v>0</v>
      </c>
      <c r="H122" s="412">
        <f t="shared" si="21"/>
        <v>0</v>
      </c>
      <c r="I122" s="412">
        <f t="shared" si="21"/>
        <v>0</v>
      </c>
      <c r="J122" s="412">
        <f t="shared" si="21"/>
        <v>7.6923076923076913E-2</v>
      </c>
      <c r="K122" s="412">
        <f t="shared" si="21"/>
        <v>0</v>
      </c>
    </row>
    <row r="123" spans="4:19" x14ac:dyDescent="0.25">
      <c r="M123" s="427" t="s">
        <v>579</v>
      </c>
    </row>
    <row r="124" spans="4:19" x14ac:dyDescent="0.25">
      <c r="M124" s="445">
        <v>3.26</v>
      </c>
      <c r="N124" s="16" t="s">
        <v>436</v>
      </c>
      <c r="O124" s="446" t="s">
        <v>574</v>
      </c>
      <c r="P124" s="3"/>
    </row>
    <row r="125" spans="4:19" x14ac:dyDescent="0.25">
      <c r="M125" s="4">
        <f>M124*3.6</f>
        <v>11.735999999999999</v>
      </c>
      <c r="N125" s="12" t="s">
        <v>143</v>
      </c>
      <c r="O125" s="12" t="s">
        <v>574</v>
      </c>
      <c r="P125" s="5"/>
    </row>
    <row r="126" spans="4:19" x14ac:dyDescent="0.25">
      <c r="M126" s="447">
        <v>0.28899999999999998</v>
      </c>
      <c r="N126" s="392" t="s">
        <v>290</v>
      </c>
      <c r="O126" s="392" t="s">
        <v>575</v>
      </c>
      <c r="P126" s="5"/>
      <c r="R126" s="443">
        <f>M126/M124</f>
        <v>8.8650306748466259E-2</v>
      </c>
      <c r="S126" t="s">
        <v>584</v>
      </c>
    </row>
    <row r="127" spans="4:19" x14ac:dyDescent="0.25">
      <c r="M127" s="7">
        <f>M126*3.6</f>
        <v>1.0404</v>
      </c>
      <c r="N127" s="8" t="s">
        <v>143</v>
      </c>
      <c r="O127" s="8" t="s">
        <v>575</v>
      </c>
      <c r="P127" s="9"/>
      <c r="R127">
        <f>R126/(SUM(E73:E74)/SUM(E73:E74,E76))</f>
        <v>0.11478718516217547</v>
      </c>
      <c r="S127" t="s">
        <v>585</v>
      </c>
    </row>
    <row r="129" spans="13:15" x14ac:dyDescent="0.25">
      <c r="M129">
        <f>M125+M127</f>
        <v>12.776399999999999</v>
      </c>
      <c r="O129" t="s">
        <v>580</v>
      </c>
    </row>
    <row r="130" spans="13:15" x14ac:dyDescent="0.25">
      <c r="M130">
        <f>M125</f>
        <v>11.735999999999999</v>
      </c>
      <c r="O130" t="s">
        <v>576</v>
      </c>
    </row>
    <row r="131" spans="13:15" x14ac:dyDescent="0.25">
      <c r="M131" s="432">
        <f>F110</f>
        <v>5.3967331177829116</v>
      </c>
      <c r="O131" t="s">
        <v>581</v>
      </c>
    </row>
    <row r="132" spans="13:15" x14ac:dyDescent="0.25">
      <c r="M132" s="355">
        <f>SUM(M130:M131)</f>
        <v>17.132733117782912</v>
      </c>
      <c r="O132" t="s">
        <v>577</v>
      </c>
    </row>
    <row r="133" spans="13:15" x14ac:dyDescent="0.25">
      <c r="M133" s="444">
        <f>R82/1000</f>
        <v>17.312000000000001</v>
      </c>
      <c r="O133" t="s">
        <v>582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A223" zoomScale="85" zoomScaleNormal="85" workbookViewId="0">
      <selection activeCell="M11" sqref="M11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160</v>
      </c>
      <c r="D5" s="107" t="s">
        <v>357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359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358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185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186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162</v>
      </c>
      <c r="C8" s="119" t="s">
        <v>163</v>
      </c>
      <c r="D8" s="119" t="s">
        <v>164</v>
      </c>
      <c r="E8" s="119" t="s">
        <v>165</v>
      </c>
      <c r="F8" s="119" t="s">
        <v>192</v>
      </c>
      <c r="G8" s="12"/>
      <c r="H8" s="12"/>
      <c r="I8" s="110"/>
      <c r="J8" s="12"/>
      <c r="K8" s="12"/>
      <c r="L8" s="12"/>
      <c r="M8" s="274" t="s">
        <v>166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167</v>
      </c>
      <c r="C9" s="120"/>
      <c r="D9" s="120"/>
      <c r="E9" s="120"/>
      <c r="F9" s="12"/>
      <c r="G9" s="679" t="s">
        <v>615</v>
      </c>
      <c r="H9" s="679"/>
      <c r="I9" s="679"/>
      <c r="J9" s="679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168</v>
      </c>
      <c r="C10" s="114" t="s">
        <v>169</v>
      </c>
      <c r="D10" s="114" t="s">
        <v>16</v>
      </c>
      <c r="E10" s="114" t="s">
        <v>24</v>
      </c>
      <c r="F10" s="12" t="s">
        <v>7</v>
      </c>
      <c r="G10" s="394" t="s">
        <v>500</v>
      </c>
      <c r="H10" s="458">
        <f>(110+150)*12/1000</f>
        <v>3.12</v>
      </c>
      <c r="I10" s="461" t="s">
        <v>501</v>
      </c>
      <c r="J10" s="460">
        <f>250*12/1000</f>
        <v>3</v>
      </c>
      <c r="K10" s="110" t="s">
        <v>520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168</v>
      </c>
      <c r="C11" s="114" t="s">
        <v>169</v>
      </c>
      <c r="D11" s="114" t="s">
        <v>171</v>
      </c>
      <c r="E11" s="114" t="s">
        <v>1</v>
      </c>
      <c r="F11" s="12" t="s">
        <v>9</v>
      </c>
      <c r="G11" s="395" t="s">
        <v>524</v>
      </c>
      <c r="H11" s="459">
        <f>(87.5+29.2)*12/1000</f>
        <v>1.4004000000000001</v>
      </c>
      <c r="I11" s="461" t="s">
        <v>502</v>
      </c>
      <c r="J11" s="458">
        <f>120*12/1000</f>
        <v>1.44</v>
      </c>
      <c r="K11" s="110" t="s">
        <v>520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168</v>
      </c>
      <c r="C12" s="114" t="s">
        <v>174</v>
      </c>
      <c r="D12" s="114" t="s">
        <v>16</v>
      </c>
      <c r="E12" s="114" t="s">
        <v>24</v>
      </c>
      <c r="F12" s="12" t="s">
        <v>7</v>
      </c>
      <c r="G12" s="394" t="s">
        <v>503</v>
      </c>
      <c r="I12" s="394" t="s">
        <v>501</v>
      </c>
      <c r="K12" s="110" t="s">
        <v>519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168</v>
      </c>
      <c r="C13" s="114" t="s">
        <v>177</v>
      </c>
      <c r="D13" s="114" t="s">
        <v>178</v>
      </c>
      <c r="E13" s="114" t="s">
        <v>1</v>
      </c>
      <c r="F13" s="12" t="s">
        <v>8</v>
      </c>
      <c r="G13" s="12"/>
      <c r="I13" s="12"/>
      <c r="K13" s="110" t="s">
        <v>519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 t="shared" ref="Q13" si="1">P13</f>
        <v>0.4</v>
      </c>
      <c r="R13" s="110">
        <f t="shared" ref="R13" si="2">Q13</f>
        <v>0.4</v>
      </c>
      <c r="S13" s="110">
        <f t="shared" ref="S13" si="3">R13</f>
        <v>0.4</v>
      </c>
      <c r="T13" s="110">
        <f t="shared" ref="T13" si="4">S13</f>
        <v>0.4</v>
      </c>
      <c r="U13" s="110">
        <f t="shared" ref="U13" si="5">T13</f>
        <v>0.4</v>
      </c>
      <c r="V13" s="110"/>
      <c r="W13" s="110" t="s">
        <v>778</v>
      </c>
      <c r="X13" s="110"/>
      <c r="Y13" s="110"/>
      <c r="Z13" s="14"/>
      <c r="AD13" s="14"/>
    </row>
    <row r="14" spans="1:30" x14ac:dyDescent="0.25">
      <c r="B14" s="123" t="s">
        <v>168</v>
      </c>
      <c r="C14" s="114" t="s">
        <v>180</v>
      </c>
      <c r="D14" s="114" t="s">
        <v>96</v>
      </c>
      <c r="E14" s="114" t="s">
        <v>98</v>
      </c>
      <c r="F14" s="130" t="s">
        <v>173</v>
      </c>
      <c r="G14" s="12"/>
      <c r="I14" s="12"/>
      <c r="K14" s="110" t="s">
        <v>520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168</v>
      </c>
      <c r="C15" s="114" t="s">
        <v>180</v>
      </c>
      <c r="D15" s="114" t="s">
        <v>171</v>
      </c>
      <c r="E15" s="115" t="s">
        <v>98</v>
      </c>
      <c r="F15" s="130" t="s">
        <v>173</v>
      </c>
      <c r="G15" s="12"/>
      <c r="I15" s="12"/>
      <c r="K15" s="110" t="s">
        <v>520</v>
      </c>
      <c r="L15" s="12"/>
      <c r="M15" s="276">
        <v>0.56000000000000005</v>
      </c>
      <c r="N15" s="109">
        <f>M15</f>
        <v>0.56000000000000005</v>
      </c>
      <c r="O15" s="110">
        <f t="shared" ref="O15:U15" si="6">N15</f>
        <v>0.56000000000000005</v>
      </c>
      <c r="P15" s="110">
        <f t="shared" si="6"/>
        <v>0.56000000000000005</v>
      </c>
      <c r="Q15" s="110">
        <f t="shared" si="6"/>
        <v>0.56000000000000005</v>
      </c>
      <c r="R15" s="110">
        <f t="shared" si="6"/>
        <v>0.56000000000000005</v>
      </c>
      <c r="S15" s="110">
        <f t="shared" si="6"/>
        <v>0.56000000000000005</v>
      </c>
      <c r="T15" s="110">
        <f t="shared" si="6"/>
        <v>0.56000000000000005</v>
      </c>
      <c r="U15" s="111">
        <f t="shared" si="6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182</v>
      </c>
      <c r="C16" s="114" t="s">
        <v>183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7">N16</f>
        <v>1</v>
      </c>
      <c r="P16" s="271">
        <f t="shared" si="7"/>
        <v>1</v>
      </c>
      <c r="Q16" s="271">
        <f t="shared" si="7"/>
        <v>1</v>
      </c>
      <c r="R16" s="271">
        <f t="shared" si="7"/>
        <v>1</v>
      </c>
      <c r="S16" s="271">
        <f t="shared" si="7"/>
        <v>1</v>
      </c>
      <c r="T16" s="271">
        <f t="shared" si="7"/>
        <v>1</v>
      </c>
      <c r="U16" s="325">
        <f t="shared" si="7"/>
        <v>1</v>
      </c>
      <c r="V16" s="110"/>
      <c r="W16" s="110" t="s">
        <v>612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184</v>
      </c>
      <c r="C17" s="114"/>
      <c r="D17" s="114" t="s">
        <v>178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8">N17</f>
        <v>1.3200000000000003</v>
      </c>
      <c r="P17" s="271">
        <f t="shared" si="8"/>
        <v>1.3200000000000003</v>
      </c>
      <c r="Q17" s="271">
        <f t="shared" si="8"/>
        <v>1.3200000000000003</v>
      </c>
      <c r="R17" s="271">
        <f t="shared" si="8"/>
        <v>1.3200000000000003</v>
      </c>
      <c r="S17" s="271">
        <f t="shared" si="8"/>
        <v>1.3200000000000003</v>
      </c>
      <c r="T17" s="271">
        <f t="shared" si="8"/>
        <v>1.3200000000000003</v>
      </c>
      <c r="U17" s="325">
        <f t="shared" si="8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188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187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189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9">SUMIFS(O$10:O$17,$F$10:$F$17,$B26)</f>
        <v>4.9000000000000004</v>
      </c>
      <c r="P26" s="143">
        <f t="shared" si="9"/>
        <v>4.9000000000000004</v>
      </c>
      <c r="Q26" s="143">
        <f t="shared" si="9"/>
        <v>4.9000000000000004</v>
      </c>
      <c r="R26" s="143">
        <f t="shared" si="9"/>
        <v>4.9000000000000004</v>
      </c>
      <c r="S26" s="143">
        <f t="shared" si="9"/>
        <v>4.9000000000000004</v>
      </c>
      <c r="T26" s="143">
        <f t="shared" si="9"/>
        <v>4.9000000000000004</v>
      </c>
      <c r="U26" s="326">
        <f t="shared" si="9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173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10">SUMIFS(M$10:M$17,$F$10:$F$17,$B27)</f>
        <v>1.2400000000000002</v>
      </c>
      <c r="N27" s="143">
        <f t="shared" si="10"/>
        <v>1.2400000000000002</v>
      </c>
      <c r="O27" s="143">
        <f t="shared" si="10"/>
        <v>1.2400000000000002</v>
      </c>
      <c r="P27" s="143">
        <f t="shared" si="10"/>
        <v>1.2400000000000002</v>
      </c>
      <c r="Q27" s="143">
        <f t="shared" si="10"/>
        <v>1.2400000000000002</v>
      </c>
      <c r="R27" s="143">
        <f t="shared" si="10"/>
        <v>1.2400000000000002</v>
      </c>
      <c r="S27" s="143">
        <f t="shared" si="10"/>
        <v>1.2400000000000002</v>
      </c>
      <c r="T27" s="143">
        <f t="shared" si="10"/>
        <v>1.2400000000000002</v>
      </c>
      <c r="U27" s="326">
        <f t="shared" si="10"/>
        <v>1.2400000000000002</v>
      </c>
      <c r="V27" s="110"/>
      <c r="W27" s="14"/>
      <c r="X27" s="492" t="s">
        <v>173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10"/>
        <v>1.44</v>
      </c>
      <c r="N28" s="143">
        <f>SUMIFS(N$10:N$17,$F$10:$F$17,$B28)</f>
        <v>1.44</v>
      </c>
      <c r="O28" s="143">
        <f t="shared" si="10"/>
        <v>1.44</v>
      </c>
      <c r="P28" s="143">
        <f t="shared" si="10"/>
        <v>1.44</v>
      </c>
      <c r="Q28" s="143">
        <f t="shared" si="10"/>
        <v>1.44</v>
      </c>
      <c r="R28" s="143">
        <f t="shared" si="10"/>
        <v>1.44</v>
      </c>
      <c r="S28" s="143">
        <f t="shared" si="10"/>
        <v>1.44</v>
      </c>
      <c r="T28" s="143">
        <f t="shared" si="10"/>
        <v>1.44</v>
      </c>
      <c r="U28" s="326">
        <f t="shared" si="10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10"/>
        <v>1</v>
      </c>
      <c r="N29" s="143">
        <f t="shared" si="10"/>
        <v>1</v>
      </c>
      <c r="O29" s="143">
        <f t="shared" si="10"/>
        <v>1</v>
      </c>
      <c r="P29" s="143">
        <f t="shared" si="10"/>
        <v>1</v>
      </c>
      <c r="Q29" s="143">
        <f t="shared" si="10"/>
        <v>1</v>
      </c>
      <c r="R29" s="143">
        <f t="shared" si="10"/>
        <v>1</v>
      </c>
      <c r="S29" s="143">
        <f t="shared" si="10"/>
        <v>1</v>
      </c>
      <c r="T29" s="143">
        <f t="shared" si="10"/>
        <v>1</v>
      </c>
      <c r="U29" s="326">
        <f t="shared" si="10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10"/>
        <v>1.7200000000000002</v>
      </c>
      <c r="O30" s="143">
        <f t="shared" si="10"/>
        <v>1.7200000000000002</v>
      </c>
      <c r="P30" s="143">
        <f t="shared" si="10"/>
        <v>1.7200000000000002</v>
      </c>
      <c r="Q30" s="143">
        <f t="shared" si="10"/>
        <v>1.7200000000000002</v>
      </c>
      <c r="R30" s="143">
        <f t="shared" si="10"/>
        <v>1.7200000000000002</v>
      </c>
      <c r="S30" s="143">
        <f t="shared" si="10"/>
        <v>1.7200000000000002</v>
      </c>
      <c r="T30" s="143">
        <f t="shared" si="10"/>
        <v>1.7200000000000002</v>
      </c>
      <c r="U30" s="326">
        <f t="shared" si="10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11">SUM(N26:N30)</f>
        <v>10.3</v>
      </c>
      <c r="O31" s="127">
        <f t="shared" si="11"/>
        <v>10.3</v>
      </c>
      <c r="P31" s="127">
        <f t="shared" si="11"/>
        <v>10.3</v>
      </c>
      <c r="Q31" s="127">
        <f t="shared" si="11"/>
        <v>10.3</v>
      </c>
      <c r="R31" s="127">
        <f t="shared" si="11"/>
        <v>10.3</v>
      </c>
      <c r="S31" s="127">
        <f t="shared" si="11"/>
        <v>10.3</v>
      </c>
      <c r="T31" s="127">
        <f t="shared" si="11"/>
        <v>10.3</v>
      </c>
      <c r="U31" s="327">
        <f t="shared" si="11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33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0" t="s">
        <v>2</v>
      </c>
      <c r="C42" s="684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0"/>
      <c r="C43" s="684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0"/>
      <c r="C44" s="684"/>
      <c r="D44" s="12" t="s">
        <v>191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0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12">SUM(H42:H44)</f>
        <v>5357512</v>
      </c>
      <c r="I45" s="1">
        <f t="shared" si="12"/>
        <v>5138372</v>
      </c>
      <c r="J45" s="1">
        <f t="shared" si="12"/>
        <v>4044398</v>
      </c>
      <c r="K45" s="1">
        <f t="shared" si="12"/>
        <v>5265737</v>
      </c>
      <c r="L45" s="1">
        <f t="shared" si="12"/>
        <v>4603558</v>
      </c>
      <c r="M45" s="265">
        <f t="shared" si="12"/>
        <v>4599015</v>
      </c>
      <c r="N45" s="1">
        <f t="shared" si="12"/>
        <v>4927550</v>
      </c>
      <c r="O45" s="1">
        <f t="shared" si="12"/>
        <v>4401734</v>
      </c>
      <c r="P45" s="279">
        <f t="shared" si="12"/>
        <v>4463759</v>
      </c>
    </row>
    <row r="46" spans="1:30" x14ac:dyDescent="0.25">
      <c r="B46" s="680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0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1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13">H47+H45</f>
        <v>7093426</v>
      </c>
      <c r="I48" s="13">
        <f t="shared" si="13"/>
        <v>6316297</v>
      </c>
      <c r="J48" s="13">
        <f t="shared" si="13"/>
        <v>5384118</v>
      </c>
      <c r="K48" s="13">
        <f t="shared" si="13"/>
        <v>6386189</v>
      </c>
      <c r="L48" s="13">
        <f t="shared" si="13"/>
        <v>6017722</v>
      </c>
      <c r="M48" s="266">
        <f t="shared" si="13"/>
        <v>6092435</v>
      </c>
      <c r="N48" s="13">
        <f t="shared" si="13"/>
        <v>6222550</v>
      </c>
      <c r="O48" s="13">
        <f t="shared" si="13"/>
        <v>6013264</v>
      </c>
      <c r="P48" s="280">
        <f t="shared" si="13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2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2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3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14">SUM(H50:H51)</f>
        <v>8985805</v>
      </c>
      <c r="I52" s="13">
        <f t="shared" si="14"/>
        <v>8154958</v>
      </c>
      <c r="J52" s="13">
        <f t="shared" si="14"/>
        <v>7483932</v>
      </c>
      <c r="K52" s="13">
        <f t="shared" si="14"/>
        <v>7616762</v>
      </c>
      <c r="L52" s="13">
        <f t="shared" si="14"/>
        <v>7546489</v>
      </c>
      <c r="M52" s="266">
        <f t="shared" si="14"/>
        <v>6938400</v>
      </c>
      <c r="N52" s="13">
        <f t="shared" si="14"/>
        <v>7161900</v>
      </c>
      <c r="O52" s="13">
        <f t="shared" si="14"/>
        <v>6412200</v>
      </c>
      <c r="P52" s="280">
        <f t="shared" si="14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2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2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3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5">SUM(H54:H55)</f>
        <v>8985805</v>
      </c>
      <c r="I56" s="13">
        <f t="shared" si="15"/>
        <v>8154958</v>
      </c>
      <c r="J56" s="13">
        <f t="shared" si="15"/>
        <v>7483932</v>
      </c>
      <c r="K56" s="13">
        <f t="shared" si="15"/>
        <v>7616762</v>
      </c>
      <c r="L56" s="13">
        <f t="shared" si="15"/>
        <v>7546489</v>
      </c>
      <c r="M56" s="266">
        <f t="shared" si="15"/>
        <v>6938400</v>
      </c>
      <c r="N56" s="13">
        <f t="shared" si="15"/>
        <v>7161900</v>
      </c>
      <c r="O56" s="13">
        <f t="shared" si="15"/>
        <v>6412200</v>
      </c>
      <c r="P56" s="280">
        <f t="shared" si="15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6">H56-H48</f>
        <v>1892379</v>
      </c>
      <c r="I58" s="1">
        <f t="shared" si="16"/>
        <v>1838661</v>
      </c>
      <c r="J58" s="1">
        <f t="shared" si="16"/>
        <v>2099814</v>
      </c>
      <c r="K58" s="1">
        <f t="shared" si="16"/>
        <v>1230573</v>
      </c>
      <c r="L58" s="1">
        <f t="shared" si="16"/>
        <v>1528767</v>
      </c>
      <c r="M58" s="265">
        <f>M56-M48</f>
        <v>845965</v>
      </c>
      <c r="N58" s="1">
        <f t="shared" si="16"/>
        <v>939350</v>
      </c>
      <c r="O58" s="1">
        <f t="shared" si="16"/>
        <v>398936</v>
      </c>
      <c r="P58" s="279">
        <f t="shared" si="16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7">G58/G56</f>
        <v>0.17606549565546262</v>
      </c>
      <c r="H59" s="18">
        <f t="shared" si="17"/>
        <v>0.21059649079854281</v>
      </c>
      <c r="I59" s="18">
        <f t="shared" si="17"/>
        <v>0.22546541625352332</v>
      </c>
      <c r="J59" s="18">
        <f t="shared" si="17"/>
        <v>0.28057630667943001</v>
      </c>
      <c r="K59" s="18">
        <f t="shared" si="17"/>
        <v>0.16156117258226002</v>
      </c>
      <c r="L59" s="18">
        <f t="shared" si="17"/>
        <v>0.20257990172648499</v>
      </c>
      <c r="M59" s="267">
        <f t="shared" si="17"/>
        <v>0.12192508359275914</v>
      </c>
      <c r="N59" s="18">
        <f t="shared" si="17"/>
        <v>0.13115932922827742</v>
      </c>
      <c r="O59" s="18">
        <f t="shared" si="17"/>
        <v>6.2215152365802689E-2</v>
      </c>
      <c r="P59" s="281">
        <f t="shared" si="17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209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223</v>
      </c>
      <c r="C64" s="12" t="s">
        <v>169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8">H42-H66</f>
        <v>2230114.2857142859</v>
      </c>
      <c r="I64" s="21">
        <f t="shared" si="18"/>
        <v>2293950.6122448985</v>
      </c>
      <c r="J64" s="21">
        <f t="shared" si="18"/>
        <v>1949734.2857142859</v>
      </c>
      <c r="K64" s="21">
        <f t="shared" si="18"/>
        <v>2262445.1020408166</v>
      </c>
      <c r="L64" s="21">
        <f t="shared" si="18"/>
        <v>2065608.3673469389</v>
      </c>
      <c r="M64" s="270">
        <f t="shared" si="18"/>
        <v>2021074.8979591839</v>
      </c>
      <c r="N64" s="21">
        <f t="shared" si="18"/>
        <v>2202854.6938775512</v>
      </c>
      <c r="O64" s="21">
        <f t="shared" si="18"/>
        <v>1866320.8163265309</v>
      </c>
      <c r="P64" s="306">
        <f t="shared" si="18"/>
        <v>2173825.1020408166</v>
      </c>
    </row>
    <row r="65" spans="2:20" x14ac:dyDescent="0.25">
      <c r="B65" s="4" t="s">
        <v>223</v>
      </c>
      <c r="C65" s="12" t="s">
        <v>169</v>
      </c>
      <c r="D65" s="12" t="s">
        <v>171</v>
      </c>
      <c r="E65" s="12" t="s">
        <v>1</v>
      </c>
      <c r="F65" s="12"/>
      <c r="G65" s="21">
        <f>G47-G69</f>
        <v>1262581.2</v>
      </c>
      <c r="H65" s="21">
        <f t="shared" ref="H65:P65" si="19">H47-H69</f>
        <v>1249858.08</v>
      </c>
      <c r="I65" s="21">
        <f t="shared" si="19"/>
        <v>848106</v>
      </c>
      <c r="J65" s="21">
        <f t="shared" si="19"/>
        <v>964598.39999999991</v>
      </c>
      <c r="K65" s="21">
        <f t="shared" si="19"/>
        <v>806725.44</v>
      </c>
      <c r="L65" s="21">
        <f t="shared" si="19"/>
        <v>1018198.08</v>
      </c>
      <c r="M65" s="270">
        <f t="shared" si="19"/>
        <v>1075262.3999999999</v>
      </c>
      <c r="N65" s="21">
        <f t="shared" si="19"/>
        <v>932400</v>
      </c>
      <c r="O65" s="21">
        <f t="shared" si="19"/>
        <v>1160301.6000000001</v>
      </c>
      <c r="P65" s="306">
        <f t="shared" si="19"/>
        <v>809979.12</v>
      </c>
    </row>
    <row r="66" spans="2:20" x14ac:dyDescent="0.25">
      <c r="B66" s="4" t="s">
        <v>223</v>
      </c>
      <c r="C66" s="12" t="s">
        <v>174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20">H42*$M$12/($M$12+$M$10)</f>
        <v>1412405.7142857141</v>
      </c>
      <c r="I66" s="1">
        <f t="shared" si="20"/>
        <v>1452835.3877551018</v>
      </c>
      <c r="J66" s="1">
        <f t="shared" si="20"/>
        <v>1234831.7142857141</v>
      </c>
      <c r="K66" s="1">
        <f t="shared" si="20"/>
        <v>1432881.8979591834</v>
      </c>
      <c r="L66" s="1">
        <f t="shared" si="20"/>
        <v>1308218.6326530611</v>
      </c>
      <c r="M66" s="265">
        <f t="shared" si="20"/>
        <v>1280014.1020408161</v>
      </c>
      <c r="N66" s="1">
        <f t="shared" si="20"/>
        <v>1395141.3061224488</v>
      </c>
      <c r="O66" s="1">
        <f t="shared" si="20"/>
        <v>1182003.1836734691</v>
      </c>
      <c r="P66" s="279">
        <f t="shared" si="20"/>
        <v>1376755.8979591834</v>
      </c>
    </row>
    <row r="67" spans="2:20" x14ac:dyDescent="0.25">
      <c r="B67" s="4" t="s">
        <v>223</v>
      </c>
      <c r="C67" s="12" t="s">
        <v>177</v>
      </c>
      <c r="D67" s="12" t="s">
        <v>178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223</v>
      </c>
      <c r="C68" s="12" t="s">
        <v>180</v>
      </c>
      <c r="D68" s="12" t="s">
        <v>96</v>
      </c>
      <c r="E68" s="12" t="s">
        <v>98</v>
      </c>
      <c r="F68" s="12"/>
      <c r="G68" s="21">
        <f>G44</f>
        <v>739818</v>
      </c>
      <c r="H68" s="21">
        <f t="shared" ref="H68:P68" si="21">H44</f>
        <v>705428</v>
      </c>
      <c r="I68" s="21">
        <f t="shared" si="21"/>
        <v>460746</v>
      </c>
      <c r="J68" s="21">
        <f t="shared" si="21"/>
        <v>429916</v>
      </c>
      <c r="K68" s="21">
        <f t="shared" si="21"/>
        <v>584452</v>
      </c>
      <c r="L68" s="21">
        <f t="shared" si="21"/>
        <v>570129</v>
      </c>
      <c r="M68" s="270">
        <f t="shared" si="21"/>
        <v>677891</v>
      </c>
      <c r="N68" s="21">
        <f t="shared" si="21"/>
        <v>690642</v>
      </c>
      <c r="O68" s="21">
        <f t="shared" si="21"/>
        <v>687722</v>
      </c>
      <c r="P68" s="306">
        <f t="shared" si="21"/>
        <v>629943</v>
      </c>
    </row>
    <row r="69" spans="2:20" x14ac:dyDescent="0.25">
      <c r="B69" s="4" t="s">
        <v>223</v>
      </c>
      <c r="C69" s="12" t="s">
        <v>180</v>
      </c>
      <c r="D69" s="12" t="s">
        <v>171</v>
      </c>
      <c r="E69" s="12" t="s">
        <v>98</v>
      </c>
      <c r="F69" s="12"/>
      <c r="G69" s="1">
        <f>G47*$M$15/($M$15+$M$11)</f>
        <v>491003.80000000005</v>
      </c>
      <c r="H69" s="1">
        <f t="shared" ref="H69:P69" si="22">H47*$M$15/($M$15+$M$11)</f>
        <v>486055.92000000004</v>
      </c>
      <c r="I69" s="1">
        <f t="shared" si="22"/>
        <v>329819.00000000006</v>
      </c>
      <c r="J69" s="1">
        <f t="shared" si="22"/>
        <v>375121.60000000003</v>
      </c>
      <c r="K69" s="1">
        <f t="shared" si="22"/>
        <v>313726.56000000006</v>
      </c>
      <c r="L69" s="1">
        <f t="shared" si="22"/>
        <v>395965.92000000004</v>
      </c>
      <c r="M69" s="265">
        <f t="shared" si="22"/>
        <v>418157.60000000003</v>
      </c>
      <c r="N69" s="1">
        <f t="shared" si="22"/>
        <v>362600.00000000006</v>
      </c>
      <c r="O69" s="1">
        <f t="shared" si="22"/>
        <v>451228.4</v>
      </c>
      <c r="P69" s="279">
        <f t="shared" si="22"/>
        <v>314991.88</v>
      </c>
    </row>
    <row r="70" spans="2:20" x14ac:dyDescent="0.25">
      <c r="B70" s="4" t="s">
        <v>182</v>
      </c>
      <c r="C70" s="12" t="s">
        <v>183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23">H43</f>
        <v>1009564</v>
      </c>
      <c r="I70" s="21">
        <f t="shared" si="23"/>
        <v>930840</v>
      </c>
      <c r="J70" s="21">
        <f t="shared" si="23"/>
        <v>429916</v>
      </c>
      <c r="K70" s="21">
        <f t="shared" si="23"/>
        <v>985958</v>
      </c>
      <c r="L70" s="21">
        <f t="shared" si="23"/>
        <v>659602</v>
      </c>
      <c r="M70" s="270">
        <f t="shared" si="23"/>
        <v>620035</v>
      </c>
      <c r="N70" s="21">
        <f t="shared" si="23"/>
        <v>638912</v>
      </c>
      <c r="O70" s="21">
        <f t="shared" si="23"/>
        <v>665688</v>
      </c>
      <c r="P70" s="306">
        <f t="shared" si="23"/>
        <v>283235</v>
      </c>
    </row>
    <row r="71" spans="2:20" x14ac:dyDescent="0.25">
      <c r="B71" s="4" t="s">
        <v>184</v>
      </c>
      <c r="C71" s="12"/>
      <c r="D71" s="12" t="s">
        <v>178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24">SUM(G64:G71)</f>
        <v>7912509.9999999991</v>
      </c>
      <c r="H73" s="21">
        <f t="shared" si="24"/>
        <v>7093426</v>
      </c>
      <c r="I73" s="21">
        <f t="shared" si="24"/>
        <v>6316297</v>
      </c>
      <c r="J73" s="21">
        <f t="shared" si="24"/>
        <v>5384118</v>
      </c>
      <c r="K73" s="21">
        <f t="shared" si="24"/>
        <v>6386189</v>
      </c>
      <c r="L73" s="21">
        <f t="shared" si="24"/>
        <v>6017722</v>
      </c>
      <c r="M73" s="270">
        <f t="shared" si="24"/>
        <v>6092435</v>
      </c>
      <c r="N73" s="21">
        <f t="shared" si="24"/>
        <v>6222550</v>
      </c>
      <c r="O73" s="21">
        <f t="shared" si="24"/>
        <v>6013264.0000000009</v>
      </c>
      <c r="P73" s="306">
        <f t="shared" si="24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223</v>
      </c>
      <c r="C76" s="12" t="s">
        <v>169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5">H50*(H64/(H64+H66))</f>
        <v>2768241.4285714286</v>
      </c>
      <c r="I76" s="1">
        <f t="shared" si="25"/>
        <v>2757719.3877551025</v>
      </c>
      <c r="J76" s="1">
        <f t="shared" si="25"/>
        <v>2420638.163265306</v>
      </c>
      <c r="K76" s="1">
        <f t="shared" si="25"/>
        <v>2673506.3265306121</v>
      </c>
      <c r="L76" s="1">
        <f t="shared" si="25"/>
        <v>2443889.387755102</v>
      </c>
      <c r="M76" s="265">
        <f>M50*(M64/(M64+M66))</f>
        <v>2390373.0612244899</v>
      </c>
      <c r="N76" s="1">
        <f t="shared" si="25"/>
        <v>2615478.3673469387</v>
      </c>
      <c r="O76" s="1">
        <f t="shared" si="25"/>
        <v>2218107.5510204085</v>
      </c>
      <c r="P76" s="279">
        <f t="shared" si="25"/>
        <v>2392354.8979591839</v>
      </c>
    </row>
    <row r="77" spans="2:20" x14ac:dyDescent="0.25">
      <c r="B77" s="4" t="s">
        <v>223</v>
      </c>
      <c r="C77" s="12" t="s">
        <v>169</v>
      </c>
      <c r="D77" s="12" t="s">
        <v>171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223</v>
      </c>
      <c r="C78" s="12" t="s">
        <v>174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6">H50-H82-H76</f>
        <v>743655.57142857136</v>
      </c>
      <c r="I78" s="21">
        <f t="shared" si="26"/>
        <v>815715.61224489752</v>
      </c>
      <c r="J78" s="21">
        <f t="shared" si="26"/>
        <v>1103154.836734694</v>
      </c>
      <c r="K78" s="21">
        <f t="shared" si="26"/>
        <v>707262.67346938793</v>
      </c>
      <c r="L78" s="21">
        <f t="shared" si="26"/>
        <v>888194.61224489799</v>
      </c>
      <c r="M78" s="270">
        <f t="shared" si="26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360</v>
      </c>
      <c r="S78" s="333"/>
      <c r="T78" s="333"/>
    </row>
    <row r="79" spans="2:20" x14ac:dyDescent="0.25">
      <c r="B79" s="4" t="s">
        <v>223</v>
      </c>
      <c r="C79" s="12" t="s">
        <v>177</v>
      </c>
      <c r="D79" s="12" t="s">
        <v>178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223</v>
      </c>
      <c r="C80" s="12" t="s">
        <v>180</v>
      </c>
      <c r="D80" s="12" t="s">
        <v>96</v>
      </c>
      <c r="E80" s="12" t="s">
        <v>98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223</v>
      </c>
      <c r="C81" s="12" t="s">
        <v>180</v>
      </c>
      <c r="D81" s="12" t="s">
        <v>171</v>
      </c>
      <c r="E81" s="12" t="s">
        <v>98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182</v>
      </c>
      <c r="C82" s="12" t="s">
        <v>183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7">H43</f>
        <v>1009564</v>
      </c>
      <c r="I82" s="21">
        <f t="shared" si="27"/>
        <v>930840</v>
      </c>
      <c r="J82" s="21">
        <f t="shared" si="27"/>
        <v>429916</v>
      </c>
      <c r="K82" s="21">
        <f t="shared" si="27"/>
        <v>985958</v>
      </c>
      <c r="L82" s="21">
        <f t="shared" si="27"/>
        <v>659602</v>
      </c>
      <c r="M82" s="270">
        <f t="shared" si="27"/>
        <v>620035</v>
      </c>
      <c r="N82" s="21">
        <f t="shared" si="27"/>
        <v>638912</v>
      </c>
      <c r="O82" s="21">
        <f t="shared" si="27"/>
        <v>665688</v>
      </c>
      <c r="P82" s="306">
        <f t="shared" si="27"/>
        <v>283235</v>
      </c>
    </row>
    <row r="83" spans="2:16" x14ac:dyDescent="0.25">
      <c r="B83" s="4" t="s">
        <v>184</v>
      </c>
      <c r="C83" s="12"/>
      <c r="D83" s="12" t="s">
        <v>178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8">SUM(H76:H83)</f>
        <v>4521461</v>
      </c>
      <c r="I85" s="135">
        <f t="shared" si="28"/>
        <v>4504275</v>
      </c>
      <c r="J85" s="135">
        <f t="shared" si="28"/>
        <v>3953709</v>
      </c>
      <c r="K85" s="135">
        <f t="shared" si="28"/>
        <v>4366727</v>
      </c>
      <c r="L85" s="135">
        <f t="shared" si="28"/>
        <v>3991686</v>
      </c>
      <c r="M85" s="135">
        <f t="shared" si="28"/>
        <v>3904276</v>
      </c>
      <c r="N85" s="135">
        <f t="shared" si="28"/>
        <v>3256257.3673469387</v>
      </c>
      <c r="O85" s="135">
        <f t="shared" si="28"/>
        <v>2884727.5510204085</v>
      </c>
      <c r="P85" s="139">
        <f>SUM(P76:P83)</f>
        <v>2678246.8979591839</v>
      </c>
    </row>
    <row r="87" spans="2:16" x14ac:dyDescent="0.25">
      <c r="B87" t="s">
        <v>37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34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35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36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161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350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190</v>
      </c>
      <c r="N105" s="12"/>
      <c r="O105" s="12"/>
      <c r="P105" s="5"/>
    </row>
    <row r="106" spans="2:16" x14ac:dyDescent="0.25">
      <c r="B106" s="121" t="s">
        <v>162</v>
      </c>
      <c r="C106" s="119" t="s">
        <v>163</v>
      </c>
      <c r="D106" s="119" t="s">
        <v>164</v>
      </c>
      <c r="E106" s="119" t="s">
        <v>165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167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168</v>
      </c>
      <c r="C108" s="114" t="s">
        <v>169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168</v>
      </c>
      <c r="C109" s="114" t="s">
        <v>169</v>
      </c>
      <c r="D109" s="114" t="s">
        <v>171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168</v>
      </c>
      <c r="C110" s="114" t="s">
        <v>174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168</v>
      </c>
      <c r="C111" s="114" t="s">
        <v>177</v>
      </c>
      <c r="D111" s="114" t="s">
        <v>178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168</v>
      </c>
      <c r="C112" s="114" t="s">
        <v>180</v>
      </c>
      <c r="D112" s="114" t="s">
        <v>96</v>
      </c>
      <c r="E112" s="114" t="s">
        <v>98</v>
      </c>
      <c r="F112" s="130" t="s">
        <v>173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168</v>
      </c>
      <c r="C113" s="114" t="s">
        <v>180</v>
      </c>
      <c r="D113" s="114" t="s">
        <v>171</v>
      </c>
      <c r="E113" s="115" t="s">
        <v>98</v>
      </c>
      <c r="F113" s="130" t="s">
        <v>173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182</v>
      </c>
      <c r="C114" s="114" t="s">
        <v>183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184</v>
      </c>
      <c r="C115" s="114"/>
      <c r="D115" s="114" t="s">
        <v>178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295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296</v>
      </c>
      <c r="C122" s="8" t="s">
        <v>297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298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299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139</v>
      </c>
      <c r="C125" s="8" t="s">
        <v>297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298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299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245</v>
      </c>
      <c r="C128" s="8" t="s">
        <v>297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298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299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304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300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301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303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162</v>
      </c>
      <c r="C137" s="303" t="s">
        <v>163</v>
      </c>
      <c r="D137" s="303" t="s">
        <v>164</v>
      </c>
      <c r="E137" s="303" t="s">
        <v>165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167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322</v>
      </c>
      <c r="Q138" s="293"/>
      <c r="R138" s="293"/>
      <c r="S138" s="293"/>
      <c r="T138" s="12"/>
      <c r="U138" s="5"/>
    </row>
    <row r="139" spans="2:22" x14ac:dyDescent="0.25">
      <c r="B139" s="123" t="s">
        <v>168</v>
      </c>
      <c r="C139" s="114" t="s">
        <v>169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168</v>
      </c>
      <c r="C140" s="114" t="s">
        <v>169</v>
      </c>
      <c r="D140" s="114" t="s">
        <v>171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168</v>
      </c>
      <c r="C141" s="114" t="s">
        <v>174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168</v>
      </c>
      <c r="C142" s="114" t="s">
        <v>177</v>
      </c>
      <c r="D142" s="114" t="s">
        <v>178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306</v>
      </c>
    </row>
    <row r="143" spans="2:22" x14ac:dyDescent="0.25">
      <c r="B143" s="123" t="s">
        <v>168</v>
      </c>
      <c r="C143" s="114" t="s">
        <v>180</v>
      </c>
      <c r="D143" s="114" t="s">
        <v>96</v>
      </c>
      <c r="E143" s="114" t="s">
        <v>98</v>
      </c>
      <c r="F143" s="130" t="s">
        <v>173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168</v>
      </c>
      <c r="C144" s="114" t="s">
        <v>180</v>
      </c>
      <c r="D144" s="114" t="s">
        <v>171</v>
      </c>
      <c r="E144" s="115" t="s">
        <v>98</v>
      </c>
      <c r="F144" s="130" t="s">
        <v>173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182</v>
      </c>
      <c r="C145" s="114" t="s">
        <v>183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617</v>
      </c>
    </row>
    <row r="146" spans="2:22" x14ac:dyDescent="0.25">
      <c r="B146" s="123" t="s">
        <v>184</v>
      </c>
      <c r="C146" s="114"/>
      <c r="D146" s="114" t="s">
        <v>178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313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356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305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355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321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354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614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9">SUM(M152:M154)</f>
        <v>6.9</v>
      </c>
      <c r="N155" s="19">
        <f t="shared" si="29"/>
        <v>7.1</v>
      </c>
      <c r="O155" s="19">
        <f t="shared" si="29"/>
        <v>6.5</v>
      </c>
      <c r="P155" s="19">
        <f t="shared" si="29"/>
        <v>6.4</v>
      </c>
      <c r="Q155" s="456">
        <f t="shared" si="29"/>
        <v>6.1</v>
      </c>
      <c r="R155" s="456">
        <f t="shared" si="29"/>
        <v>6.3</v>
      </c>
      <c r="S155" s="456">
        <f t="shared" si="29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605</v>
      </c>
      <c r="D157" s="450" t="s">
        <v>606</v>
      </c>
      <c r="E157" s="450" t="s">
        <v>611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375</v>
      </c>
      <c r="D158" s="450" t="s">
        <v>607</v>
      </c>
      <c r="E158" s="450" t="s">
        <v>611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607</v>
      </c>
      <c r="E159" s="450" t="s">
        <v>611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608</v>
      </c>
      <c r="D160" s="457" t="s">
        <v>607</v>
      </c>
      <c r="E160" s="457" t="s">
        <v>609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613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607</v>
      </c>
      <c r="E162" s="114" t="s">
        <v>609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607</v>
      </c>
      <c r="E163" s="124" t="s">
        <v>609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644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648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629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168</v>
      </c>
      <c r="C170" s="114" t="s">
        <v>169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632</v>
      </c>
      <c r="U170" s="12"/>
    </row>
    <row r="171" spans="2:21" x14ac:dyDescent="0.25">
      <c r="B171" s="114" t="s">
        <v>168</v>
      </c>
      <c r="C171" s="114" t="s">
        <v>169</v>
      </c>
      <c r="D171" s="114" t="s">
        <v>171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624</v>
      </c>
    </row>
    <row r="172" spans="2:21" x14ac:dyDescent="0.25">
      <c r="B172" s="114" t="s">
        <v>168</v>
      </c>
      <c r="C172" s="114" t="s">
        <v>174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632</v>
      </c>
      <c r="U172" s="12"/>
    </row>
    <row r="173" spans="2:21" x14ac:dyDescent="0.25">
      <c r="B173" s="114" t="s">
        <v>168</v>
      </c>
      <c r="C173" s="114" t="s">
        <v>177</v>
      </c>
      <c r="D173" s="114" t="s">
        <v>178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628</v>
      </c>
    </row>
    <row r="174" spans="2:21" x14ac:dyDescent="0.25">
      <c r="B174" s="114" t="s">
        <v>168</v>
      </c>
      <c r="C174" s="114" t="s">
        <v>180</v>
      </c>
      <c r="D174" s="114" t="s">
        <v>618</v>
      </c>
      <c r="E174" s="114" t="s">
        <v>618</v>
      </c>
      <c r="F174" s="130"/>
      <c r="G174" s="130" t="s">
        <v>618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632</v>
      </c>
      <c r="U174" s="12"/>
    </row>
    <row r="175" spans="2:21" x14ac:dyDescent="0.25">
      <c r="B175" s="114" t="s">
        <v>168</v>
      </c>
      <c r="C175" s="114" t="s">
        <v>180</v>
      </c>
      <c r="D175" s="114" t="s">
        <v>96</v>
      </c>
      <c r="E175" s="114" t="s">
        <v>98</v>
      </c>
      <c r="F175" s="130"/>
      <c r="G175" s="130" t="s">
        <v>173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30">Q$174*(Q186/Q$185)</f>
        <v>0.45165714285714281</v>
      </c>
      <c r="R175" s="294">
        <f t="shared" si="30"/>
        <v>0.60691428571428574</v>
      </c>
      <c r="S175" s="294">
        <f t="shared" si="30"/>
        <v>0.58954285714285715</v>
      </c>
      <c r="T175" s="12" t="s">
        <v>639</v>
      </c>
      <c r="U175" s="12"/>
    </row>
    <row r="176" spans="2:21" x14ac:dyDescent="0.25">
      <c r="B176" s="114" t="s">
        <v>168</v>
      </c>
      <c r="C176" s="114" t="s">
        <v>180</v>
      </c>
      <c r="D176" s="114" t="s">
        <v>171</v>
      </c>
      <c r="E176" s="115" t="s">
        <v>98</v>
      </c>
      <c r="F176" s="130"/>
      <c r="G176" s="130" t="s">
        <v>173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30"/>
        <v>0.38034285714285715</v>
      </c>
      <c r="R176" s="294">
        <f t="shared" si="30"/>
        <v>0.51108571428571437</v>
      </c>
      <c r="S176" s="294">
        <f t="shared" si="30"/>
        <v>0.49645714285714293</v>
      </c>
      <c r="T176" s="12" t="s">
        <v>640</v>
      </c>
      <c r="U176" s="12"/>
    </row>
    <row r="177" spans="2:21" x14ac:dyDescent="0.25">
      <c r="B177" s="114" t="s">
        <v>182</v>
      </c>
      <c r="C177" s="114" t="s">
        <v>183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616</v>
      </c>
    </row>
    <row r="178" spans="2:21" x14ac:dyDescent="0.25">
      <c r="B178" s="114" t="s">
        <v>184</v>
      </c>
      <c r="C178" s="114"/>
      <c r="D178" s="114" t="s">
        <v>178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633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168</v>
      </c>
      <c r="C181" s="114" t="s">
        <v>169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627</v>
      </c>
    </row>
    <row r="182" spans="2:21" x14ac:dyDescent="0.25">
      <c r="B182" s="114" t="s">
        <v>168</v>
      </c>
      <c r="C182" s="114" t="s">
        <v>169</v>
      </c>
      <c r="D182" s="114" t="s">
        <v>171</v>
      </c>
      <c r="E182" s="114" t="s">
        <v>1</v>
      </c>
      <c r="F182" s="12"/>
      <c r="G182" s="114" t="s">
        <v>171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626</v>
      </c>
      <c r="U182" s="12" t="s">
        <v>625</v>
      </c>
    </row>
    <row r="183" spans="2:21" x14ac:dyDescent="0.25">
      <c r="B183" s="114" t="s">
        <v>168</v>
      </c>
      <c r="C183" s="114" t="s">
        <v>174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632</v>
      </c>
      <c r="U183" s="12" t="s">
        <v>223</v>
      </c>
    </row>
    <row r="184" spans="2:21" x14ac:dyDescent="0.25">
      <c r="B184" s="114" t="s">
        <v>168</v>
      </c>
      <c r="C184" s="114" t="s">
        <v>177</v>
      </c>
      <c r="D184" s="114" t="s">
        <v>178</v>
      </c>
      <c r="E184" s="114" t="s">
        <v>1</v>
      </c>
      <c r="F184" s="12"/>
      <c r="G184" s="114" t="s">
        <v>178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168</v>
      </c>
      <c r="C185" s="114" t="s">
        <v>180</v>
      </c>
      <c r="D185" s="114" t="s">
        <v>618</v>
      </c>
      <c r="E185" s="114" t="s">
        <v>618</v>
      </c>
      <c r="F185" s="130"/>
      <c r="G185" s="114" t="s">
        <v>618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168</v>
      </c>
      <c r="C186" s="114" t="s">
        <v>180</v>
      </c>
      <c r="D186" s="114" t="s">
        <v>96</v>
      </c>
      <c r="E186" s="114" t="s">
        <v>98</v>
      </c>
      <c r="F186" s="130"/>
      <c r="G186" s="114" t="s">
        <v>96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168</v>
      </c>
      <c r="C187" s="114" t="s">
        <v>180</v>
      </c>
      <c r="D187" s="114" t="s">
        <v>171</v>
      </c>
      <c r="E187" s="115" t="s">
        <v>98</v>
      </c>
      <c r="F187" s="130"/>
      <c r="G187" s="114" t="s">
        <v>171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182</v>
      </c>
      <c r="C188" s="114" t="s">
        <v>183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184</v>
      </c>
      <c r="C189" s="114"/>
      <c r="D189" s="114" t="s">
        <v>178</v>
      </c>
      <c r="E189" s="114" t="s">
        <v>1</v>
      </c>
      <c r="F189" s="12"/>
      <c r="G189" s="114" t="s">
        <v>178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634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168</v>
      </c>
      <c r="C192" s="114" t="s">
        <v>169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635</v>
      </c>
      <c r="U192" s="12"/>
    </row>
    <row r="193" spans="2:21" x14ac:dyDescent="0.25">
      <c r="B193" s="114"/>
      <c r="C193" s="114" t="s">
        <v>641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184</v>
      </c>
      <c r="C194" s="114"/>
      <c r="D194" s="114" t="s">
        <v>178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635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636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630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631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647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638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637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645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642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643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646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168</v>
      </c>
      <c r="C206" s="114" t="s">
        <v>169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168</v>
      </c>
      <c r="C207" s="114" t="s">
        <v>169</v>
      </c>
      <c r="D207" s="114" t="s">
        <v>171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168</v>
      </c>
      <c r="C208" s="114" t="s">
        <v>174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168</v>
      </c>
      <c r="C209" s="114" t="s">
        <v>177</v>
      </c>
      <c r="D209" s="114" t="s">
        <v>178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168</v>
      </c>
      <c r="C210" s="114" t="s">
        <v>180</v>
      </c>
      <c r="D210" s="114" t="s">
        <v>618</v>
      </c>
      <c r="E210" s="114" t="s">
        <v>618</v>
      </c>
      <c r="F210" s="130"/>
      <c r="G210" s="130" t="s">
        <v>618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168</v>
      </c>
      <c r="C211" s="114" t="s">
        <v>180</v>
      </c>
      <c r="D211" s="114" t="s">
        <v>96</v>
      </c>
      <c r="E211" s="114" t="s">
        <v>98</v>
      </c>
      <c r="F211" s="130"/>
      <c r="G211" s="130" t="s">
        <v>173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168</v>
      </c>
      <c r="C212" s="114" t="s">
        <v>180</v>
      </c>
      <c r="D212" s="114" t="s">
        <v>171</v>
      </c>
      <c r="E212" s="115" t="s">
        <v>98</v>
      </c>
      <c r="F212" s="130"/>
      <c r="G212" s="130" t="s">
        <v>173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182</v>
      </c>
      <c r="C213" s="114" t="s">
        <v>183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184</v>
      </c>
      <c r="C214" s="114"/>
      <c r="D214" s="114" t="s">
        <v>178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307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168</v>
      </c>
      <c r="C218" s="298" t="s">
        <v>169</v>
      </c>
      <c r="D218" s="298" t="s">
        <v>16</v>
      </c>
      <c r="E218" s="298" t="s">
        <v>24</v>
      </c>
      <c r="F218" s="16"/>
      <c r="G218" s="16"/>
      <c r="H218" s="314" t="s">
        <v>310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311</v>
      </c>
    </row>
    <row r="219" spans="2:22" x14ac:dyDescent="0.25">
      <c r="B219" s="123" t="s">
        <v>168</v>
      </c>
      <c r="C219" s="114" t="s">
        <v>169</v>
      </c>
      <c r="D219" s="114" t="s">
        <v>171</v>
      </c>
      <c r="E219" s="114" t="s">
        <v>1</v>
      </c>
      <c r="F219" s="12"/>
      <c r="G219" s="12"/>
      <c r="H219" s="307" t="s">
        <v>310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311</v>
      </c>
    </row>
    <row r="220" spans="2:22" x14ac:dyDescent="0.25">
      <c r="B220" s="123" t="s">
        <v>168</v>
      </c>
      <c r="C220" s="114" t="s">
        <v>174</v>
      </c>
      <c r="D220" s="114" t="s">
        <v>16</v>
      </c>
      <c r="E220" s="114" t="s">
        <v>24</v>
      </c>
      <c r="F220" s="12"/>
      <c r="G220" s="12"/>
      <c r="H220" s="307" t="s">
        <v>310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311</v>
      </c>
    </row>
    <row r="221" spans="2:22" x14ac:dyDescent="0.25">
      <c r="B221" s="123" t="s">
        <v>168</v>
      </c>
      <c r="C221" s="114" t="s">
        <v>177</v>
      </c>
      <c r="D221" s="114" t="s">
        <v>178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168</v>
      </c>
      <c r="C222" s="114" t="s">
        <v>180</v>
      </c>
      <c r="D222" s="114" t="s">
        <v>96</v>
      </c>
      <c r="E222" s="114" t="s">
        <v>98</v>
      </c>
      <c r="F222" s="12"/>
      <c r="G222" s="130"/>
      <c r="H222" s="307" t="s">
        <v>308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309</v>
      </c>
    </row>
    <row r="223" spans="2:22" x14ac:dyDescent="0.25">
      <c r="B223" s="123" t="s">
        <v>168</v>
      </c>
      <c r="C223" s="114" t="s">
        <v>180</v>
      </c>
      <c r="D223" s="114" t="s">
        <v>171</v>
      </c>
      <c r="E223" s="115" t="s">
        <v>98</v>
      </c>
      <c r="F223" s="12"/>
      <c r="G223" s="130"/>
      <c r="H223" s="12" t="s">
        <v>308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309</v>
      </c>
    </row>
    <row r="224" spans="2:22" x14ac:dyDescent="0.25">
      <c r="B224" s="123" t="s">
        <v>182</v>
      </c>
      <c r="C224" s="114" t="s">
        <v>183</v>
      </c>
      <c r="D224" s="114" t="s">
        <v>17</v>
      </c>
      <c r="E224" s="114" t="s">
        <v>24</v>
      </c>
      <c r="F224" s="12"/>
      <c r="G224" s="12"/>
      <c r="H224" s="307" t="s">
        <v>308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184</v>
      </c>
      <c r="C225" s="114"/>
      <c r="D225" s="114" t="s">
        <v>178</v>
      </c>
      <c r="E225" s="114" t="s">
        <v>1</v>
      </c>
      <c r="F225" s="12"/>
      <c r="G225" s="12"/>
      <c r="H225" s="307" t="s">
        <v>310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312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168</v>
      </c>
      <c r="C229" s="114" t="s">
        <v>169</v>
      </c>
      <c r="D229" s="114" t="s">
        <v>16</v>
      </c>
      <c r="E229" s="114" t="s">
        <v>24</v>
      </c>
      <c r="F229" s="12" t="s">
        <v>7</v>
      </c>
      <c r="G229" s="12"/>
      <c r="H229" s="307" t="s">
        <v>308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168</v>
      </c>
      <c r="C230" s="114" t="s">
        <v>169</v>
      </c>
      <c r="D230" s="114" t="s">
        <v>171</v>
      </c>
      <c r="E230" s="114" t="s">
        <v>1</v>
      </c>
      <c r="F230" s="12" t="s">
        <v>9</v>
      </c>
      <c r="G230" s="12"/>
      <c r="H230" s="307" t="s">
        <v>308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168</v>
      </c>
      <c r="C231" s="114" t="s">
        <v>174</v>
      </c>
      <c r="D231" s="114" t="s">
        <v>16</v>
      </c>
      <c r="E231" s="114" t="s">
        <v>24</v>
      </c>
      <c r="F231" s="12" t="s">
        <v>7</v>
      </c>
      <c r="G231" s="12"/>
      <c r="H231" s="307" t="s">
        <v>308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168</v>
      </c>
      <c r="C232" s="114" t="s">
        <v>177</v>
      </c>
      <c r="D232" s="114" t="s">
        <v>178</v>
      </c>
      <c r="E232" s="114" t="s">
        <v>1</v>
      </c>
      <c r="F232" s="12" t="s">
        <v>8</v>
      </c>
      <c r="G232" s="12"/>
      <c r="H232" s="307" t="s">
        <v>308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168</v>
      </c>
      <c r="C233" s="114" t="s">
        <v>180</v>
      </c>
      <c r="D233" s="114" t="s">
        <v>96</v>
      </c>
      <c r="E233" s="114" t="s">
        <v>98</v>
      </c>
      <c r="F233" s="130" t="s">
        <v>173</v>
      </c>
      <c r="G233" s="12"/>
      <c r="H233" s="307" t="s">
        <v>308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168</v>
      </c>
      <c r="C234" s="114" t="s">
        <v>180</v>
      </c>
      <c r="D234" s="114" t="s">
        <v>171</v>
      </c>
      <c r="E234" s="115" t="s">
        <v>98</v>
      </c>
      <c r="F234" s="130" t="s">
        <v>173</v>
      </c>
      <c r="G234" s="12"/>
      <c r="H234" s="307" t="s">
        <v>308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182</v>
      </c>
      <c r="C235" s="114" t="s">
        <v>183</v>
      </c>
      <c r="D235" s="114" t="s">
        <v>17</v>
      </c>
      <c r="E235" s="114" t="s">
        <v>24</v>
      </c>
      <c r="F235" s="12" t="s">
        <v>10</v>
      </c>
      <c r="G235" s="12"/>
      <c r="H235" s="307" t="s">
        <v>308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184</v>
      </c>
      <c r="C236" s="124"/>
      <c r="D236" s="124" t="s">
        <v>178</v>
      </c>
      <c r="E236" s="124" t="s">
        <v>1</v>
      </c>
      <c r="F236" s="8" t="s">
        <v>8</v>
      </c>
      <c r="G236" s="8"/>
      <c r="H236" s="321" t="s">
        <v>308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320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208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77" t="s">
        <v>531</v>
      </c>
      <c r="O241" s="678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31">M242*(N$247/M$247)</f>
        <v>3.3760806916426511</v>
      </c>
      <c r="O242" s="420">
        <f t="shared" si="31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32">SUMIFS(R$108:R$236,$F$108:$F$236,$B242)</f>
        <v>3.0330810810810807</v>
      </c>
      <c r="S242" s="312">
        <f t="shared" si="32"/>
        <v>3.2032972972972971</v>
      </c>
      <c r="T242" s="312">
        <f t="shared" si="32"/>
        <v>3.0300947810555652</v>
      </c>
      <c r="U242" s="312">
        <f t="shared" si="32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173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31"/>
        <v>1.2378962536023055</v>
      </c>
      <c r="O243" s="420">
        <f t="shared" si="31"/>
        <v>1.13328530259366</v>
      </c>
      <c r="P243" s="312">
        <f t="shared" si="32"/>
        <v>0.96299999999999997</v>
      </c>
      <c r="Q243" s="312">
        <f t="shared" si="32"/>
        <v>0.83199999999999996</v>
      </c>
      <c r="R243" s="312">
        <f t="shared" si="32"/>
        <v>1.1180000000000001</v>
      </c>
      <c r="S243" s="312">
        <f t="shared" si="32"/>
        <v>1.0860000000000001</v>
      </c>
      <c r="T243" s="312">
        <f t="shared" si="32"/>
        <v>1.0860000000000001</v>
      </c>
      <c r="U243" s="312">
        <f t="shared" si="32"/>
        <v>0</v>
      </c>
      <c r="V243" s="5"/>
      <c r="Y243" s="493" t="s">
        <v>173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31"/>
        <v>0.88976945244956762</v>
      </c>
      <c r="P244" s="312">
        <f t="shared" si="32"/>
        <v>0.77481081081081082</v>
      </c>
      <c r="Q244" s="312">
        <f t="shared" si="32"/>
        <v>0.77481081081081082</v>
      </c>
      <c r="R244" s="312">
        <f t="shared" si="32"/>
        <v>0.75891891891891894</v>
      </c>
      <c r="S244" s="312">
        <f t="shared" si="32"/>
        <v>0.80270270270270283</v>
      </c>
      <c r="T244" s="312">
        <f t="shared" si="32"/>
        <v>0.80270270270270283</v>
      </c>
      <c r="U244" s="312">
        <f t="shared" si="32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31"/>
        <v>0.63429394812680118</v>
      </c>
      <c r="O245" s="420">
        <f t="shared" si="31"/>
        <v>0.5806916426512968</v>
      </c>
      <c r="P245" s="312">
        <f t="shared" si="32"/>
        <v>0.1360000000000007</v>
      </c>
      <c r="Q245" s="312">
        <f t="shared" si="32"/>
        <v>0</v>
      </c>
      <c r="R245" s="312">
        <f t="shared" si="32"/>
        <v>0</v>
      </c>
      <c r="S245" s="312">
        <f t="shared" si="32"/>
        <v>0</v>
      </c>
      <c r="T245" s="312">
        <f t="shared" si="32"/>
        <v>0</v>
      </c>
      <c r="U245" s="312">
        <f t="shared" si="32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31"/>
        <v>0.87982708933717579</v>
      </c>
      <c r="O246" s="420">
        <f t="shared" si="31"/>
        <v>0.8054755043227666</v>
      </c>
      <c r="P246" s="312">
        <f t="shared" si="32"/>
        <v>1.3620000000000003</v>
      </c>
      <c r="Q246" s="312">
        <f t="shared" si="32"/>
        <v>1.3200000000000003</v>
      </c>
      <c r="R246" s="312">
        <f t="shared" si="32"/>
        <v>1.3200000000000003</v>
      </c>
      <c r="S246" s="312">
        <f t="shared" si="32"/>
        <v>1.2079999999999993</v>
      </c>
      <c r="T246" s="312">
        <f t="shared" si="32"/>
        <v>1.2079999999999993</v>
      </c>
      <c r="U246" s="312">
        <f t="shared" si="32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302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33">SUM(P242:P246)</f>
        <v>6.4000000000000012</v>
      </c>
      <c r="Q247" s="296">
        <f t="shared" si="33"/>
        <v>6.0910000000000002</v>
      </c>
      <c r="R247" s="296">
        <f t="shared" si="33"/>
        <v>6.23</v>
      </c>
      <c r="S247" s="296">
        <f t="shared" si="33"/>
        <v>6.3</v>
      </c>
      <c r="T247" s="414">
        <f t="shared" si="33"/>
        <v>6.1267974837582679</v>
      </c>
      <c r="U247" s="329">
        <f t="shared" si="33"/>
        <v>5.0030232389251985</v>
      </c>
      <c r="V247" s="5"/>
      <c r="Y247" s="493" t="s">
        <v>302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317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314</v>
      </c>
      <c r="C254" s="12" t="s">
        <v>308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34">M31</f>
        <v>10.3</v>
      </c>
      <c r="N254" s="12">
        <f t="shared" si="34"/>
        <v>10.3</v>
      </c>
      <c r="O254" s="12">
        <f t="shared" si="34"/>
        <v>10.3</v>
      </c>
      <c r="P254" s="12">
        <f t="shared" si="34"/>
        <v>10.3</v>
      </c>
      <c r="Q254" s="12">
        <f t="shared" si="34"/>
        <v>10.3</v>
      </c>
      <c r="R254" s="12">
        <f t="shared" si="34"/>
        <v>10.3</v>
      </c>
      <c r="S254" s="12">
        <f t="shared" si="34"/>
        <v>10.3</v>
      </c>
      <c r="T254" s="12">
        <f t="shared" si="34"/>
        <v>10.3</v>
      </c>
      <c r="U254" s="12">
        <f t="shared" si="34"/>
        <v>10.3</v>
      </c>
      <c r="V254" s="5"/>
    </row>
    <row r="255" spans="2:31" x14ac:dyDescent="0.25">
      <c r="B255" s="4" t="s">
        <v>315</v>
      </c>
      <c r="C255" s="12" t="s">
        <v>308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5">P247</f>
        <v>6.4000000000000012</v>
      </c>
      <c r="Q255" s="12">
        <f t="shared" si="35"/>
        <v>6.0910000000000002</v>
      </c>
      <c r="R255" s="12">
        <f t="shared" si="35"/>
        <v>6.23</v>
      </c>
      <c r="S255" s="12">
        <f t="shared" si="35"/>
        <v>6.3</v>
      </c>
      <c r="T255" s="12">
        <f t="shared" si="35"/>
        <v>6.1267974837582679</v>
      </c>
      <c r="U255" s="12">
        <f t="shared" si="35"/>
        <v>5.0030232389251985</v>
      </c>
      <c r="V255" s="5"/>
    </row>
    <row r="256" spans="2:31" x14ac:dyDescent="0.25">
      <c r="B256" s="4" t="s">
        <v>237</v>
      </c>
      <c r="C256" s="12" t="s">
        <v>265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6">P255/P254</f>
        <v>0.62135922330097093</v>
      </c>
      <c r="Q256" s="18">
        <f t="shared" si="36"/>
        <v>0.5913592233009709</v>
      </c>
      <c r="R256" s="18">
        <f t="shared" si="36"/>
        <v>0.60485436893203881</v>
      </c>
      <c r="S256" s="18">
        <f t="shared" si="36"/>
        <v>0.61165048543689315</v>
      </c>
      <c r="T256" s="18">
        <f t="shared" si="36"/>
        <v>0.59483470716099685</v>
      </c>
      <c r="U256" s="18">
        <f t="shared" si="36"/>
        <v>0.48573041154613572</v>
      </c>
      <c r="V256" s="5"/>
      <c r="X256" t="s">
        <v>361</v>
      </c>
    </row>
    <row r="257" spans="2:22" x14ac:dyDescent="0.25">
      <c r="B257" s="4" t="s">
        <v>318</v>
      </c>
      <c r="C257" s="20" t="s">
        <v>319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T257" si="37">(P242+P243+P244)/P255</f>
        <v>0.76593749999999983</v>
      </c>
      <c r="Q257" s="18">
        <f t="shared" si="37"/>
        <v>0.78328681661467736</v>
      </c>
      <c r="R257" s="18">
        <f t="shared" si="37"/>
        <v>0.7881219903691814</v>
      </c>
      <c r="S257" s="18">
        <f t="shared" si="37"/>
        <v>0.80825396825396834</v>
      </c>
      <c r="T257" s="18">
        <f t="shared" si="37"/>
        <v>0.80283337205084271</v>
      </c>
      <c r="U257" s="18">
        <f>(U242+U243+U244)/U255</f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316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190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8">P242+P245</f>
        <v>3.3001891891891897</v>
      </c>
      <c r="Q260" s="328">
        <f t="shared" si="38"/>
        <v>3.1641891891891891</v>
      </c>
      <c r="R260" s="328">
        <f t="shared" si="38"/>
        <v>3.0330810810810807</v>
      </c>
      <c r="S260" s="328">
        <f t="shared" si="38"/>
        <v>3.2032972972972971</v>
      </c>
      <c r="T260" s="328">
        <f t="shared" si="38"/>
        <v>3.0300947810555652</v>
      </c>
      <c r="U260" s="328">
        <f t="shared" si="38"/>
        <v>3.0300947810555652</v>
      </c>
      <c r="V260" s="5"/>
    </row>
    <row r="261" spans="2:22" x14ac:dyDescent="0.25">
      <c r="B261" s="4" t="s">
        <v>1</v>
      </c>
      <c r="C261" s="12" t="s">
        <v>190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9">P243+P244+P246</f>
        <v>3.0998108108108111</v>
      </c>
      <c r="Q261" s="328">
        <f t="shared" si="39"/>
        <v>2.9268108108108111</v>
      </c>
      <c r="R261" s="328">
        <f t="shared" si="39"/>
        <v>3.1969189189189193</v>
      </c>
      <c r="S261" s="328">
        <f t="shared" si="39"/>
        <v>3.0967027027027023</v>
      </c>
      <c r="T261" s="328">
        <f t="shared" si="39"/>
        <v>3.0967027027027023</v>
      </c>
      <c r="U261" s="328">
        <f t="shared" si="39"/>
        <v>1.9729284578696338</v>
      </c>
      <c r="V261" s="5"/>
    </row>
    <row r="262" spans="2:22" x14ac:dyDescent="0.25">
      <c r="B262" s="4" t="s">
        <v>24</v>
      </c>
      <c r="C262" s="12" t="s">
        <v>265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40">P260/P255</f>
        <v>0.51565456081081074</v>
      </c>
      <c r="Q262" s="18">
        <f t="shared" si="40"/>
        <v>0.51948599395652417</v>
      </c>
      <c r="R262" s="18">
        <f t="shared" si="40"/>
        <v>0.48685089583965979</v>
      </c>
      <c r="S262" s="18">
        <f t="shared" si="40"/>
        <v>0.50845988845988843</v>
      </c>
      <c r="T262" s="18">
        <f t="shared" si="40"/>
        <v>0.49456421386346533</v>
      </c>
      <c r="U262" s="18">
        <f t="shared" si="40"/>
        <v>0.60565274961755355</v>
      </c>
      <c r="V262" s="5"/>
    </row>
    <row r="263" spans="2:22" x14ac:dyDescent="0.25">
      <c r="B263" s="4" t="s">
        <v>1</v>
      </c>
      <c r="C263" s="12" t="s">
        <v>265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41">1-P262</f>
        <v>0.48434543918918926</v>
      </c>
      <c r="Q263" s="18">
        <f t="shared" si="41"/>
        <v>0.48051400604347583</v>
      </c>
      <c r="R263" s="18">
        <f t="shared" si="41"/>
        <v>0.51314910416034021</v>
      </c>
      <c r="S263" s="18">
        <f t="shared" si="41"/>
        <v>0.49154011154011157</v>
      </c>
      <c r="T263" s="18">
        <f t="shared" si="41"/>
        <v>0.50543578613653461</v>
      </c>
      <c r="U263" s="18">
        <f t="shared" si="41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528</v>
      </c>
      <c r="C265" s="20" t="s">
        <v>265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42">P246/P247</f>
        <v>0.21281250000000002</v>
      </c>
      <c r="Q265" s="417">
        <f t="shared" si="42"/>
        <v>0.21671318338532264</v>
      </c>
      <c r="R265" s="417">
        <f t="shared" si="42"/>
        <v>0.21187800963081865</v>
      </c>
      <c r="S265" s="417">
        <f t="shared" si="42"/>
        <v>0.19174603174603164</v>
      </c>
      <c r="T265" s="418">
        <f t="shared" si="42"/>
        <v>0.19716662794915726</v>
      </c>
      <c r="U265" s="417">
        <f t="shared" si="42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100" zoomScale="85" zoomScaleNormal="85" workbookViewId="0">
      <selection activeCell="M142" sqref="M142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365</v>
      </c>
    </row>
    <row r="4" spans="1:15" x14ac:dyDescent="0.25">
      <c r="B4" s="136" t="s">
        <v>366</v>
      </c>
    </row>
    <row r="5" spans="1:15" x14ac:dyDescent="0.25">
      <c r="B5" s="15"/>
      <c r="C5" s="332" t="s">
        <v>331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323</v>
      </c>
      <c r="D6" s="12" t="s">
        <v>13</v>
      </c>
      <c r="E6" s="12" t="s">
        <v>11</v>
      </c>
      <c r="F6" s="12" t="s">
        <v>324</v>
      </c>
      <c r="G6" s="12" t="s">
        <v>325</v>
      </c>
      <c r="H6" s="12" t="s">
        <v>326</v>
      </c>
      <c r="I6" s="12" t="s">
        <v>154</v>
      </c>
      <c r="J6" s="12" t="s">
        <v>327</v>
      </c>
      <c r="K6" s="12" t="s">
        <v>328</v>
      </c>
      <c r="L6" s="12" t="s">
        <v>329</v>
      </c>
      <c r="M6" s="12" t="s">
        <v>14</v>
      </c>
      <c r="N6" s="12" t="s">
        <v>201</v>
      </c>
      <c r="O6" s="5"/>
    </row>
    <row r="7" spans="1:15" x14ac:dyDescent="0.25">
      <c r="B7" s="4" t="s">
        <v>330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367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417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48</v>
      </c>
      <c r="F15" s="26" t="s">
        <v>8</v>
      </c>
      <c r="G15" s="26" t="s">
        <v>173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133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134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190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369</v>
      </c>
    </row>
    <row r="28" spans="1:13" x14ac:dyDescent="0.25">
      <c r="J28" t="s">
        <v>143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368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420</v>
      </c>
    </row>
    <row r="38" spans="1:13" x14ac:dyDescent="0.25">
      <c r="B38" s="381" t="s">
        <v>418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436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419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190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369</v>
      </c>
    </row>
    <row r="53" spans="1:11" x14ac:dyDescent="0.25">
      <c r="J53" t="s">
        <v>143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368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420</v>
      </c>
    </row>
    <row r="63" spans="1:11" x14ac:dyDescent="0.25">
      <c r="B63" s="381" t="s">
        <v>418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436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419</v>
      </c>
      <c r="J71" s="380">
        <f>SUM(J65:J69)</f>
        <v>230.58461114450461</v>
      </c>
    </row>
    <row r="75" spans="1:19" x14ac:dyDescent="0.25">
      <c r="A75" s="136" t="s">
        <v>364</v>
      </c>
    </row>
    <row r="77" spans="1:19" x14ac:dyDescent="0.25">
      <c r="B77" t="s">
        <v>379</v>
      </c>
      <c r="J77" t="s">
        <v>383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650</v>
      </c>
    </row>
    <row r="79" spans="1:19" x14ac:dyDescent="0.25">
      <c r="B79" s="4" t="s">
        <v>372</v>
      </c>
      <c r="C79" s="12" t="s">
        <v>370</v>
      </c>
      <c r="D79" s="12" t="s">
        <v>371</v>
      </c>
      <c r="E79" s="351">
        <v>1.46</v>
      </c>
      <c r="F79" s="12"/>
      <c r="G79" s="5"/>
      <c r="J79" s="4"/>
      <c r="K79" s="12"/>
      <c r="L79" s="19" t="s">
        <v>362</v>
      </c>
      <c r="M79" s="5"/>
      <c r="P79" s="381" t="s">
        <v>394</v>
      </c>
      <c r="Q79" s="16"/>
      <c r="R79" s="16"/>
      <c r="S79" s="3"/>
    </row>
    <row r="80" spans="1:19" x14ac:dyDescent="0.25">
      <c r="B80" s="4" t="s">
        <v>373</v>
      </c>
      <c r="C80" s="12" t="s">
        <v>370</v>
      </c>
      <c r="D80" s="12" t="s">
        <v>371</v>
      </c>
      <c r="E80" s="351">
        <v>0.08</v>
      </c>
      <c r="F80" s="12"/>
      <c r="G80" s="5"/>
      <c r="J80" s="353" t="s">
        <v>382</v>
      </c>
      <c r="K80" s="12"/>
      <c r="L80" s="12">
        <v>94.6</v>
      </c>
      <c r="M80" s="5"/>
      <c r="P80" s="4"/>
      <c r="Q80" s="12" t="s">
        <v>370</v>
      </c>
      <c r="R80" s="12"/>
      <c r="S80" s="5"/>
    </row>
    <row r="81" spans="2:19" x14ac:dyDescent="0.25">
      <c r="B81" s="4" t="s">
        <v>374</v>
      </c>
      <c r="C81" s="12" t="s">
        <v>370</v>
      </c>
      <c r="D81" s="12" t="s">
        <v>371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649</v>
      </c>
      <c r="S81" s="5" t="s">
        <v>651</v>
      </c>
    </row>
    <row r="82" spans="2:19" x14ac:dyDescent="0.25">
      <c r="B82" s="4" t="s">
        <v>375</v>
      </c>
      <c r="C82" s="12" t="s">
        <v>370</v>
      </c>
      <c r="D82" s="12" t="s">
        <v>371</v>
      </c>
      <c r="E82" s="351">
        <v>1.35</v>
      </c>
      <c r="F82" s="12"/>
      <c r="G82" s="5"/>
      <c r="J82" s="354" t="s">
        <v>381</v>
      </c>
      <c r="K82" s="12"/>
      <c r="L82" s="12">
        <v>0</v>
      </c>
      <c r="M82" s="5"/>
      <c r="P82" s="4" t="s">
        <v>1</v>
      </c>
      <c r="Q82" s="1">
        <v>0</v>
      </c>
      <c r="R82" s="12" t="s">
        <v>649</v>
      </c>
      <c r="S82" s="5" t="s">
        <v>651</v>
      </c>
    </row>
    <row r="83" spans="2:19" x14ac:dyDescent="0.25">
      <c r="B83" s="4" t="s">
        <v>376</v>
      </c>
      <c r="C83" s="12" t="s">
        <v>370</v>
      </c>
      <c r="D83" s="12" t="s">
        <v>371</v>
      </c>
      <c r="E83" s="352">
        <v>1.5249999999999999</v>
      </c>
      <c r="F83" s="12"/>
      <c r="G83" s="5"/>
      <c r="J83" s="354" t="s">
        <v>380</v>
      </c>
      <c r="K83" s="12"/>
      <c r="L83" s="12">
        <v>56.1</v>
      </c>
      <c r="M83" s="5"/>
      <c r="P83" s="4" t="s">
        <v>377</v>
      </c>
      <c r="Q83" s="1">
        <v>812005</v>
      </c>
      <c r="R83" s="12" t="s">
        <v>649</v>
      </c>
      <c r="S83" s="5" t="s">
        <v>651</v>
      </c>
    </row>
    <row r="84" spans="2:19" x14ac:dyDescent="0.25">
      <c r="B84" s="4" t="s">
        <v>377</v>
      </c>
      <c r="C84" s="12" t="s">
        <v>370</v>
      </c>
      <c r="D84" s="12" t="s">
        <v>371</v>
      </c>
      <c r="E84" s="352">
        <v>0.34</v>
      </c>
      <c r="F84" s="12"/>
      <c r="G84" s="5"/>
      <c r="J84" s="4" t="s">
        <v>363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649</v>
      </c>
      <c r="S84" s="5" t="s">
        <v>651</v>
      </c>
    </row>
    <row r="85" spans="2:19" x14ac:dyDescent="0.25">
      <c r="B85" s="4" t="s">
        <v>378</v>
      </c>
      <c r="C85" s="12" t="s">
        <v>370</v>
      </c>
      <c r="D85" s="12" t="s">
        <v>371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384</v>
      </c>
      <c r="J89" s="12"/>
      <c r="K89" s="12"/>
      <c r="L89" s="12"/>
      <c r="M89" s="12"/>
    </row>
    <row r="90" spans="2:19" x14ac:dyDescent="0.25">
      <c r="C90" t="s">
        <v>391</v>
      </c>
      <c r="K90" s="12"/>
      <c r="L90" s="12"/>
      <c r="M90" s="12"/>
      <c r="Q90" t="s">
        <v>391</v>
      </c>
    </row>
    <row r="91" spans="2:19" x14ac:dyDescent="0.25">
      <c r="B91" t="s">
        <v>7</v>
      </c>
      <c r="C91">
        <f>E79+E82</f>
        <v>2.81</v>
      </c>
      <c r="E91" s="356"/>
      <c r="J91" t="s">
        <v>390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536</v>
      </c>
      <c r="P92" t="s">
        <v>9</v>
      </c>
      <c r="Q92">
        <v>1.605</v>
      </c>
    </row>
    <row r="93" spans="2:19" x14ac:dyDescent="0.25">
      <c r="B93" t="s">
        <v>48</v>
      </c>
      <c r="E93" s="356"/>
      <c r="J93">
        <f>E79*0.5+E80*0.5</f>
        <v>0.77</v>
      </c>
      <c r="K93" t="s">
        <v>389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388</v>
      </c>
      <c r="P94" t="s">
        <v>173</v>
      </c>
      <c r="Q94">
        <v>2.1267142857142858</v>
      </c>
    </row>
    <row r="95" spans="2:19" x14ac:dyDescent="0.25">
      <c r="B95" t="s">
        <v>173</v>
      </c>
      <c r="C95" s="355">
        <f>J94+J93</f>
        <v>2.1267142857142858</v>
      </c>
      <c r="E95" s="356"/>
      <c r="P95" t="s">
        <v>10</v>
      </c>
      <c r="Q95">
        <v>1.54</v>
      </c>
      <c r="R95" t="s">
        <v>535</v>
      </c>
    </row>
    <row r="96" spans="2:19" x14ac:dyDescent="0.25">
      <c r="B96" t="s">
        <v>10</v>
      </c>
      <c r="C96">
        <f>E80+E79</f>
        <v>1.54</v>
      </c>
      <c r="D96" t="s">
        <v>535</v>
      </c>
      <c r="E96" s="356"/>
      <c r="J96" t="s">
        <v>402</v>
      </c>
    </row>
    <row r="97" spans="2:19" x14ac:dyDescent="0.25">
      <c r="D97" s="356"/>
      <c r="E97" s="356"/>
      <c r="J97" s="367">
        <v>0.1</v>
      </c>
      <c r="K97" t="s">
        <v>537</v>
      </c>
    </row>
    <row r="98" spans="2:19" x14ac:dyDescent="0.25">
      <c r="J98" s="367">
        <f>1-J97</f>
        <v>0.9</v>
      </c>
    </row>
    <row r="99" spans="2:19" x14ac:dyDescent="0.25">
      <c r="B99" s="136" t="s">
        <v>393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48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400</v>
      </c>
    </row>
    <row r="105" spans="2:19" x14ac:dyDescent="0.25">
      <c r="B105" t="s">
        <v>173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401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403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396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394</v>
      </c>
      <c r="C110" s="136" t="s">
        <v>392</v>
      </c>
      <c r="K110" s="4" t="s">
        <v>397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48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173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403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395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35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398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399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377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400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378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412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O32" sqref="O32"/>
    </sheetView>
  </sheetViews>
  <sheetFormatPr defaultRowHeight="15" x14ac:dyDescent="0.25"/>
  <sheetData>
    <row r="4" spans="1:3" x14ac:dyDescent="0.25">
      <c r="B4" s="132" t="s">
        <v>602</v>
      </c>
    </row>
    <row r="5" spans="1:3" x14ac:dyDescent="0.25">
      <c r="B5" t="s">
        <v>603</v>
      </c>
      <c r="C5" t="s">
        <v>604</v>
      </c>
    </row>
    <row r="7" spans="1:3" x14ac:dyDescent="0.25">
      <c r="A7" s="136" t="s">
        <v>6</v>
      </c>
    </row>
    <row r="8" spans="1:3" x14ac:dyDescent="0.25">
      <c r="B8" t="s">
        <v>620</v>
      </c>
    </row>
    <row r="9" spans="1:3" x14ac:dyDescent="0.25">
      <c r="B9">
        <v>280</v>
      </c>
      <c r="C9" t="s">
        <v>619</v>
      </c>
    </row>
    <row r="10" spans="1:3" x14ac:dyDescent="0.25">
      <c r="B10">
        <v>120</v>
      </c>
      <c r="C10" t="s">
        <v>621</v>
      </c>
    </row>
    <row r="11" spans="1:3" x14ac:dyDescent="0.25">
      <c r="B11">
        <v>500</v>
      </c>
      <c r="C11" t="s">
        <v>622</v>
      </c>
    </row>
    <row r="12" spans="1:3" x14ac:dyDescent="0.25">
      <c r="B12" t="s">
        <v>199</v>
      </c>
      <c r="C12" t="s">
        <v>623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/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421</v>
      </c>
      <c r="J2" t="s">
        <v>427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434</v>
      </c>
    </row>
    <row r="5" spans="1:11" x14ac:dyDescent="0.25">
      <c r="A5" s="4" t="s">
        <v>423</v>
      </c>
      <c r="B5" s="392">
        <v>220000</v>
      </c>
      <c r="C5" s="12" t="s">
        <v>424</v>
      </c>
      <c r="E5" s="12"/>
      <c r="F5" s="12"/>
      <c r="H5" s="5"/>
      <c r="J5">
        <v>30</v>
      </c>
      <c r="K5" t="s">
        <v>435</v>
      </c>
    </row>
    <row r="6" spans="1:11" x14ac:dyDescent="0.25">
      <c r="A6" s="4" t="s">
        <v>464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422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289</v>
      </c>
      <c r="H8" s="5"/>
      <c r="J8" t="s">
        <v>431</v>
      </c>
    </row>
    <row r="9" spans="1:11" x14ac:dyDescent="0.25">
      <c r="A9" s="4" t="s">
        <v>425</v>
      </c>
      <c r="B9" s="12"/>
      <c r="C9" s="12">
        <v>1.4</v>
      </c>
      <c r="D9" s="12">
        <v>1.4</v>
      </c>
      <c r="E9" s="12">
        <v>1.4</v>
      </c>
      <c r="F9" s="12"/>
      <c r="G9" s="12" t="s">
        <v>426</v>
      </c>
      <c r="H9" s="5"/>
      <c r="J9" t="s">
        <v>432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430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428</v>
      </c>
      <c r="B12" s="12"/>
      <c r="C12" s="12">
        <v>367</v>
      </c>
      <c r="D12" s="12">
        <v>193</v>
      </c>
      <c r="E12" s="12">
        <v>158</v>
      </c>
      <c r="F12" s="12"/>
      <c r="G12" s="12" t="s">
        <v>429</v>
      </c>
      <c r="H12" s="5"/>
      <c r="J12" t="s">
        <v>465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433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553</v>
      </c>
    </row>
    <row r="18" spans="1:13" x14ac:dyDescent="0.25">
      <c r="K18" s="15"/>
      <c r="L18" s="16"/>
      <c r="M18" s="3"/>
    </row>
    <row r="19" spans="1:13" x14ac:dyDescent="0.25">
      <c r="A19" t="s">
        <v>479</v>
      </c>
      <c r="K19" s="4"/>
      <c r="L19" s="12" t="s">
        <v>552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206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480</v>
      </c>
      <c r="D21" s="12"/>
      <c r="E21" s="12"/>
      <c r="F21" s="12"/>
      <c r="G21" s="12"/>
      <c r="H21" s="5"/>
      <c r="K21" s="4" t="s">
        <v>551</v>
      </c>
      <c r="L21" s="12">
        <v>2.7</v>
      </c>
      <c r="M21" s="5"/>
    </row>
    <row r="22" spans="1:13" x14ac:dyDescent="0.25">
      <c r="A22" s="4" t="s">
        <v>481</v>
      </c>
      <c r="B22" s="1">
        <v>190000</v>
      </c>
      <c r="C22" s="12" t="s">
        <v>482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425</v>
      </c>
      <c r="B24" s="12">
        <v>1.4</v>
      </c>
      <c r="C24" s="12" t="s">
        <v>483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484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447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448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449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450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452</v>
      </c>
      <c r="D41" s="12"/>
      <c r="E41" s="12"/>
      <c r="F41" s="12"/>
      <c r="G41" s="12"/>
      <c r="H41" s="5"/>
    </row>
    <row r="42" spans="1:8" x14ac:dyDescent="0.25">
      <c r="A42" s="4" t="s">
        <v>451</v>
      </c>
      <c r="B42" s="12">
        <v>0.4</v>
      </c>
      <c r="C42" s="12">
        <v>1.8</v>
      </c>
      <c r="D42" s="12" t="s">
        <v>190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466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596</v>
      </c>
    </row>
    <row r="50" spans="1:14" x14ac:dyDescent="0.25">
      <c r="A50" s="4"/>
      <c r="B50" s="12"/>
      <c r="C50" s="12" t="s">
        <v>474</v>
      </c>
      <c r="D50" s="12"/>
      <c r="E50" s="12"/>
      <c r="F50" s="12"/>
      <c r="G50" s="12"/>
      <c r="H50" s="5"/>
    </row>
    <row r="51" spans="1:14" x14ac:dyDescent="0.25">
      <c r="A51" s="4" t="s">
        <v>468</v>
      </c>
      <c r="B51" s="12" t="s">
        <v>470</v>
      </c>
      <c r="C51" s="1">
        <v>1088723</v>
      </c>
      <c r="D51" s="12" t="s">
        <v>467</v>
      </c>
      <c r="E51" s="12"/>
      <c r="F51" s="12" t="s">
        <v>472</v>
      </c>
      <c r="G51" s="12"/>
      <c r="H51" s="5"/>
      <c r="J51" s="133">
        <f>C51/0.52</f>
        <v>2093698.0769230768</v>
      </c>
      <c r="K51" t="s">
        <v>475</v>
      </c>
      <c r="M51" s="347">
        <f>C51/1000</f>
        <v>1088.723</v>
      </c>
      <c r="N51" t="s">
        <v>597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476</v>
      </c>
      <c r="M52" s="349">
        <f>J52/1000</f>
        <v>62.810942307692308</v>
      </c>
      <c r="N52" t="s">
        <v>598</v>
      </c>
    </row>
    <row r="53" spans="1:14" x14ac:dyDescent="0.25">
      <c r="A53" s="4" t="s">
        <v>471</v>
      </c>
      <c r="B53" s="12" t="s">
        <v>469</v>
      </c>
      <c r="C53" s="1">
        <v>317799</v>
      </c>
      <c r="D53" s="12" t="s">
        <v>467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652</v>
      </c>
    </row>
    <row r="55" spans="1:14" x14ac:dyDescent="0.25">
      <c r="A55" s="4" t="s">
        <v>23</v>
      </c>
      <c r="B55" s="12" t="s">
        <v>473</v>
      </c>
      <c r="C55" s="1">
        <v>8569232</v>
      </c>
      <c r="D55" s="12" t="s">
        <v>467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477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478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488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489</v>
      </c>
      <c r="B74" s="12">
        <v>1.1499999999999999</v>
      </c>
      <c r="C74" s="12" t="s">
        <v>490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491</v>
      </c>
      <c r="B76" s="308">
        <v>0.65</v>
      </c>
      <c r="C76" s="12" t="s">
        <v>565</v>
      </c>
      <c r="D76" s="12"/>
      <c r="E76" s="12"/>
      <c r="F76" s="12"/>
      <c r="G76" s="12"/>
      <c r="H76" s="5"/>
    </row>
    <row r="77" spans="1:12" x14ac:dyDescent="0.25">
      <c r="A77" s="4" t="s">
        <v>492</v>
      </c>
      <c r="B77" s="308">
        <v>0.35</v>
      </c>
      <c r="C77" s="12" t="s">
        <v>566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495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494</v>
      </c>
      <c r="C80" s="12"/>
      <c r="D80" s="12"/>
      <c r="E80" s="12"/>
      <c r="F80" s="12"/>
      <c r="G80" s="12"/>
      <c r="H80" s="5"/>
      <c r="J80" t="s">
        <v>435</v>
      </c>
      <c r="L80" t="s">
        <v>496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493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504</v>
      </c>
      <c r="L84" s="393">
        <f>SUM(L81:L83)</f>
        <v>15570</v>
      </c>
      <c r="M84" s="136" t="s">
        <v>497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497</v>
      </c>
    </row>
    <row r="86" spans="1:15" x14ac:dyDescent="0.25">
      <c r="A86" s="354" t="s">
        <v>498</v>
      </c>
      <c r="B86" s="20">
        <v>1.8</v>
      </c>
      <c r="C86" s="12" t="s">
        <v>499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497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653</v>
      </c>
      <c r="J94" s="367"/>
      <c r="O94" s="349"/>
    </row>
    <row r="95" spans="1:15" x14ac:dyDescent="0.25">
      <c r="B95" t="s">
        <v>665</v>
      </c>
      <c r="J95" s="367"/>
    </row>
    <row r="96" spans="1:15" ht="15.75" thickBot="1" x14ac:dyDescent="0.3">
      <c r="B96" s="471"/>
      <c r="C96" s="471" t="s">
        <v>654</v>
      </c>
      <c r="D96" s="471" t="s">
        <v>655</v>
      </c>
      <c r="E96" s="471" t="s">
        <v>656</v>
      </c>
      <c r="F96" s="471" t="s">
        <v>657</v>
      </c>
      <c r="G96" s="471" t="s">
        <v>658</v>
      </c>
      <c r="J96" s="133"/>
    </row>
    <row r="97" spans="2:11" ht="29.25" thickBot="1" x14ac:dyDescent="0.3">
      <c r="B97" s="472" t="s">
        <v>659</v>
      </c>
      <c r="C97" s="473" t="s">
        <v>660</v>
      </c>
      <c r="D97" s="473" t="s">
        <v>661</v>
      </c>
      <c r="E97" s="473" t="s">
        <v>662</v>
      </c>
      <c r="F97" s="473" t="s">
        <v>663</v>
      </c>
      <c r="G97" s="473">
        <v>179.47</v>
      </c>
      <c r="H97" s="474" t="s">
        <v>664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484</v>
      </c>
      <c r="J100" s="348">
        <v>29</v>
      </c>
      <c r="K100" t="s">
        <v>149</v>
      </c>
    </row>
    <row r="101" spans="2:11" x14ac:dyDescent="0.25">
      <c r="G101" s="349">
        <f>G100/J100</f>
        <v>99.017931034482757</v>
      </c>
      <c r="H101" t="s">
        <v>666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zoomScale="85" zoomScaleNormal="85" workbookViewId="0">
      <selection activeCell="H131" sqref="H131"/>
    </sheetView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673</v>
      </c>
    </row>
    <row r="3" spans="1:10" ht="16.5" thickTop="1" x14ac:dyDescent="0.25"/>
    <row r="4" spans="1:10" x14ac:dyDescent="0.25">
      <c r="B4" s="72" t="s">
        <v>674</v>
      </c>
      <c r="C4" s="476" t="s">
        <v>675</v>
      </c>
      <c r="D4" s="23" t="s">
        <v>738</v>
      </c>
      <c r="E4" s="100">
        <v>1.3012729844413011</v>
      </c>
      <c r="F4" s="23" t="s">
        <v>739</v>
      </c>
    </row>
    <row r="5" spans="1:10" x14ac:dyDescent="0.25">
      <c r="B5" s="72" t="s">
        <v>676</v>
      </c>
      <c r="C5" s="476">
        <v>2010</v>
      </c>
    </row>
    <row r="7" spans="1:10" ht="18" thickBot="1" x14ac:dyDescent="0.35">
      <c r="B7" s="24" t="s">
        <v>733</v>
      </c>
    </row>
    <row r="8" spans="1:10" ht="16.5" thickTop="1" x14ac:dyDescent="0.25">
      <c r="B8" s="477"/>
      <c r="C8" s="478"/>
      <c r="D8" s="478" t="s">
        <v>677</v>
      </c>
      <c r="E8" s="478" t="s">
        <v>678</v>
      </c>
      <c r="F8" s="478" t="s">
        <v>679</v>
      </c>
      <c r="G8" s="478" t="s">
        <v>680</v>
      </c>
      <c r="H8" s="478" t="s">
        <v>681</v>
      </c>
      <c r="I8" s="478" t="s">
        <v>734</v>
      </c>
      <c r="J8" s="479" t="s">
        <v>564</v>
      </c>
    </row>
    <row r="9" spans="1:10" x14ac:dyDescent="0.25">
      <c r="B9" s="80"/>
      <c r="C9" s="92"/>
      <c r="D9" s="92" t="s">
        <v>682</v>
      </c>
      <c r="E9" s="92" t="s">
        <v>683</v>
      </c>
      <c r="F9" s="92"/>
      <c r="G9" s="92"/>
      <c r="H9" s="92"/>
      <c r="I9" s="92"/>
      <c r="J9" s="480"/>
    </row>
    <row r="10" spans="1:10" x14ac:dyDescent="0.25">
      <c r="B10" s="91" t="s">
        <v>232</v>
      </c>
      <c r="C10" s="74" t="s">
        <v>247</v>
      </c>
      <c r="D10" s="74" t="s">
        <v>684</v>
      </c>
      <c r="E10" s="74">
        <v>98</v>
      </c>
      <c r="F10" s="74" t="s">
        <v>685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686</v>
      </c>
    </row>
    <row r="11" spans="1:10" x14ac:dyDescent="0.25">
      <c r="B11" s="60"/>
      <c r="C11" s="74" t="s">
        <v>687</v>
      </c>
      <c r="D11" s="74" t="s">
        <v>684</v>
      </c>
      <c r="E11" s="74">
        <v>43.89</v>
      </c>
      <c r="F11" s="74" t="s">
        <v>685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688</v>
      </c>
    </row>
    <row r="12" spans="1:10" x14ac:dyDescent="0.25">
      <c r="B12" s="72"/>
      <c r="C12" s="74" t="s">
        <v>689</v>
      </c>
      <c r="D12" s="74" t="s">
        <v>684</v>
      </c>
      <c r="E12" s="74">
        <v>340</v>
      </c>
      <c r="F12" s="74" t="s">
        <v>685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686</v>
      </c>
    </row>
    <row r="13" spans="1:10" x14ac:dyDescent="0.25">
      <c r="B13" s="72"/>
      <c r="C13" s="74" t="s">
        <v>690</v>
      </c>
      <c r="D13" s="74" t="s">
        <v>691</v>
      </c>
      <c r="E13" s="74">
        <v>9.5000000000000001E-2</v>
      </c>
      <c r="F13" s="74" t="s">
        <v>685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686</v>
      </c>
    </row>
    <row r="14" spans="1:10" x14ac:dyDescent="0.25">
      <c r="B14" s="72"/>
      <c r="C14" s="74" t="s">
        <v>692</v>
      </c>
      <c r="D14" s="74" t="s">
        <v>684</v>
      </c>
      <c r="E14" s="74">
        <v>90.02</v>
      </c>
      <c r="F14" s="74" t="s">
        <v>685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688</v>
      </c>
    </row>
    <row r="15" spans="1:10" x14ac:dyDescent="0.25">
      <c r="B15" s="72"/>
      <c r="C15" s="74" t="s">
        <v>693</v>
      </c>
      <c r="D15" s="74" t="s">
        <v>684</v>
      </c>
      <c r="E15" s="74">
        <v>77.83</v>
      </c>
      <c r="F15" s="74" t="s">
        <v>685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688</v>
      </c>
    </row>
    <row r="16" spans="1:10" x14ac:dyDescent="0.25">
      <c r="B16" s="72"/>
      <c r="C16" s="74" t="s">
        <v>694</v>
      </c>
      <c r="D16" s="74" t="s">
        <v>684</v>
      </c>
      <c r="E16" s="74">
        <v>1175</v>
      </c>
      <c r="F16" s="74" t="s">
        <v>685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686</v>
      </c>
    </row>
    <row r="17" spans="2:10" x14ac:dyDescent="0.25">
      <c r="B17" s="72"/>
      <c r="C17" s="74" t="s">
        <v>249</v>
      </c>
      <c r="D17" s="74" t="s">
        <v>684</v>
      </c>
      <c r="E17" s="74">
        <v>50</v>
      </c>
      <c r="F17" s="74" t="s">
        <v>685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686</v>
      </c>
    </row>
    <row r="18" spans="2:10" x14ac:dyDescent="0.25">
      <c r="B18" s="72"/>
      <c r="C18" s="74" t="s">
        <v>695</v>
      </c>
      <c r="D18" s="74" t="s">
        <v>684</v>
      </c>
      <c r="E18" s="74">
        <v>490.53</v>
      </c>
      <c r="F18" s="74" t="s">
        <v>685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688</v>
      </c>
    </row>
    <row r="19" spans="2:10" x14ac:dyDescent="0.25">
      <c r="B19" s="72"/>
      <c r="C19" s="74" t="s">
        <v>696</v>
      </c>
      <c r="D19" s="74" t="s">
        <v>684</v>
      </c>
      <c r="E19" s="74">
        <v>5800</v>
      </c>
      <c r="F19" s="74" t="s">
        <v>685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686</v>
      </c>
    </row>
    <row r="20" spans="2:10" x14ac:dyDescent="0.25">
      <c r="B20" s="72"/>
      <c r="C20" s="74" t="s">
        <v>697</v>
      </c>
      <c r="D20" s="74" t="s">
        <v>684</v>
      </c>
      <c r="E20" s="74">
        <v>648</v>
      </c>
      <c r="F20" s="74" t="s">
        <v>685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686</v>
      </c>
    </row>
    <row r="21" spans="2:10" x14ac:dyDescent="0.25">
      <c r="B21" s="91" t="s">
        <v>698</v>
      </c>
      <c r="C21" s="74" t="s">
        <v>699</v>
      </c>
      <c r="D21" s="74" t="s">
        <v>684</v>
      </c>
      <c r="E21" s="74">
        <v>9.25</v>
      </c>
      <c r="F21" s="74" t="s">
        <v>685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686</v>
      </c>
    </row>
    <row r="22" spans="2:10" x14ac:dyDescent="0.25">
      <c r="B22" s="72"/>
      <c r="C22" s="74" t="s">
        <v>700</v>
      </c>
      <c r="D22" s="74" t="s">
        <v>684</v>
      </c>
      <c r="E22" s="74">
        <v>5</v>
      </c>
      <c r="F22" s="74" t="s">
        <v>685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686</v>
      </c>
    </row>
    <row r="23" spans="2:10" x14ac:dyDescent="0.25">
      <c r="B23" s="72"/>
      <c r="C23" s="74" t="s">
        <v>701</v>
      </c>
      <c r="D23" s="74" t="s">
        <v>684</v>
      </c>
      <c r="E23" s="74">
        <v>13.25</v>
      </c>
      <c r="F23" s="74" t="s">
        <v>685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686</v>
      </c>
    </row>
    <row r="24" spans="2:10" x14ac:dyDescent="0.25">
      <c r="B24" s="91" t="s">
        <v>702</v>
      </c>
      <c r="C24" s="74" t="s">
        <v>703</v>
      </c>
      <c r="D24" s="74" t="s">
        <v>704</v>
      </c>
      <c r="E24" s="74">
        <v>37.700000000000003</v>
      </c>
      <c r="F24" s="74" t="s">
        <v>685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686</v>
      </c>
    </row>
    <row r="25" spans="2:10" x14ac:dyDescent="0.25">
      <c r="B25" s="72"/>
      <c r="C25" s="74" t="s">
        <v>705</v>
      </c>
      <c r="D25" s="74"/>
      <c r="E25" s="74"/>
      <c r="F25" s="74" t="s">
        <v>685</v>
      </c>
      <c r="G25" s="481">
        <v>2011</v>
      </c>
      <c r="H25" s="74">
        <v>7.5574381672222009</v>
      </c>
      <c r="I25" s="486">
        <f>H25*E25</f>
        <v>0</v>
      </c>
      <c r="J25" s="482" t="s">
        <v>686</v>
      </c>
    </row>
    <row r="26" spans="2:10" x14ac:dyDescent="0.25">
      <c r="B26" s="72"/>
      <c r="C26" s="74" t="s">
        <v>706</v>
      </c>
      <c r="D26" s="483" t="s">
        <v>707</v>
      </c>
      <c r="E26" s="74">
        <v>15</v>
      </c>
      <c r="F26" s="74" t="s">
        <v>685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686</v>
      </c>
    </row>
    <row r="27" spans="2:10" x14ac:dyDescent="0.25">
      <c r="B27" s="72"/>
      <c r="C27" s="74" t="s">
        <v>708</v>
      </c>
      <c r="D27" s="483" t="s">
        <v>707</v>
      </c>
      <c r="E27" s="74">
        <v>-31.8</v>
      </c>
      <c r="F27" s="74" t="s">
        <v>685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686</v>
      </c>
    </row>
    <row r="33" spans="2:9" ht="18" thickBot="1" x14ac:dyDescent="0.35">
      <c r="B33" s="24" t="s">
        <v>709</v>
      </c>
    </row>
    <row r="34" spans="2:9" ht="16.5" thickTop="1" x14ac:dyDescent="0.25">
      <c r="B34" s="477"/>
      <c r="C34" s="478"/>
      <c r="D34" s="478" t="s">
        <v>710</v>
      </c>
      <c r="E34" s="478" t="s">
        <v>677</v>
      </c>
      <c r="F34" s="478" t="s">
        <v>7</v>
      </c>
      <c r="G34" s="478"/>
      <c r="H34" s="478" t="s">
        <v>7</v>
      </c>
      <c r="I34" s="479" t="s">
        <v>711</v>
      </c>
    </row>
    <row r="35" spans="2:9" x14ac:dyDescent="0.25">
      <c r="B35" s="80"/>
      <c r="C35" s="92"/>
      <c r="D35" s="92"/>
      <c r="E35" s="92"/>
      <c r="F35" s="92" t="s">
        <v>712</v>
      </c>
      <c r="G35" s="92"/>
      <c r="H35" s="484" t="s">
        <v>713</v>
      </c>
      <c r="I35" s="480"/>
    </row>
    <row r="36" spans="2:9" x14ac:dyDescent="0.25">
      <c r="B36" s="72" t="s">
        <v>714</v>
      </c>
      <c r="C36" s="74" t="s">
        <v>247</v>
      </c>
      <c r="D36" s="74" t="s">
        <v>715</v>
      </c>
      <c r="E36" s="74" t="s">
        <v>716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717</v>
      </c>
    </row>
    <row r="37" spans="2:9" x14ac:dyDescent="0.25">
      <c r="B37" s="72"/>
      <c r="C37" s="74" t="s">
        <v>699</v>
      </c>
      <c r="D37" s="74" t="s">
        <v>718</v>
      </c>
      <c r="E37" s="74" t="s">
        <v>716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717</v>
      </c>
    </row>
    <row r="38" spans="2:9" x14ac:dyDescent="0.25">
      <c r="B38" s="72"/>
      <c r="C38" s="74" t="s">
        <v>689</v>
      </c>
      <c r="D38" s="74" t="s">
        <v>715</v>
      </c>
      <c r="E38" s="74" t="s">
        <v>716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717</v>
      </c>
    </row>
    <row r="39" spans="2:9" x14ac:dyDescent="0.25">
      <c r="B39" s="72"/>
      <c r="C39" s="74" t="s">
        <v>700</v>
      </c>
      <c r="D39" s="74" t="s">
        <v>718</v>
      </c>
      <c r="E39" s="74" t="s">
        <v>716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717</v>
      </c>
    </row>
    <row r="40" spans="2:9" x14ac:dyDescent="0.25">
      <c r="B40" s="72"/>
      <c r="C40" s="74" t="s">
        <v>701</v>
      </c>
      <c r="D40" s="74" t="s">
        <v>718</v>
      </c>
      <c r="E40" s="74" t="s">
        <v>716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717</v>
      </c>
    </row>
    <row r="41" spans="2:9" x14ac:dyDescent="0.25">
      <c r="B41" s="72"/>
      <c r="C41" s="74" t="s">
        <v>690</v>
      </c>
      <c r="D41" s="74" t="s">
        <v>715</v>
      </c>
      <c r="E41" s="74" t="s">
        <v>719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717</v>
      </c>
    </row>
    <row r="42" spans="2:9" x14ac:dyDescent="0.25">
      <c r="B42" s="72"/>
      <c r="C42" s="74" t="s">
        <v>694</v>
      </c>
      <c r="D42" s="74" t="s">
        <v>715</v>
      </c>
      <c r="E42" s="74" t="s">
        <v>716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717</v>
      </c>
    </row>
    <row r="43" spans="2:9" x14ac:dyDescent="0.25">
      <c r="B43" s="72"/>
      <c r="C43" s="74" t="s">
        <v>249</v>
      </c>
      <c r="D43" s="74" t="s">
        <v>715</v>
      </c>
      <c r="E43" s="74" t="s">
        <v>716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717</v>
      </c>
    </row>
    <row r="44" spans="2:9" x14ac:dyDescent="0.25">
      <c r="B44" s="72"/>
      <c r="C44" s="74" t="s">
        <v>696</v>
      </c>
      <c r="D44" s="74" t="s">
        <v>715</v>
      </c>
      <c r="E44" s="74" t="s">
        <v>716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717</v>
      </c>
    </row>
    <row r="45" spans="2:9" x14ac:dyDescent="0.25">
      <c r="B45" s="72"/>
      <c r="C45" s="74" t="s">
        <v>697</v>
      </c>
      <c r="D45" s="74" t="s">
        <v>715</v>
      </c>
      <c r="E45" s="74" t="s">
        <v>716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717</v>
      </c>
    </row>
    <row r="46" spans="2:9" x14ac:dyDescent="0.25">
      <c r="B46" s="72" t="s">
        <v>702</v>
      </c>
      <c r="C46" s="74" t="s">
        <v>703</v>
      </c>
      <c r="D46" s="74" t="s">
        <v>715</v>
      </c>
      <c r="E46" s="74" t="s">
        <v>720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717</v>
      </c>
    </row>
    <row r="47" spans="2:9" x14ac:dyDescent="0.25">
      <c r="B47" s="72"/>
      <c r="C47" s="74" t="s">
        <v>706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717</v>
      </c>
    </row>
    <row r="48" spans="2:9" x14ac:dyDescent="0.25">
      <c r="B48" s="72"/>
      <c r="C48" s="74" t="s">
        <v>708</v>
      </c>
      <c r="D48" s="74" t="s">
        <v>715</v>
      </c>
      <c r="E48" s="74" t="s">
        <v>716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717</v>
      </c>
    </row>
    <row r="49" spans="2:9" x14ac:dyDescent="0.25">
      <c r="B49" s="72"/>
      <c r="C49" s="74" t="s">
        <v>721</v>
      </c>
      <c r="D49" s="74"/>
      <c r="E49" s="74"/>
      <c r="F49" s="74"/>
      <c r="G49" s="74" t="e">
        <f t="shared" si="1"/>
        <v>#N/A</v>
      </c>
      <c r="H49" s="74"/>
      <c r="I49" s="476" t="s">
        <v>717</v>
      </c>
    </row>
    <row r="50" spans="2:9" x14ac:dyDescent="0.25">
      <c r="B50" s="72"/>
      <c r="C50" s="74" t="s">
        <v>722</v>
      </c>
      <c r="D50" s="74"/>
      <c r="E50" s="74"/>
      <c r="F50" s="74"/>
      <c r="G50" s="74" t="e">
        <f t="shared" si="1"/>
        <v>#N/A</v>
      </c>
      <c r="H50" s="74"/>
      <c r="I50" s="476" t="s">
        <v>717</v>
      </c>
    </row>
    <row r="51" spans="2:9" x14ac:dyDescent="0.25">
      <c r="B51" s="72"/>
      <c r="C51" s="74" t="s">
        <v>723</v>
      </c>
      <c r="D51" s="74"/>
      <c r="E51" s="74"/>
      <c r="F51" s="74"/>
      <c r="G51" s="74" t="e">
        <f t="shared" si="1"/>
        <v>#N/A</v>
      </c>
      <c r="H51" s="74"/>
      <c r="I51" s="476" t="s">
        <v>717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740</v>
      </c>
    </row>
    <row r="55" spans="2:9" ht="18" thickBot="1" x14ac:dyDescent="0.35">
      <c r="B55" s="24" t="s">
        <v>724</v>
      </c>
    </row>
    <row r="56" spans="2:9" ht="16.5" thickTop="1" x14ac:dyDescent="0.25">
      <c r="B56" s="91"/>
      <c r="C56" s="94"/>
      <c r="D56" s="94" t="s">
        <v>710</v>
      </c>
      <c r="E56" s="94" t="s">
        <v>677</v>
      </c>
      <c r="F56" s="94" t="s">
        <v>9</v>
      </c>
      <c r="G56" s="94"/>
      <c r="H56" s="94" t="s">
        <v>9</v>
      </c>
      <c r="I56" s="95" t="s">
        <v>725</v>
      </c>
    </row>
    <row r="57" spans="2:9" x14ac:dyDescent="0.25">
      <c r="B57" s="80"/>
      <c r="C57" s="92"/>
      <c r="D57" s="92"/>
      <c r="E57" s="92"/>
      <c r="F57" s="92" t="s">
        <v>712</v>
      </c>
      <c r="G57" s="92"/>
      <c r="H57" s="92" t="s">
        <v>726</v>
      </c>
      <c r="I57" s="480"/>
    </row>
    <row r="58" spans="2:9" x14ac:dyDescent="0.25">
      <c r="B58" s="72" t="s">
        <v>714</v>
      </c>
      <c r="C58" s="74" t="s">
        <v>687</v>
      </c>
      <c r="D58" s="74" t="s">
        <v>715</v>
      </c>
      <c r="E58" s="74" t="s">
        <v>716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688</v>
      </c>
    </row>
    <row r="59" spans="2:9" x14ac:dyDescent="0.25">
      <c r="B59" s="72"/>
      <c r="C59" s="74" t="s">
        <v>699</v>
      </c>
      <c r="D59" s="74" t="s">
        <v>718</v>
      </c>
      <c r="E59" s="74" t="s">
        <v>716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688</v>
      </c>
    </row>
    <row r="60" spans="2:9" x14ac:dyDescent="0.25">
      <c r="B60" s="72"/>
      <c r="C60" s="74" t="s">
        <v>689</v>
      </c>
      <c r="D60" s="74" t="s">
        <v>715</v>
      </c>
      <c r="E60" s="74" t="s">
        <v>716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700</v>
      </c>
      <c r="D61" s="74" t="s">
        <v>718</v>
      </c>
      <c r="E61" s="74" t="s">
        <v>716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701</v>
      </c>
      <c r="D62" s="74" t="s">
        <v>718</v>
      </c>
      <c r="E62" s="74" t="s">
        <v>716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690</v>
      </c>
      <c r="D63" s="74" t="s">
        <v>715</v>
      </c>
      <c r="E63" s="74" t="s">
        <v>719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693</v>
      </c>
      <c r="D64" s="74" t="s">
        <v>715</v>
      </c>
      <c r="E64" s="74" t="s">
        <v>716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249</v>
      </c>
      <c r="D65" s="74" t="s">
        <v>715</v>
      </c>
      <c r="E65" s="74" t="s">
        <v>716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696</v>
      </c>
      <c r="D66" s="74" t="s">
        <v>715</v>
      </c>
      <c r="E66" s="74" t="s">
        <v>716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697</v>
      </c>
      <c r="D67" s="74" t="s">
        <v>715</v>
      </c>
      <c r="E67" s="74" t="s">
        <v>716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702</v>
      </c>
      <c r="C68" s="74" t="s">
        <v>703</v>
      </c>
      <c r="D68" s="74" t="s">
        <v>715</v>
      </c>
      <c r="E68" s="74" t="s">
        <v>720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706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708</v>
      </c>
      <c r="D70" s="74" t="s">
        <v>715</v>
      </c>
      <c r="E70" s="74" t="s">
        <v>716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721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722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723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740</v>
      </c>
    </row>
    <row r="77" spans="2:9" ht="18" thickBot="1" x14ac:dyDescent="0.35">
      <c r="B77" s="24" t="s">
        <v>727</v>
      </c>
    </row>
    <row r="78" spans="2:9" ht="16.5" thickTop="1" x14ac:dyDescent="0.25">
      <c r="B78" s="477"/>
      <c r="C78" s="478"/>
      <c r="D78" s="478" t="s">
        <v>710</v>
      </c>
      <c r="E78" s="478" t="s">
        <v>677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712</v>
      </c>
      <c r="G79" s="92"/>
      <c r="H79" s="92" t="s">
        <v>726</v>
      </c>
      <c r="I79" s="480"/>
    </row>
    <row r="80" spans="2:9" x14ac:dyDescent="0.25">
      <c r="B80" s="72" t="s">
        <v>714</v>
      </c>
      <c r="C80" s="74" t="s">
        <v>247</v>
      </c>
      <c r="D80" s="74" t="s">
        <v>715</v>
      </c>
      <c r="E80" s="74" t="s">
        <v>716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728</v>
      </c>
    </row>
    <row r="81" spans="2:9" x14ac:dyDescent="0.25">
      <c r="B81" s="72"/>
      <c r="C81" s="74" t="s">
        <v>699</v>
      </c>
      <c r="D81" s="74" t="s">
        <v>718</v>
      </c>
      <c r="E81" s="74" t="s">
        <v>716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728</v>
      </c>
    </row>
    <row r="82" spans="2:9" x14ac:dyDescent="0.25">
      <c r="B82" s="72"/>
      <c r="C82" s="74" t="s">
        <v>689</v>
      </c>
      <c r="D82" s="74" t="s">
        <v>715</v>
      </c>
      <c r="E82" s="74" t="s">
        <v>716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728</v>
      </c>
    </row>
    <row r="83" spans="2:9" x14ac:dyDescent="0.25">
      <c r="B83" s="72"/>
      <c r="C83" s="74" t="s">
        <v>700</v>
      </c>
      <c r="D83" s="74" t="s">
        <v>718</v>
      </c>
      <c r="E83" s="74" t="s">
        <v>716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728</v>
      </c>
    </row>
    <row r="84" spans="2:9" x14ac:dyDescent="0.25">
      <c r="B84" s="72"/>
      <c r="C84" s="74" t="s">
        <v>701</v>
      </c>
      <c r="D84" s="74" t="s">
        <v>718</v>
      </c>
      <c r="E84" s="74" t="s">
        <v>716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728</v>
      </c>
    </row>
    <row r="85" spans="2:9" x14ac:dyDescent="0.25">
      <c r="B85" s="72"/>
      <c r="C85" s="74" t="s">
        <v>690</v>
      </c>
      <c r="D85" s="74" t="s">
        <v>715</v>
      </c>
      <c r="E85" s="74" t="s">
        <v>719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728</v>
      </c>
    </row>
    <row r="86" spans="2:9" x14ac:dyDescent="0.25">
      <c r="B86" s="72"/>
      <c r="C86" s="74" t="s">
        <v>694</v>
      </c>
      <c r="D86" s="74" t="s">
        <v>715</v>
      </c>
      <c r="E86" s="74" t="s">
        <v>716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728</v>
      </c>
    </row>
    <row r="87" spans="2:9" x14ac:dyDescent="0.25">
      <c r="B87" s="72"/>
      <c r="C87" s="74" t="s">
        <v>249</v>
      </c>
      <c r="D87" s="74" t="s">
        <v>715</v>
      </c>
      <c r="E87" s="74" t="s">
        <v>716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728</v>
      </c>
    </row>
    <row r="88" spans="2:9" x14ac:dyDescent="0.25">
      <c r="B88" s="72"/>
      <c r="C88" s="74" t="s">
        <v>696</v>
      </c>
      <c r="D88" s="74" t="s">
        <v>715</v>
      </c>
      <c r="E88" s="74" t="s">
        <v>716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728</v>
      </c>
    </row>
    <row r="89" spans="2:9" x14ac:dyDescent="0.25">
      <c r="B89" s="72"/>
      <c r="C89" s="74" t="s">
        <v>697</v>
      </c>
      <c r="D89" s="74" t="s">
        <v>715</v>
      </c>
      <c r="E89" s="74" t="s">
        <v>716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728</v>
      </c>
    </row>
    <row r="90" spans="2:9" x14ac:dyDescent="0.25">
      <c r="B90" s="72" t="s">
        <v>702</v>
      </c>
      <c r="C90" s="74" t="s">
        <v>703</v>
      </c>
      <c r="D90" s="74" t="s">
        <v>715</v>
      </c>
      <c r="E90" s="74" t="s">
        <v>720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728</v>
      </c>
    </row>
    <row r="91" spans="2:9" x14ac:dyDescent="0.25">
      <c r="B91" s="72"/>
      <c r="C91" s="74" t="s">
        <v>706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728</v>
      </c>
    </row>
    <row r="92" spans="2:9" x14ac:dyDescent="0.25">
      <c r="B92" s="72"/>
      <c r="C92" s="74" t="s">
        <v>708</v>
      </c>
      <c r="D92" s="74" t="s">
        <v>715</v>
      </c>
      <c r="E92" s="74" t="s">
        <v>716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728</v>
      </c>
    </row>
    <row r="93" spans="2:9" x14ac:dyDescent="0.25">
      <c r="B93" s="72"/>
      <c r="C93" s="74" t="s">
        <v>721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722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723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729</v>
      </c>
    </row>
    <row r="100" spans="2:9" ht="16.5" thickTop="1" x14ac:dyDescent="0.25">
      <c r="B100" s="477"/>
      <c r="C100" s="478"/>
      <c r="D100" s="478" t="s">
        <v>710</v>
      </c>
      <c r="E100" s="478" t="s">
        <v>677</v>
      </c>
      <c r="F100" s="478" t="s">
        <v>730</v>
      </c>
      <c r="G100" s="478"/>
      <c r="H100" s="478" t="s">
        <v>730</v>
      </c>
      <c r="I100" s="479" t="s">
        <v>731</v>
      </c>
    </row>
    <row r="101" spans="2:9" x14ac:dyDescent="0.25">
      <c r="B101" s="80"/>
      <c r="C101" s="92"/>
      <c r="D101" s="92"/>
      <c r="E101" s="92"/>
      <c r="F101" s="92" t="s">
        <v>712</v>
      </c>
      <c r="G101" s="92"/>
      <c r="H101" s="92" t="s">
        <v>726</v>
      </c>
      <c r="I101" s="480"/>
    </row>
    <row r="102" spans="2:9" x14ac:dyDescent="0.25">
      <c r="B102" s="72" t="s">
        <v>714</v>
      </c>
      <c r="C102" s="74" t="s">
        <v>687</v>
      </c>
      <c r="D102" s="74" t="s">
        <v>715</v>
      </c>
      <c r="E102" s="74" t="s">
        <v>716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699</v>
      </c>
      <c r="D103" s="74" t="s">
        <v>718</v>
      </c>
      <c r="E103" s="74" t="s">
        <v>716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689</v>
      </c>
      <c r="D104" s="74" t="s">
        <v>715</v>
      </c>
      <c r="E104" s="74" t="s">
        <v>716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700</v>
      </c>
      <c r="D105" s="74" t="s">
        <v>718</v>
      </c>
      <c r="E105" s="74" t="s">
        <v>716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701</v>
      </c>
      <c r="D106" s="74" t="s">
        <v>718</v>
      </c>
      <c r="E106" s="74" t="s">
        <v>716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690</v>
      </c>
      <c r="D107" s="74" t="s">
        <v>715</v>
      </c>
      <c r="E107" s="74" t="s">
        <v>719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692</v>
      </c>
      <c r="D108" s="74" t="s">
        <v>715</v>
      </c>
      <c r="E108" s="74" t="s">
        <v>716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695</v>
      </c>
      <c r="D109" s="74" t="s">
        <v>715</v>
      </c>
      <c r="E109" s="74" t="s">
        <v>716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696</v>
      </c>
      <c r="D110" s="74" t="s">
        <v>715</v>
      </c>
      <c r="E110" s="74" t="s">
        <v>716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693</v>
      </c>
      <c r="D111" s="74" t="s">
        <v>715</v>
      </c>
      <c r="E111" s="74" t="s">
        <v>716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702</v>
      </c>
      <c r="C112" s="74" t="s">
        <v>703</v>
      </c>
      <c r="D112" s="74" t="s">
        <v>715</v>
      </c>
      <c r="E112" s="74" t="s">
        <v>720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708</v>
      </c>
      <c r="D114" s="74" t="s">
        <v>715</v>
      </c>
      <c r="E114" s="74" t="s">
        <v>716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721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722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723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732</v>
      </c>
      <c r="C121" s="478" t="s">
        <v>7</v>
      </c>
      <c r="D121" s="478" t="s">
        <v>9</v>
      </c>
      <c r="E121" s="478" t="s">
        <v>159</v>
      </c>
      <c r="F121" s="479" t="s">
        <v>730</v>
      </c>
    </row>
    <row r="122" spans="2:9" x14ac:dyDescent="0.25">
      <c r="B122" s="72" t="s">
        <v>736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735</v>
      </c>
    </row>
    <row r="123" spans="2:9" x14ac:dyDescent="0.25">
      <c r="B123" s="72" t="s">
        <v>737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741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topLeftCell="A47" zoomScale="70" zoomScaleNormal="70" workbookViewId="0">
      <selection activeCell="B86" sqref="B86"/>
    </sheetView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1182</v>
      </c>
    </row>
    <row r="2" spans="1:10" ht="16.5" thickTop="1" x14ac:dyDescent="0.25"/>
    <row r="3" spans="1:10" x14ac:dyDescent="0.25">
      <c r="A3" s="72" t="s">
        <v>1183</v>
      </c>
      <c r="B3" s="476">
        <v>2010</v>
      </c>
    </row>
    <row r="4" spans="1:10" x14ac:dyDescent="0.25">
      <c r="A4" s="72" t="s">
        <v>674</v>
      </c>
      <c r="B4" s="606" t="s">
        <v>675</v>
      </c>
    </row>
    <row r="6" spans="1:10" x14ac:dyDescent="0.25">
      <c r="A6" s="607" t="s">
        <v>1184</v>
      </c>
    </row>
    <row r="7" spans="1:10" x14ac:dyDescent="0.25">
      <c r="A7" s="477" t="s">
        <v>125</v>
      </c>
      <c r="B7" s="25" t="s">
        <v>1185</v>
      </c>
      <c r="C7" s="26" t="s">
        <v>564</v>
      </c>
      <c r="D7" s="26" t="s">
        <v>1186</v>
      </c>
      <c r="E7" s="26" t="s">
        <v>1187</v>
      </c>
      <c r="F7" s="26" t="s">
        <v>674</v>
      </c>
      <c r="G7" s="26" t="s">
        <v>1188</v>
      </c>
      <c r="H7" s="26" t="s">
        <v>681</v>
      </c>
      <c r="I7" s="26" t="s">
        <v>710</v>
      </c>
      <c r="J7" s="27" t="s">
        <v>1189</v>
      </c>
    </row>
    <row r="8" spans="1:10" x14ac:dyDescent="0.25">
      <c r="B8" s="72" t="s">
        <v>1190</v>
      </c>
      <c r="C8" s="74" t="s">
        <v>1191</v>
      </c>
      <c r="D8" s="74" t="s">
        <v>1192</v>
      </c>
      <c r="E8" s="74">
        <v>2000</v>
      </c>
      <c r="F8" s="74" t="s">
        <v>685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1193</v>
      </c>
      <c r="J8" s="485">
        <f t="shared" ref="J8:J20" si="1">G8*H8</f>
        <v>875.4161570840306</v>
      </c>
    </row>
    <row r="9" spans="1:10" x14ac:dyDescent="0.25">
      <c r="A9" s="72"/>
      <c r="B9" s="72" t="s">
        <v>1190</v>
      </c>
      <c r="C9" s="74" t="s">
        <v>1191</v>
      </c>
      <c r="D9" s="74" t="s">
        <v>1192</v>
      </c>
      <c r="E9" s="74">
        <v>2000</v>
      </c>
      <c r="F9" s="74" t="s">
        <v>685</v>
      </c>
      <c r="G9" s="74">
        <v>275</v>
      </c>
      <c r="H9" s="74">
        <f t="shared" si="0"/>
        <v>5.914974034351558</v>
      </c>
      <c r="I9" s="74" t="s">
        <v>1193</v>
      </c>
      <c r="J9" s="485">
        <f t="shared" si="1"/>
        <v>1626.6178594466785</v>
      </c>
    </row>
    <row r="10" spans="1:10" x14ac:dyDescent="0.25">
      <c r="A10" s="72"/>
      <c r="B10" s="72" t="s">
        <v>372</v>
      </c>
      <c r="C10" s="74" t="s">
        <v>1191</v>
      </c>
      <c r="D10" s="74" t="s">
        <v>1194</v>
      </c>
      <c r="E10" s="74">
        <v>2000</v>
      </c>
      <c r="F10" s="74" t="s">
        <v>685</v>
      </c>
      <c r="G10" s="74">
        <v>100</v>
      </c>
      <c r="H10" s="74">
        <f t="shared" si="0"/>
        <v>5.914974034351558</v>
      </c>
      <c r="I10" s="74" t="s">
        <v>1193</v>
      </c>
      <c r="J10" s="485">
        <f t="shared" si="1"/>
        <v>591.49740343515577</v>
      </c>
    </row>
    <row r="11" spans="1:10" x14ac:dyDescent="0.25">
      <c r="A11" s="72"/>
      <c r="B11" s="72" t="s">
        <v>1195</v>
      </c>
      <c r="C11" s="74" t="s">
        <v>1191</v>
      </c>
      <c r="D11" s="74" t="s">
        <v>1192</v>
      </c>
      <c r="E11" s="74">
        <v>2000</v>
      </c>
      <c r="F11" s="74" t="s">
        <v>685</v>
      </c>
      <c r="G11" s="74">
        <v>143</v>
      </c>
      <c r="H11" s="74">
        <f t="shared" si="0"/>
        <v>5.914974034351558</v>
      </c>
      <c r="I11" s="74" t="s">
        <v>1193</v>
      </c>
      <c r="J11" s="485">
        <f t="shared" si="1"/>
        <v>845.84128691227284</v>
      </c>
    </row>
    <row r="12" spans="1:10" x14ac:dyDescent="0.25">
      <c r="A12" s="72"/>
      <c r="B12" s="72" t="s">
        <v>1196</v>
      </c>
      <c r="C12" s="74" t="s">
        <v>1191</v>
      </c>
      <c r="D12" s="74" t="s">
        <v>1192</v>
      </c>
      <c r="E12" s="74">
        <v>2000</v>
      </c>
      <c r="F12" s="74" t="s">
        <v>685</v>
      </c>
      <c r="G12" s="74">
        <v>145</v>
      </c>
      <c r="H12" s="74">
        <f t="shared" si="0"/>
        <v>5.914974034351558</v>
      </c>
      <c r="I12" s="74" t="s">
        <v>1193</v>
      </c>
      <c r="J12" s="485">
        <f t="shared" si="1"/>
        <v>857.6712349809759</v>
      </c>
    </row>
    <row r="13" spans="1:10" x14ac:dyDescent="0.25">
      <c r="A13" s="72"/>
      <c r="B13" s="72" t="s">
        <v>1197</v>
      </c>
      <c r="C13" s="74" t="s">
        <v>1191</v>
      </c>
      <c r="D13" s="74" t="s">
        <v>1192</v>
      </c>
      <c r="E13" s="74">
        <v>2000</v>
      </c>
      <c r="F13" s="74" t="s">
        <v>685</v>
      </c>
      <c r="G13" s="74">
        <v>122</v>
      </c>
      <c r="H13" s="74">
        <f t="shared" si="0"/>
        <v>5.914974034351558</v>
      </c>
      <c r="I13" s="74" t="s">
        <v>1193</v>
      </c>
      <c r="J13" s="485">
        <f t="shared" si="1"/>
        <v>721.62683219089013</v>
      </c>
    </row>
    <row r="14" spans="1:10" x14ac:dyDescent="0.25">
      <c r="A14" s="72"/>
      <c r="B14" s="72" t="s">
        <v>1198</v>
      </c>
      <c r="C14" s="74" t="s">
        <v>1191</v>
      </c>
      <c r="D14" s="74" t="s">
        <v>1192</v>
      </c>
      <c r="E14" s="74">
        <v>2000</v>
      </c>
      <c r="F14" s="74" t="s">
        <v>685</v>
      </c>
      <c r="G14" s="74">
        <v>98</v>
      </c>
      <c r="H14" s="74">
        <f t="shared" si="0"/>
        <v>5.914974034351558</v>
      </c>
      <c r="I14" s="74" t="s">
        <v>1193</v>
      </c>
      <c r="J14" s="485">
        <f t="shared" si="1"/>
        <v>579.66745536645271</v>
      </c>
    </row>
    <row r="15" spans="1:10" x14ac:dyDescent="0.25">
      <c r="A15" s="72"/>
      <c r="B15" s="72" t="s">
        <v>1199</v>
      </c>
      <c r="C15" s="74" t="s">
        <v>1191</v>
      </c>
      <c r="D15" s="74" t="s">
        <v>1192</v>
      </c>
      <c r="E15" s="74">
        <v>2000</v>
      </c>
      <c r="F15" s="74" t="s">
        <v>685</v>
      </c>
      <c r="G15" s="74">
        <v>320</v>
      </c>
      <c r="H15" s="74">
        <f t="shared" si="0"/>
        <v>5.914974034351558</v>
      </c>
      <c r="I15" s="74" t="s">
        <v>1193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1191</v>
      </c>
      <c r="D16" s="74" t="s">
        <v>1194</v>
      </c>
      <c r="E16" s="74">
        <v>2000</v>
      </c>
      <c r="F16" s="74" t="s">
        <v>685</v>
      </c>
      <c r="G16" s="74">
        <v>80</v>
      </c>
      <c r="H16" s="74">
        <f t="shared" si="0"/>
        <v>5.914974034351558</v>
      </c>
      <c r="I16" s="74" t="s">
        <v>1193</v>
      </c>
      <c r="J16" s="485">
        <f t="shared" si="1"/>
        <v>473.19792274812465</v>
      </c>
    </row>
    <row r="17" spans="1:10" x14ac:dyDescent="0.25">
      <c r="A17" s="72"/>
      <c r="B17" s="72" t="s">
        <v>1200</v>
      </c>
      <c r="C17" s="74" t="s">
        <v>1191</v>
      </c>
      <c r="D17" s="74" t="s">
        <v>1192</v>
      </c>
      <c r="E17" s="74">
        <v>2010</v>
      </c>
      <c r="F17" s="74" t="s">
        <v>872</v>
      </c>
      <c r="G17" s="74">
        <v>273</v>
      </c>
      <c r="H17" s="74">
        <f t="shared" si="0"/>
        <v>9.7120768109592781</v>
      </c>
      <c r="I17" s="74" t="s">
        <v>1193</v>
      </c>
      <c r="J17" s="485">
        <f t="shared" si="1"/>
        <v>2651.396969391883</v>
      </c>
    </row>
    <row r="18" spans="1:10" x14ac:dyDescent="0.25">
      <c r="A18" s="72"/>
      <c r="B18" s="72" t="s">
        <v>1201</v>
      </c>
      <c r="C18" s="74" t="s">
        <v>1191</v>
      </c>
      <c r="D18" s="74" t="s">
        <v>1192</v>
      </c>
      <c r="E18" s="74">
        <v>2010</v>
      </c>
      <c r="F18" s="74" t="s">
        <v>872</v>
      </c>
      <c r="G18" s="74">
        <v>500</v>
      </c>
      <c r="H18" s="74">
        <f t="shared" si="0"/>
        <v>9.7120768109592781</v>
      </c>
      <c r="I18" s="74" t="s">
        <v>1193</v>
      </c>
      <c r="J18" s="485">
        <f t="shared" si="1"/>
        <v>4856.0384054796386</v>
      </c>
    </row>
    <row r="19" spans="1:10" x14ac:dyDescent="0.25">
      <c r="A19" s="72"/>
      <c r="B19" s="72" t="s">
        <v>194</v>
      </c>
      <c r="C19" s="74" t="s">
        <v>1191</v>
      </c>
      <c r="D19" s="74" t="s">
        <v>1192</v>
      </c>
      <c r="E19" s="74">
        <v>2010</v>
      </c>
      <c r="F19" s="74" t="s">
        <v>872</v>
      </c>
      <c r="G19" s="74">
        <v>200</v>
      </c>
      <c r="H19" s="74">
        <f t="shared" si="0"/>
        <v>9.7120768109592781</v>
      </c>
      <c r="I19" s="74" t="s">
        <v>1193</v>
      </c>
      <c r="J19" s="485">
        <f t="shared" si="1"/>
        <v>1942.4153621918556</v>
      </c>
    </row>
    <row r="20" spans="1:10" x14ac:dyDescent="0.25">
      <c r="A20" s="72"/>
      <c r="B20" s="72" t="s">
        <v>1202</v>
      </c>
      <c r="C20" s="74" t="s">
        <v>1191</v>
      </c>
      <c r="D20" s="74" t="s">
        <v>1192</v>
      </c>
      <c r="E20" s="74">
        <v>2010</v>
      </c>
      <c r="F20" s="74" t="s">
        <v>872</v>
      </c>
      <c r="G20" s="74">
        <v>400</v>
      </c>
      <c r="H20" s="74">
        <f t="shared" si="0"/>
        <v>9.7120768109592781</v>
      </c>
      <c r="I20" s="74" t="s">
        <v>1193</v>
      </c>
      <c r="J20" s="485">
        <f t="shared" si="1"/>
        <v>3884.8307243837112</v>
      </c>
    </row>
    <row r="22" spans="1:10" x14ac:dyDescent="0.25">
      <c r="A22" s="607" t="s">
        <v>1203</v>
      </c>
      <c r="H22" s="608"/>
    </row>
    <row r="23" spans="1:10" x14ac:dyDescent="0.25">
      <c r="A23" s="72" t="s">
        <v>7</v>
      </c>
      <c r="B23" s="74" t="s">
        <v>1204</v>
      </c>
      <c r="C23" s="74" t="s">
        <v>1205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776</v>
      </c>
      <c r="C24" s="74" t="s">
        <v>1206</v>
      </c>
      <c r="D24" s="74" t="s">
        <v>1207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1208</v>
      </c>
      <c r="C25" s="74" t="s">
        <v>1209</v>
      </c>
      <c r="D25" s="74"/>
      <c r="E25" s="74">
        <v>2000</v>
      </c>
      <c r="F25" s="74" t="s">
        <v>685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1193</v>
      </c>
      <c r="J25" s="485">
        <f>G25*H25</f>
        <v>2144.7695848558751</v>
      </c>
    </row>
    <row r="26" spans="1:10" x14ac:dyDescent="0.25">
      <c r="A26" s="72" t="s">
        <v>9</v>
      </c>
      <c r="B26" s="74" t="s">
        <v>1210</v>
      </c>
      <c r="C26" s="74" t="s">
        <v>1209</v>
      </c>
      <c r="D26" s="74"/>
      <c r="E26" s="74">
        <v>2000</v>
      </c>
      <c r="F26" s="74" t="s">
        <v>685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1193</v>
      </c>
      <c r="J26" s="485">
        <f>G26*H26</f>
        <v>2209.2428018303067</v>
      </c>
    </row>
    <row r="27" spans="1:10" x14ac:dyDescent="0.25">
      <c r="A27" s="72" t="s">
        <v>9</v>
      </c>
      <c r="B27" s="74" t="s">
        <v>1211</v>
      </c>
      <c r="C27" s="74" t="s">
        <v>1205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1212</v>
      </c>
      <c r="C28" s="74" t="s">
        <v>1209</v>
      </c>
      <c r="D28" s="74"/>
      <c r="E28" s="74">
        <v>2000</v>
      </c>
      <c r="F28" s="74" t="s">
        <v>685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1193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1213</v>
      </c>
      <c r="C29" s="74" t="s">
        <v>1209</v>
      </c>
      <c r="D29" s="74"/>
      <c r="E29" s="74">
        <v>2000</v>
      </c>
      <c r="F29" s="74" t="s">
        <v>685</v>
      </c>
      <c r="G29" s="74">
        <v>334.67</v>
      </c>
      <c r="H29" s="74">
        <f t="shared" si="2"/>
        <v>5.914974034351558</v>
      </c>
      <c r="I29" s="74" t="s">
        <v>1193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1214</v>
      </c>
      <c r="C30" s="74" t="s">
        <v>1209</v>
      </c>
      <c r="D30" s="74"/>
      <c r="E30" s="74">
        <v>2000</v>
      </c>
      <c r="F30" s="74" t="s">
        <v>685</v>
      </c>
      <c r="G30" s="74">
        <v>296.10000000000002</v>
      </c>
      <c r="H30" s="74">
        <f t="shared" si="2"/>
        <v>5.914974034351558</v>
      </c>
      <c r="I30" s="74" t="s">
        <v>1193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1215</v>
      </c>
      <c r="C31" s="74" t="s">
        <v>1209</v>
      </c>
      <c r="D31" s="74"/>
      <c r="E31" s="74">
        <v>2000</v>
      </c>
      <c r="F31" s="74" t="s">
        <v>685</v>
      </c>
      <c r="G31" s="74">
        <v>232.37</v>
      </c>
      <c r="H31" s="74">
        <f t="shared" si="2"/>
        <v>5.914974034351558</v>
      </c>
      <c r="I31" s="74" t="s">
        <v>1193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1216</v>
      </c>
      <c r="C32" s="74" t="s">
        <v>1209</v>
      </c>
      <c r="D32" s="74"/>
      <c r="E32" s="74">
        <v>2000</v>
      </c>
      <c r="F32" s="74" t="s">
        <v>685</v>
      </c>
      <c r="G32" s="74">
        <v>239.63</v>
      </c>
      <c r="H32" s="74">
        <f t="shared" si="2"/>
        <v>5.914974034351558</v>
      </c>
      <c r="I32" s="74" t="s">
        <v>1193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1217</v>
      </c>
      <c r="C33" s="74" t="s">
        <v>1209</v>
      </c>
      <c r="D33" s="74"/>
      <c r="E33" s="74">
        <v>2000</v>
      </c>
      <c r="F33" s="74" t="s">
        <v>685</v>
      </c>
      <c r="G33" s="74">
        <v>263.47000000000003</v>
      </c>
      <c r="H33" s="74">
        <f t="shared" si="2"/>
        <v>5.914974034351558</v>
      </c>
      <c r="I33" s="74" t="s">
        <v>1193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1218</v>
      </c>
      <c r="C34" s="74" t="s">
        <v>1205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1219</v>
      </c>
      <c r="C35" s="74" t="s">
        <v>1205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1206</v>
      </c>
      <c r="D36" s="74" t="s">
        <v>1207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1220</v>
      </c>
      <c r="B37" s="74" t="s">
        <v>1221</v>
      </c>
      <c r="C37" s="74" t="s">
        <v>1205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1220</v>
      </c>
      <c r="B38" s="74" t="s">
        <v>1222</v>
      </c>
      <c r="C38" s="74" t="s">
        <v>1205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1223</v>
      </c>
      <c r="C39" s="74" t="s">
        <v>1205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1224</v>
      </c>
      <c r="C40" s="74" t="s">
        <v>1205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1206</v>
      </c>
      <c r="D41" s="74" t="s">
        <v>1207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1225</v>
      </c>
      <c r="C42" s="74" t="s">
        <v>1209</v>
      </c>
      <c r="D42" s="74"/>
      <c r="E42" s="74">
        <v>2000</v>
      </c>
      <c r="F42" s="74" t="s">
        <v>685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1193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1226</v>
      </c>
      <c r="C43" s="74" t="s">
        <v>1209</v>
      </c>
      <c r="D43" s="74"/>
      <c r="E43" s="74">
        <v>2000</v>
      </c>
      <c r="F43" s="74" t="s">
        <v>685</v>
      </c>
      <c r="G43" s="74">
        <v>365.45</v>
      </c>
      <c r="H43" s="74">
        <f t="shared" si="4"/>
        <v>5.914974034351558</v>
      </c>
      <c r="I43" s="74" t="s">
        <v>1193</v>
      </c>
      <c r="J43" s="485">
        <f t="shared" si="5"/>
        <v>2161.627260853777</v>
      </c>
    </row>
    <row r="44" spans="1:10" x14ac:dyDescent="0.25">
      <c r="A44" s="72"/>
      <c r="B44" s="74" t="s">
        <v>1227</v>
      </c>
      <c r="C44" s="74" t="s">
        <v>1209</v>
      </c>
      <c r="D44" s="74"/>
      <c r="E44" s="74">
        <v>2000</v>
      </c>
      <c r="F44" s="74" t="s">
        <v>685</v>
      </c>
      <c r="G44" s="74">
        <v>231.85</v>
      </c>
      <c r="H44" s="74">
        <f t="shared" si="4"/>
        <v>5.914974034351558</v>
      </c>
      <c r="I44" s="74" t="s">
        <v>1193</v>
      </c>
      <c r="J44" s="485">
        <f t="shared" si="5"/>
        <v>1371.3867298644086</v>
      </c>
    </row>
    <row r="45" spans="1:10" x14ac:dyDescent="0.25">
      <c r="A45" s="72"/>
      <c r="B45" s="74" t="s">
        <v>1228</v>
      </c>
      <c r="C45" s="74" t="s">
        <v>1209</v>
      </c>
      <c r="D45" s="74"/>
      <c r="E45" s="74">
        <v>2000</v>
      </c>
      <c r="F45" s="74" t="s">
        <v>685</v>
      </c>
      <c r="G45" s="74">
        <v>232.7</v>
      </c>
      <c r="H45" s="74">
        <f t="shared" si="4"/>
        <v>5.914974034351558</v>
      </c>
      <c r="I45" s="74" t="s">
        <v>1193</v>
      </c>
      <c r="J45" s="485">
        <f t="shared" si="5"/>
        <v>1376.4144577936074</v>
      </c>
    </row>
    <row r="46" spans="1:10" x14ac:dyDescent="0.25">
      <c r="A46" s="72"/>
      <c r="B46" s="74" t="s">
        <v>1229</v>
      </c>
      <c r="C46" s="74" t="s">
        <v>1209</v>
      </c>
      <c r="D46" s="74"/>
      <c r="E46" s="74">
        <v>2000</v>
      </c>
      <c r="F46" s="74" t="s">
        <v>685</v>
      </c>
      <c r="G46" s="74">
        <v>292.32</v>
      </c>
      <c r="H46" s="74">
        <f t="shared" si="4"/>
        <v>5.914974034351558</v>
      </c>
      <c r="I46" s="74" t="s">
        <v>1193</v>
      </c>
      <c r="J46" s="485">
        <f t="shared" si="5"/>
        <v>1729.0652097216473</v>
      </c>
    </row>
    <row r="47" spans="1:10" x14ac:dyDescent="0.25">
      <c r="A47" s="72"/>
      <c r="B47" s="74" t="s">
        <v>1230</v>
      </c>
      <c r="C47" s="74" t="s">
        <v>1209</v>
      </c>
      <c r="D47" s="74"/>
      <c r="E47" s="74">
        <v>2000</v>
      </c>
      <c r="F47" s="74" t="s">
        <v>685</v>
      </c>
      <c r="G47" s="74">
        <v>347.59</v>
      </c>
      <c r="H47" s="74">
        <f t="shared" si="4"/>
        <v>5.914974034351558</v>
      </c>
      <c r="I47" s="74" t="s">
        <v>1193</v>
      </c>
      <c r="J47" s="485">
        <f t="shared" si="5"/>
        <v>2055.9858246002577</v>
      </c>
    </row>
    <row r="48" spans="1:10" x14ac:dyDescent="0.25">
      <c r="A48" s="72"/>
      <c r="B48" s="74" t="s">
        <v>1231</v>
      </c>
      <c r="C48" s="74" t="s">
        <v>1209</v>
      </c>
      <c r="D48" s="74"/>
      <c r="E48" s="74">
        <v>2000</v>
      </c>
      <c r="F48" s="74" t="s">
        <v>685</v>
      </c>
      <c r="G48" s="74">
        <v>257.24</v>
      </c>
      <c r="H48" s="74">
        <f t="shared" si="4"/>
        <v>5.914974034351558</v>
      </c>
      <c r="I48" s="74" t="s">
        <v>1193</v>
      </c>
      <c r="J48" s="485">
        <f t="shared" si="5"/>
        <v>1521.5679205965948</v>
      </c>
    </row>
    <row r="49" spans="1:10" x14ac:dyDescent="0.25">
      <c r="A49" s="72" t="s">
        <v>1232</v>
      </c>
      <c r="B49" s="74" t="s">
        <v>1233</v>
      </c>
      <c r="C49" s="74" t="s">
        <v>1206</v>
      </c>
      <c r="D49" s="74" t="s">
        <v>1192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775</v>
      </c>
      <c r="C50" s="74" t="s">
        <v>1206</v>
      </c>
      <c r="D50" s="74" t="s">
        <v>1194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1234</v>
      </c>
      <c r="C51" s="74" t="s">
        <v>1206</v>
      </c>
      <c r="D51" s="74" t="s">
        <v>1194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1235</v>
      </c>
      <c r="C52" s="74" t="s">
        <v>1209</v>
      </c>
      <c r="D52" s="74"/>
      <c r="E52" s="74">
        <v>2000</v>
      </c>
      <c r="F52" s="74" t="s">
        <v>685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1193</v>
      </c>
      <c r="J52" s="485">
        <f>G52*H52</f>
        <v>1027.3126902861786</v>
      </c>
    </row>
    <row r="53" spans="1:10" x14ac:dyDescent="0.25">
      <c r="A53" s="72"/>
      <c r="B53" s="74" t="s">
        <v>1236</v>
      </c>
      <c r="C53" s="74" t="s">
        <v>1209</v>
      </c>
      <c r="D53" s="74"/>
      <c r="E53" s="74">
        <v>2000</v>
      </c>
      <c r="F53" s="74" t="s">
        <v>685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1193</v>
      </c>
      <c r="J53" s="485">
        <f>G53*H53</f>
        <v>1467.2684589612475</v>
      </c>
    </row>
    <row r="54" spans="1:10" x14ac:dyDescent="0.25">
      <c r="A54" s="72"/>
      <c r="B54" s="74" t="s">
        <v>1237</v>
      </c>
      <c r="C54" s="74" t="s">
        <v>1205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1238</v>
      </c>
      <c r="C55" s="74" t="s">
        <v>1205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1239</v>
      </c>
      <c r="C56" s="74" t="s">
        <v>1205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1240</v>
      </c>
      <c r="C57" s="74" t="s">
        <v>1206</v>
      </c>
      <c r="D57" s="74" t="s">
        <v>1207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1241</v>
      </c>
      <c r="C58" s="74" t="s">
        <v>1209</v>
      </c>
      <c r="D58" s="74"/>
      <c r="E58" s="74">
        <v>2000</v>
      </c>
      <c r="F58" s="74" t="s">
        <v>685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1193</v>
      </c>
      <c r="J58" s="485">
        <f t="shared" ref="J58:J63" si="7">G58*H58</f>
        <v>1441.1242737294135</v>
      </c>
    </row>
    <row r="59" spans="1:10" x14ac:dyDescent="0.25">
      <c r="A59" s="72"/>
      <c r="B59" s="74" t="s">
        <v>1242</v>
      </c>
      <c r="C59" s="74" t="s">
        <v>1209</v>
      </c>
      <c r="D59" s="74"/>
      <c r="E59" s="74">
        <v>2000</v>
      </c>
      <c r="F59" s="74" t="s">
        <v>685</v>
      </c>
      <c r="G59" s="74">
        <v>198.05</v>
      </c>
      <c r="H59" s="74">
        <f t="shared" si="6"/>
        <v>5.914974034351558</v>
      </c>
      <c r="I59" s="74" t="s">
        <v>1193</v>
      </c>
      <c r="J59" s="485">
        <f t="shared" si="7"/>
        <v>1171.4606075033262</v>
      </c>
    </row>
    <row r="60" spans="1:10" x14ac:dyDescent="0.25">
      <c r="A60" s="72"/>
      <c r="B60" s="74" t="s">
        <v>1243</v>
      </c>
      <c r="C60" s="74" t="s">
        <v>1209</v>
      </c>
      <c r="D60" s="74"/>
      <c r="E60" s="74">
        <v>2000</v>
      </c>
      <c r="F60" s="74" t="s">
        <v>685</v>
      </c>
      <c r="G60" s="74">
        <v>243.63</v>
      </c>
      <c r="H60" s="74">
        <f t="shared" si="6"/>
        <v>5.914974034351558</v>
      </c>
      <c r="I60" s="74" t="s">
        <v>1193</v>
      </c>
      <c r="J60" s="485">
        <f t="shared" si="7"/>
        <v>1441.0651239890701</v>
      </c>
    </row>
    <row r="61" spans="1:10" x14ac:dyDescent="0.25">
      <c r="A61" s="72"/>
      <c r="B61" s="74" t="s">
        <v>1244</v>
      </c>
      <c r="C61" s="74" t="s">
        <v>1209</v>
      </c>
      <c r="D61" s="74"/>
      <c r="E61" s="74">
        <v>2000</v>
      </c>
      <c r="F61" s="74" t="s">
        <v>685</v>
      </c>
      <c r="G61" s="74">
        <v>196.48</v>
      </c>
      <c r="H61" s="74">
        <f t="shared" si="6"/>
        <v>5.914974034351558</v>
      </c>
      <c r="I61" s="74" t="s">
        <v>1193</v>
      </c>
      <c r="J61" s="485">
        <f t="shared" si="7"/>
        <v>1162.1740982693941</v>
      </c>
    </row>
    <row r="62" spans="1:10" x14ac:dyDescent="0.25">
      <c r="A62" s="72"/>
      <c r="B62" s="74" t="s">
        <v>1245</v>
      </c>
      <c r="C62" s="74" t="s">
        <v>1209</v>
      </c>
      <c r="D62" s="74"/>
      <c r="E62" s="74">
        <v>2000</v>
      </c>
      <c r="F62" s="74" t="s">
        <v>685</v>
      </c>
      <c r="G62" s="74">
        <v>187.71</v>
      </c>
      <c r="H62" s="74">
        <f t="shared" si="6"/>
        <v>5.914974034351558</v>
      </c>
      <c r="I62" s="74" t="s">
        <v>1193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1246</v>
      </c>
      <c r="C63" s="74" t="s">
        <v>1209</v>
      </c>
      <c r="D63" s="74"/>
      <c r="E63" s="74">
        <v>2000</v>
      </c>
      <c r="F63" s="74" t="s">
        <v>685</v>
      </c>
      <c r="G63" s="74">
        <v>344.39</v>
      </c>
      <c r="H63" s="74">
        <f t="shared" si="6"/>
        <v>5.914974034351558</v>
      </c>
      <c r="I63" s="74" t="s">
        <v>1193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1247</v>
      </c>
    </row>
    <row r="66" spans="1:4" x14ac:dyDescent="0.25">
      <c r="A66" s="39" t="s">
        <v>1248</v>
      </c>
    </row>
    <row r="67" spans="1:4" x14ac:dyDescent="0.25">
      <c r="A67" s="39" t="s">
        <v>1249</v>
      </c>
    </row>
    <row r="70" spans="1:4" x14ac:dyDescent="0.25">
      <c r="B70" s="609" t="s">
        <v>772</v>
      </c>
      <c r="C70" s="610" t="s">
        <v>773</v>
      </c>
    </row>
    <row r="71" spans="1:4" x14ac:dyDescent="0.25">
      <c r="B71" s="80"/>
      <c r="C71" s="491" t="s">
        <v>774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1250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1251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44</v>
      </c>
      <c r="C1" s="22"/>
    </row>
    <row r="2" spans="2:11" ht="16.5" thickTop="1" x14ac:dyDescent="0.25"/>
    <row r="3" spans="2:11" ht="18" thickBot="1" x14ac:dyDescent="0.35">
      <c r="B3" s="24" t="s">
        <v>45</v>
      </c>
      <c r="C3" s="24"/>
    </row>
    <row r="4" spans="2:11" ht="16.5" thickTop="1" x14ac:dyDescent="0.25">
      <c r="B4" s="25" t="s">
        <v>46</v>
      </c>
      <c r="C4" s="26"/>
      <c r="D4" s="26" t="s">
        <v>7</v>
      </c>
      <c r="E4" s="26" t="s">
        <v>47</v>
      </c>
      <c r="F4" s="26" t="s">
        <v>48</v>
      </c>
      <c r="G4" s="26" t="s">
        <v>8</v>
      </c>
      <c r="H4" s="26" t="s">
        <v>49</v>
      </c>
      <c r="I4" s="26" t="s">
        <v>10</v>
      </c>
      <c r="J4" s="27" t="s">
        <v>3</v>
      </c>
    </row>
    <row r="5" spans="2:11" x14ac:dyDescent="0.25">
      <c r="B5" s="28" t="s">
        <v>50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51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52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53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54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55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56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57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58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59</v>
      </c>
      <c r="C15" s="24"/>
    </row>
    <row r="16" spans="2:11" ht="16.5" thickTop="1" x14ac:dyDescent="0.25">
      <c r="B16" s="25" t="s">
        <v>46</v>
      </c>
      <c r="C16" s="26"/>
      <c r="D16" s="26" t="s">
        <v>7</v>
      </c>
      <c r="E16" s="26" t="s">
        <v>47</v>
      </c>
      <c r="F16" s="26" t="s">
        <v>48</v>
      </c>
      <c r="G16" s="26" t="s">
        <v>8</v>
      </c>
      <c r="H16" s="26" t="s">
        <v>49</v>
      </c>
      <c r="I16" s="26" t="s">
        <v>10</v>
      </c>
      <c r="J16" s="27" t="s">
        <v>3</v>
      </c>
    </row>
    <row r="17" spans="2:14" x14ac:dyDescent="0.25">
      <c r="B17" s="28" t="s">
        <v>50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51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52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53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54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55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56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57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58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60</v>
      </c>
      <c r="C29" s="24"/>
      <c r="M29" s="39" t="s">
        <v>61</v>
      </c>
    </row>
    <row r="30" spans="2:14" ht="16.5" thickTop="1" x14ac:dyDescent="0.25">
      <c r="B30" s="25" t="s">
        <v>46</v>
      </c>
      <c r="C30" s="26"/>
      <c r="D30" s="26" t="s">
        <v>7</v>
      </c>
      <c r="E30" s="26" t="s">
        <v>47</v>
      </c>
      <c r="F30" s="26" t="s">
        <v>48</v>
      </c>
      <c r="G30" s="26" t="s">
        <v>8</v>
      </c>
      <c r="H30" s="26" t="s">
        <v>49</v>
      </c>
      <c r="I30" s="26" t="s">
        <v>10</v>
      </c>
      <c r="J30" s="27" t="s">
        <v>3</v>
      </c>
      <c r="M30" s="25" t="s">
        <v>62</v>
      </c>
      <c r="N30" s="27" t="s">
        <v>63</v>
      </c>
    </row>
    <row r="31" spans="2:14" x14ac:dyDescent="0.25">
      <c r="B31" s="28" t="s">
        <v>50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51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52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53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54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55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56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57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64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58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65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66</v>
      </c>
      <c r="N41" s="52">
        <f>[8]Production!AO22</f>
        <v>0.18573780613294916</v>
      </c>
    </row>
    <row r="42" spans="2:15" ht="16.5" thickTop="1" x14ac:dyDescent="0.25">
      <c r="B42" s="50" t="s">
        <v>67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68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69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70</v>
      </c>
      <c r="C48" s="24"/>
    </row>
    <row r="49" spans="2:21" ht="16.5" thickTop="1" x14ac:dyDescent="0.25">
      <c r="B49" s="25" t="s">
        <v>71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49</v>
      </c>
      <c r="I49" s="26" t="str">
        <f>I30</f>
        <v>Other-EAF</v>
      </c>
      <c r="J49" s="27" t="s">
        <v>3</v>
      </c>
      <c r="M49" s="25" t="s">
        <v>72</v>
      </c>
      <c r="N49" s="25" t="s">
        <v>73</v>
      </c>
      <c r="O49" s="25" t="s">
        <v>74</v>
      </c>
      <c r="P49" s="25" t="s">
        <v>75</v>
      </c>
      <c r="Q49" s="25" t="s">
        <v>76</v>
      </c>
      <c r="R49" s="25" t="s">
        <v>77</v>
      </c>
      <c r="S49" s="56" t="s">
        <v>78</v>
      </c>
      <c r="T49" s="56" t="s">
        <v>18</v>
      </c>
      <c r="U49" s="27" t="s">
        <v>3</v>
      </c>
    </row>
    <row r="50" spans="2:21" x14ac:dyDescent="0.25">
      <c r="B50" s="28" t="s">
        <v>79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79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80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80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81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81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82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82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83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83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84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84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85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85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86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87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88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89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90</v>
      </c>
      <c r="C63" s="26"/>
      <c r="D63" s="26" t="s">
        <v>7</v>
      </c>
      <c r="E63" s="26" t="s">
        <v>47</v>
      </c>
      <c r="F63" s="26" t="s">
        <v>48</v>
      </c>
      <c r="G63" s="26" t="s">
        <v>8</v>
      </c>
      <c r="H63" s="26" t="s">
        <v>49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91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92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93</v>
      </c>
      <c r="C67" s="26"/>
      <c r="D67" s="26" t="s">
        <v>7</v>
      </c>
      <c r="E67" s="26" t="s">
        <v>47</v>
      </c>
      <c r="F67" s="26" t="s">
        <v>48</v>
      </c>
      <c r="G67" s="26" t="s">
        <v>8</v>
      </c>
      <c r="H67" s="26" t="s">
        <v>49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94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95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96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97</v>
      </c>
      <c r="C72" s="26"/>
      <c r="D72" s="26" t="s">
        <v>7</v>
      </c>
      <c r="E72" s="26" t="s">
        <v>47</v>
      </c>
      <c r="F72" s="26" t="s">
        <v>48</v>
      </c>
      <c r="G72" s="26" t="s">
        <v>8</v>
      </c>
      <c r="H72" s="26" t="s">
        <v>49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98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99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100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101</v>
      </c>
      <c r="C79" s="26"/>
      <c r="D79" s="26" t="s">
        <v>27</v>
      </c>
      <c r="E79" s="26" t="s">
        <v>102</v>
      </c>
      <c r="F79" s="26" t="s">
        <v>103</v>
      </c>
      <c r="G79" s="26" t="s">
        <v>49</v>
      </c>
      <c r="H79" s="26" t="s">
        <v>104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79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105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81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82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83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84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85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106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107</v>
      </c>
      <c r="C90" s="26"/>
      <c r="D90" s="26" t="s">
        <v>7</v>
      </c>
      <c r="E90" s="26" t="s">
        <v>47</v>
      </c>
      <c r="F90" s="26" t="s">
        <v>48</v>
      </c>
      <c r="G90" s="26" t="s">
        <v>8</v>
      </c>
      <c r="H90" s="26" t="s">
        <v>49</v>
      </c>
      <c r="I90" s="26" t="s">
        <v>10</v>
      </c>
    </row>
    <row r="91" spans="2:19" x14ac:dyDescent="0.25">
      <c r="B91" s="63" t="s">
        <v>108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109</v>
      </c>
      <c r="C93" s="26"/>
      <c r="D93" s="26" t="s">
        <v>7</v>
      </c>
      <c r="E93" s="26" t="s">
        <v>47</v>
      </c>
      <c r="F93" s="26" t="s">
        <v>48</v>
      </c>
      <c r="G93" s="26" t="s">
        <v>8</v>
      </c>
      <c r="H93" s="26" t="s">
        <v>49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110</v>
      </c>
      <c r="C103" s="24"/>
    </row>
    <row r="104" spans="2:10" ht="16.5" thickTop="1" x14ac:dyDescent="0.25">
      <c r="B104" s="39" t="s">
        <v>111</v>
      </c>
    </row>
    <row r="105" spans="2:10" x14ac:dyDescent="0.25">
      <c r="C105" s="26"/>
      <c r="D105" s="26" t="str">
        <f>D49</f>
        <v>BF-BOF</v>
      </c>
      <c r="E105" s="26" t="s">
        <v>47</v>
      </c>
      <c r="F105" s="26" t="s">
        <v>48</v>
      </c>
      <c r="G105" s="26" t="str">
        <f>G49</f>
        <v>Scrap-EAF</v>
      </c>
      <c r="H105" s="26" t="s">
        <v>49</v>
      </c>
      <c r="I105" s="26" t="str">
        <f>I49</f>
        <v>Other-EAF</v>
      </c>
      <c r="J105" s="27" t="s">
        <v>3</v>
      </c>
    </row>
    <row r="106" spans="2:10" x14ac:dyDescent="0.25">
      <c r="B106" s="25" t="s">
        <v>90</v>
      </c>
      <c r="C106" s="28" t="s">
        <v>91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92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93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94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95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96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97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98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99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112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113</v>
      </c>
      <c r="C118" s="28" t="s">
        <v>79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80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81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82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83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84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85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114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115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116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117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118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119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120</v>
      </c>
    </row>
    <row r="135" spans="2:12" ht="18" thickBot="1" x14ac:dyDescent="0.35">
      <c r="B135" s="24" t="s">
        <v>121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48</v>
      </c>
    </row>
    <row r="137" spans="2:12" x14ac:dyDescent="0.25">
      <c r="B137" s="91" t="s">
        <v>122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123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124</v>
      </c>
    </row>
    <row r="142" spans="2:12" ht="16.5" thickTop="1" x14ac:dyDescent="0.25"/>
    <row r="144" spans="2:12" x14ac:dyDescent="0.25">
      <c r="C144" s="91" t="s">
        <v>125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126</v>
      </c>
    </row>
    <row r="145" spans="2:16" x14ac:dyDescent="0.25">
      <c r="C145" s="72" t="s">
        <v>127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128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129</v>
      </c>
      <c r="O146" s="95" t="s">
        <v>130</v>
      </c>
      <c r="P146" s="23" t="s">
        <v>131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132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133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133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134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134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135</v>
      </c>
    </row>
    <row r="153" spans="2:16" x14ac:dyDescent="0.25">
      <c r="C153" s="39" t="s">
        <v>136</v>
      </c>
    </row>
    <row r="154" spans="2:16" x14ac:dyDescent="0.25">
      <c r="C154" s="39" t="s">
        <v>137</v>
      </c>
    </row>
    <row r="155" spans="2:16" x14ac:dyDescent="0.25">
      <c r="C155" s="99" t="s">
        <v>138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139</v>
      </c>
      <c r="I157" s="26" t="s">
        <v>10</v>
      </c>
      <c r="J157" s="27" t="s">
        <v>3</v>
      </c>
    </row>
    <row r="158" spans="2:16" x14ac:dyDescent="0.25">
      <c r="B158" s="25" t="s">
        <v>140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133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141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142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133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141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143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143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143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133</v>
      </c>
      <c r="D177" s="23" t="s">
        <v>143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134</v>
      </c>
      <c r="D178" s="23" t="s">
        <v>143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509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510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133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141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144</v>
      </c>
    </row>
    <row r="195" spans="2:11" x14ac:dyDescent="0.25">
      <c r="C195" s="23" t="s">
        <v>145</v>
      </c>
      <c r="D195" s="23" t="s">
        <v>146</v>
      </c>
      <c r="G195" s="23" t="s">
        <v>147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148</v>
      </c>
      <c r="D196" s="23">
        <v>27.8</v>
      </c>
      <c r="E196" s="23" t="s">
        <v>149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148</v>
      </c>
      <c r="D197" s="23">
        <v>28.2</v>
      </c>
      <c r="E197" s="23" t="s">
        <v>149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150</v>
      </c>
      <c r="D198" s="23">
        <v>3.6</v>
      </c>
      <c r="E198" s="23" t="s">
        <v>151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133</v>
      </c>
      <c r="C199" s="23" t="s">
        <v>152</v>
      </c>
      <c r="D199" s="23">
        <v>1</v>
      </c>
      <c r="E199" s="23" t="s">
        <v>153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154</v>
      </c>
      <c r="C200" s="23" t="s">
        <v>152</v>
      </c>
      <c r="D200" s="23">
        <v>1</v>
      </c>
      <c r="E200" s="23" t="s">
        <v>153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155</v>
      </c>
      <c r="C201" s="23" t="s">
        <v>156</v>
      </c>
      <c r="D201" s="23">
        <v>41.716000000000001</v>
      </c>
      <c r="E201" s="23" t="s">
        <v>157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126</v>
      </c>
      <c r="I203" s="23" t="s">
        <v>0</v>
      </c>
      <c r="J203" s="23" t="s">
        <v>158</v>
      </c>
      <c r="K203" s="23" t="s">
        <v>159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133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154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155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133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154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155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G35" sqref="G35"/>
    </sheetView>
  </sheetViews>
  <sheetFormatPr defaultRowHeight="15" x14ac:dyDescent="0.25"/>
  <sheetData>
    <row r="2" spans="3:25" x14ac:dyDescent="0.25">
      <c r="C2" t="s">
        <v>511</v>
      </c>
      <c r="M2" t="s">
        <v>511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669</v>
      </c>
    </row>
    <row r="5" spans="3:25" x14ac:dyDescent="0.25">
      <c r="C5" s="4" t="s">
        <v>404</v>
      </c>
      <c r="D5" s="12">
        <v>2.33</v>
      </c>
      <c r="E5" s="12">
        <v>2.34</v>
      </c>
      <c r="F5" s="12">
        <v>2.3199999999999998</v>
      </c>
      <c r="G5" s="12" t="s">
        <v>408</v>
      </c>
      <c r="H5" s="12"/>
      <c r="I5" s="5"/>
      <c r="M5" s="6" t="s">
        <v>430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670</v>
      </c>
    </row>
    <row r="6" spans="3:25" x14ac:dyDescent="0.25">
      <c r="C6" s="4" t="s">
        <v>404</v>
      </c>
      <c r="D6" s="12">
        <v>2.91</v>
      </c>
      <c r="E6" s="12">
        <v>3.01</v>
      </c>
      <c r="F6" s="12">
        <v>3</v>
      </c>
      <c r="G6" s="12" t="s">
        <v>406</v>
      </c>
      <c r="H6" s="12"/>
      <c r="I6" s="5"/>
      <c r="M6" s="4"/>
      <c r="N6" s="12"/>
      <c r="O6" s="12" t="s">
        <v>1002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405</v>
      </c>
      <c r="D7" s="12">
        <v>14.84</v>
      </c>
      <c r="E7" s="12">
        <v>14.71</v>
      </c>
      <c r="F7" s="12">
        <v>14.3</v>
      </c>
      <c r="G7" s="12" t="s">
        <v>411</v>
      </c>
      <c r="H7" s="12"/>
      <c r="I7" s="5"/>
      <c r="M7" s="4" t="s">
        <v>1003</v>
      </c>
      <c r="N7" s="12"/>
      <c r="O7" s="12">
        <v>4493</v>
      </c>
      <c r="P7" s="12"/>
      <c r="Q7" s="12" t="s">
        <v>1004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429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410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407</v>
      </c>
      <c r="H9" s="12"/>
      <c r="I9" s="5"/>
      <c r="M9" s="4" t="s">
        <v>1005</v>
      </c>
      <c r="N9" s="12"/>
      <c r="O9" s="12">
        <v>3098</v>
      </c>
      <c r="P9" s="12" t="s">
        <v>1006</v>
      </c>
      <c r="Q9" s="12" t="s">
        <v>1007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1008</v>
      </c>
      <c r="N10" s="12"/>
      <c r="O10" s="12">
        <v>1393</v>
      </c>
      <c r="P10" s="12" t="s">
        <v>1006</v>
      </c>
      <c r="Q10" s="12" t="s">
        <v>1007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409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1009</v>
      </c>
      <c r="N13" s="19"/>
      <c r="O13" s="554">
        <f>O7*1000000/(O9*1000)</f>
        <v>1450.2905100064559</v>
      </c>
      <c r="P13" s="19" t="s">
        <v>1010</v>
      </c>
      <c r="Q13" s="19" t="s">
        <v>1011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512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514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513</v>
      </c>
      <c r="F18" s="12"/>
      <c r="G18" s="12"/>
      <c r="H18" s="12"/>
      <c r="I18" s="5"/>
      <c r="M18" s="4" t="s">
        <v>1012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513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1013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1010</v>
      </c>
      <c r="O21" s="12"/>
      <c r="P21" s="12" t="s">
        <v>1014</v>
      </c>
      <c r="Q21" s="12"/>
      <c r="R21" s="12"/>
      <c r="S21" s="12"/>
      <c r="T21" s="12"/>
      <c r="U21" s="12"/>
      <c r="V21" s="5"/>
    </row>
    <row r="22" spans="3:22" x14ac:dyDescent="0.25">
      <c r="C22" s="4" t="s">
        <v>515</v>
      </c>
      <c r="D22" s="12"/>
      <c r="E22" s="12"/>
      <c r="F22" s="12"/>
      <c r="G22" s="12"/>
      <c r="H22" s="12"/>
      <c r="I22" s="5"/>
      <c r="M22" s="131" t="s">
        <v>1015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516</v>
      </c>
      <c r="E23" s="12"/>
      <c r="F23" s="12"/>
      <c r="G23" s="12"/>
      <c r="H23" s="12"/>
      <c r="I23" s="5"/>
      <c r="M23" s="131" t="s">
        <v>139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517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753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750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751</v>
      </c>
    </row>
    <row r="38" spans="3:17" x14ac:dyDescent="0.25">
      <c r="C38" s="4"/>
      <c r="D38" s="12"/>
      <c r="E38" s="12"/>
      <c r="F38" s="12"/>
      <c r="G38" s="12"/>
      <c r="H38" s="12"/>
      <c r="I38" s="12" t="s">
        <v>754</v>
      </c>
      <c r="J38" s="12"/>
      <c r="K38" s="12"/>
      <c r="L38" s="12"/>
      <c r="M38" s="5"/>
      <c r="P38">
        <v>1.4</v>
      </c>
      <c r="Q38" t="s">
        <v>752</v>
      </c>
    </row>
    <row r="39" spans="3:17" x14ac:dyDescent="0.25">
      <c r="C39" s="4"/>
      <c r="D39" s="12"/>
      <c r="E39" s="12"/>
      <c r="F39" s="12"/>
      <c r="G39" s="12"/>
      <c r="H39" s="12"/>
      <c r="I39" s="12" t="s">
        <v>755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756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757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1158</v>
      </c>
    </row>
    <row r="79" spans="3:13" x14ac:dyDescent="0.25">
      <c r="D79" t="s">
        <v>667</v>
      </c>
    </row>
    <row r="94" spans="21:23" x14ac:dyDescent="0.25">
      <c r="V94" t="s">
        <v>671</v>
      </c>
    </row>
    <row r="95" spans="21:23" x14ac:dyDescent="0.25">
      <c r="U95" t="s">
        <v>336</v>
      </c>
      <c r="V95">
        <v>1072</v>
      </c>
      <c r="W95" t="s">
        <v>429</v>
      </c>
    </row>
    <row r="96" spans="21:23" x14ac:dyDescent="0.25">
      <c r="U96" t="s">
        <v>672</v>
      </c>
      <c r="V96">
        <v>1406</v>
      </c>
    </row>
    <row r="124" spans="3:3" x14ac:dyDescent="0.25">
      <c r="C124" t="s">
        <v>668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224</v>
      </c>
    </row>
    <row r="2" spans="1:46" x14ac:dyDescent="0.2">
      <c r="A2" s="14" t="s">
        <v>225</v>
      </c>
    </row>
    <row r="4" spans="1:46" ht="13.5" thickBot="1" x14ac:dyDescent="0.25">
      <c r="A4" s="14" t="s">
        <v>226</v>
      </c>
    </row>
    <row r="5" spans="1:46" x14ac:dyDescent="0.2">
      <c r="A5" s="693" t="s">
        <v>227</v>
      </c>
      <c r="B5" s="696" t="s">
        <v>228</v>
      </c>
      <c r="C5" s="685"/>
      <c r="D5" s="685"/>
      <c r="E5" s="686"/>
      <c r="F5" s="687" t="s">
        <v>229</v>
      </c>
      <c r="G5" s="685"/>
      <c r="H5" s="686"/>
      <c r="I5" s="685" t="s">
        <v>230</v>
      </c>
      <c r="J5" s="685"/>
      <c r="K5" s="685"/>
      <c r="L5" s="685"/>
      <c r="M5" s="685"/>
      <c r="N5" s="685"/>
      <c r="O5" s="685"/>
      <c r="P5" s="686"/>
      <c r="Q5" s="687" t="s">
        <v>231</v>
      </c>
      <c r="R5" s="685"/>
      <c r="S5" s="685"/>
      <c r="T5" s="685"/>
      <c r="U5" s="685"/>
      <c r="V5" s="685"/>
      <c r="W5" s="685"/>
      <c r="X5" s="686"/>
      <c r="Y5" s="685" t="s">
        <v>232</v>
      </c>
      <c r="Z5" s="685"/>
      <c r="AA5" s="685"/>
      <c r="AB5" s="688"/>
      <c r="AC5" s="696" t="s">
        <v>233</v>
      </c>
      <c r="AD5" s="685"/>
      <c r="AE5" s="685"/>
      <c r="AF5" s="685"/>
      <c r="AG5" s="152"/>
      <c r="AH5" s="152"/>
      <c r="AI5" s="153" t="s">
        <v>234</v>
      </c>
      <c r="AJ5" s="688" t="s">
        <v>235</v>
      </c>
      <c r="AK5" s="698"/>
      <c r="AL5" s="698"/>
      <c r="AM5" s="698"/>
      <c r="AN5" s="698"/>
      <c r="AO5" s="698"/>
      <c r="AP5" s="698"/>
      <c r="AQ5" s="698"/>
      <c r="AR5" s="698"/>
      <c r="AS5" s="698"/>
      <c r="AT5" s="692"/>
    </row>
    <row r="6" spans="1:46" s="166" customFormat="1" ht="26.25" customHeight="1" x14ac:dyDescent="0.2">
      <c r="A6" s="694"/>
      <c r="B6" s="154" t="s">
        <v>6</v>
      </c>
      <c r="C6" s="155" t="s">
        <v>236</v>
      </c>
      <c r="D6" s="154" t="s">
        <v>237</v>
      </c>
      <c r="E6" s="156" t="s">
        <v>238</v>
      </c>
      <c r="F6" s="157" t="s">
        <v>239</v>
      </c>
      <c r="G6" s="154" t="s">
        <v>240</v>
      </c>
      <c r="H6" s="158" t="s">
        <v>241</v>
      </c>
      <c r="I6" s="159" t="s">
        <v>6</v>
      </c>
      <c r="J6" s="160" t="s">
        <v>236</v>
      </c>
      <c r="K6" s="154" t="s">
        <v>242</v>
      </c>
      <c r="L6" s="154" t="s">
        <v>139</v>
      </c>
      <c r="M6" s="154" t="s">
        <v>238</v>
      </c>
      <c r="N6" s="154" t="s">
        <v>237</v>
      </c>
      <c r="O6" s="154" t="s">
        <v>243</v>
      </c>
      <c r="P6" s="161" t="s">
        <v>244</v>
      </c>
      <c r="Q6" s="157" t="s">
        <v>6</v>
      </c>
      <c r="R6" s="155" t="s">
        <v>236</v>
      </c>
      <c r="S6" s="154" t="s">
        <v>245</v>
      </c>
      <c r="T6" s="154" t="s">
        <v>246</v>
      </c>
      <c r="U6" s="154" t="s">
        <v>238</v>
      </c>
      <c r="V6" s="154" t="s">
        <v>237</v>
      </c>
      <c r="W6" s="154" t="s">
        <v>243</v>
      </c>
      <c r="X6" s="159" t="s">
        <v>244</v>
      </c>
      <c r="Y6" s="162" t="s">
        <v>247</v>
      </c>
      <c r="Z6" s="155" t="s">
        <v>13</v>
      </c>
      <c r="AA6" s="154" t="s">
        <v>248</v>
      </c>
      <c r="AB6" s="154" t="s">
        <v>249</v>
      </c>
      <c r="AC6" s="699" t="s">
        <v>250</v>
      </c>
      <c r="AD6" s="700"/>
      <c r="AE6" s="155" t="s">
        <v>251</v>
      </c>
      <c r="AF6" s="163" t="s">
        <v>252</v>
      </c>
      <c r="AG6" s="164" t="s">
        <v>253</v>
      </c>
      <c r="AH6" s="156" t="s">
        <v>254</v>
      </c>
      <c r="AI6" s="165" t="s">
        <v>234</v>
      </c>
      <c r="AJ6" s="162" t="s">
        <v>255</v>
      </c>
      <c r="AK6" s="154" t="s">
        <v>256</v>
      </c>
      <c r="AL6" s="154" t="s">
        <v>257</v>
      </c>
      <c r="AM6" s="154" t="s">
        <v>14</v>
      </c>
      <c r="AN6" s="154" t="s">
        <v>258</v>
      </c>
      <c r="AO6" s="154" t="s">
        <v>259</v>
      </c>
      <c r="AP6" s="154" t="s">
        <v>260</v>
      </c>
      <c r="AQ6" s="154" t="s">
        <v>261</v>
      </c>
      <c r="AR6" s="154" t="s">
        <v>262</v>
      </c>
      <c r="AS6" s="154" t="s">
        <v>3</v>
      </c>
      <c r="AT6" s="156" t="s">
        <v>263</v>
      </c>
    </row>
    <row r="7" spans="1:46" x14ac:dyDescent="0.2">
      <c r="A7" s="695"/>
      <c r="B7" s="167" t="s">
        <v>264</v>
      </c>
      <c r="C7" s="167" t="s">
        <v>264</v>
      </c>
      <c r="D7" s="167" t="s">
        <v>265</v>
      </c>
      <c r="E7" s="168" t="s">
        <v>264</v>
      </c>
      <c r="F7" s="169"/>
      <c r="G7" s="167"/>
      <c r="H7" s="168"/>
      <c r="I7" s="170" t="s">
        <v>264</v>
      </c>
      <c r="J7" s="171" t="s">
        <v>264</v>
      </c>
      <c r="K7" s="167" t="s">
        <v>264</v>
      </c>
      <c r="L7" s="167" t="s">
        <v>264</v>
      </c>
      <c r="M7" s="167" t="s">
        <v>264</v>
      </c>
      <c r="N7" s="167" t="s">
        <v>266</v>
      </c>
      <c r="O7" s="167" t="s">
        <v>267</v>
      </c>
      <c r="P7" s="172" t="s">
        <v>268</v>
      </c>
      <c r="Q7" s="169" t="s">
        <v>264</v>
      </c>
      <c r="R7" s="167" t="s">
        <v>264</v>
      </c>
      <c r="S7" s="167" t="s">
        <v>264</v>
      </c>
      <c r="T7" s="167" t="s">
        <v>264</v>
      </c>
      <c r="U7" s="167" t="s">
        <v>264</v>
      </c>
      <c r="V7" s="167" t="s">
        <v>266</v>
      </c>
      <c r="W7" s="167" t="s">
        <v>267</v>
      </c>
      <c r="X7" s="170" t="s">
        <v>268</v>
      </c>
      <c r="Y7" s="171" t="s">
        <v>269</v>
      </c>
      <c r="Z7" s="167" t="s">
        <v>269</v>
      </c>
      <c r="AA7" s="167" t="s">
        <v>269</v>
      </c>
      <c r="AB7" s="167" t="s">
        <v>269</v>
      </c>
      <c r="AC7" s="167" t="s">
        <v>270</v>
      </c>
      <c r="AD7" s="167" t="s">
        <v>271</v>
      </c>
      <c r="AE7" s="167" t="s">
        <v>271</v>
      </c>
      <c r="AF7" s="173" t="s">
        <v>271</v>
      </c>
      <c r="AG7" s="174" t="s">
        <v>272</v>
      </c>
      <c r="AH7" s="175" t="s">
        <v>273</v>
      </c>
      <c r="AI7" s="176" t="s">
        <v>274</v>
      </c>
      <c r="AJ7" s="171" t="s">
        <v>275</v>
      </c>
      <c r="AK7" s="167" t="s">
        <v>275</v>
      </c>
      <c r="AL7" s="167" t="s">
        <v>275</v>
      </c>
      <c r="AM7" s="167" t="s">
        <v>275</v>
      </c>
      <c r="AN7" s="167" t="s">
        <v>275</v>
      </c>
      <c r="AO7" s="167" t="s">
        <v>275</v>
      </c>
      <c r="AP7" s="167" t="s">
        <v>275</v>
      </c>
      <c r="AQ7" s="167" t="s">
        <v>275</v>
      </c>
      <c r="AR7" s="167" t="s">
        <v>275</v>
      </c>
      <c r="AS7" s="167" t="s">
        <v>275</v>
      </c>
      <c r="AT7" s="175" t="s">
        <v>276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277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689" t="s">
        <v>227</v>
      </c>
      <c r="B21" s="691" t="s">
        <v>278</v>
      </c>
      <c r="C21" s="692"/>
      <c r="D21" s="687" t="s">
        <v>279</v>
      </c>
      <c r="E21" s="685"/>
      <c r="F21" s="686"/>
      <c r="G21" s="687" t="s">
        <v>280</v>
      </c>
      <c r="H21" s="686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690"/>
      <c r="B22" s="177" t="s">
        <v>281</v>
      </c>
      <c r="C22" s="236" t="s">
        <v>282</v>
      </c>
      <c r="D22" s="177" t="s">
        <v>283</v>
      </c>
      <c r="E22" s="237" t="s">
        <v>284</v>
      </c>
      <c r="F22" s="236" t="s">
        <v>285</v>
      </c>
      <c r="G22" s="177" t="s">
        <v>286</v>
      </c>
      <c r="H22" s="236" t="s">
        <v>287</v>
      </c>
      <c r="AE22" s="254"/>
    </row>
    <row r="23" spans="1:47" x14ac:dyDescent="0.2">
      <c r="A23" s="690"/>
      <c r="B23" s="169" t="s">
        <v>267</v>
      </c>
      <c r="C23" s="168" t="s">
        <v>267</v>
      </c>
      <c r="D23" s="169" t="s">
        <v>267</v>
      </c>
      <c r="E23" s="167" t="s">
        <v>267</v>
      </c>
      <c r="F23" s="168" t="s">
        <v>267</v>
      </c>
      <c r="G23" s="169" t="s">
        <v>267</v>
      </c>
      <c r="H23" s="168" t="s">
        <v>267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697"/>
      <c r="T26" s="697"/>
      <c r="U26" s="697"/>
      <c r="V26" s="697"/>
      <c r="W26" s="697"/>
      <c r="X26" s="697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248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288</v>
      </c>
      <c r="F40" s="14" t="s">
        <v>289</v>
      </c>
      <c r="G40" s="14" t="s">
        <v>289</v>
      </c>
      <c r="H40" s="14" t="s">
        <v>290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291</v>
      </c>
      <c r="D41" s="242">
        <f>J14*K15/J15</f>
        <v>2311.3657479095696</v>
      </c>
      <c r="K41" s="14" t="s">
        <v>139</v>
      </c>
      <c r="L41" s="14" t="s">
        <v>610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139</v>
      </c>
      <c r="D42" s="242">
        <f>J14-D41</f>
        <v>1242.6342520904304</v>
      </c>
      <c r="K42" s="14" t="s">
        <v>294</v>
      </c>
      <c r="L42" s="14" t="s">
        <v>610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292</v>
      </c>
      <c r="D43" s="243">
        <f>R14*(S15/R15)</f>
        <v>1290.0096411355116</v>
      </c>
      <c r="K43" s="14" t="s">
        <v>245</v>
      </c>
      <c r="L43" s="14" t="s">
        <v>519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293</v>
      </c>
      <c r="D44" s="242">
        <f>R14-D43</f>
        <v>245.99035886448837</v>
      </c>
      <c r="K44" s="14" t="s">
        <v>246</v>
      </c>
      <c r="L44" s="14" t="s">
        <v>519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143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9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193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1" t="s">
        <v>203</v>
      </c>
      <c r="F40" s="701"/>
      <c r="G40" s="701"/>
      <c r="H40" s="701"/>
      <c r="I40" s="701"/>
      <c r="J40" s="701"/>
      <c r="K40" s="701"/>
      <c r="L40" s="16"/>
      <c r="M40" s="701" t="s">
        <v>204</v>
      </c>
      <c r="N40" s="701"/>
      <c r="O40" s="702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195</v>
      </c>
      <c r="H41" s="19" t="s">
        <v>197</v>
      </c>
      <c r="I41" s="19" t="s">
        <v>202</v>
      </c>
      <c r="J41" s="19" t="s">
        <v>198</v>
      </c>
      <c r="K41" s="19" t="s">
        <v>196</v>
      </c>
      <c r="L41" s="12"/>
      <c r="M41" s="19" t="s">
        <v>196</v>
      </c>
      <c r="N41" s="19" t="s">
        <v>201</v>
      </c>
      <c r="O41" s="146" t="s">
        <v>206</v>
      </c>
    </row>
    <row r="42" spans="3:17" x14ac:dyDescent="0.25">
      <c r="C42" s="703" t="s">
        <v>93</v>
      </c>
      <c r="D42" s="19" t="s">
        <v>194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199</v>
      </c>
      <c r="O42" s="5"/>
    </row>
    <row r="43" spans="3:17" x14ac:dyDescent="0.25">
      <c r="C43" s="703"/>
      <c r="D43" s="19" t="s">
        <v>200</v>
      </c>
      <c r="E43" s="1"/>
      <c r="F43" s="1"/>
      <c r="G43" s="1">
        <v>596000</v>
      </c>
      <c r="H43" s="1"/>
      <c r="I43" s="1">
        <v>297000</v>
      </c>
      <c r="J43" s="1" t="s">
        <v>199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205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349</v>
      </c>
      <c r="H51" s="347">
        <f>SUM(G42:G43,I42:I43)</f>
        <v>2010000</v>
      </c>
    </row>
    <row r="52" spans="2:21" x14ac:dyDescent="0.25">
      <c r="G52" t="s">
        <v>196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385</v>
      </c>
      <c r="G54" t="s">
        <v>194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386</v>
      </c>
      <c r="G55" t="s">
        <v>387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414</v>
      </c>
    </row>
    <row r="60" spans="2:21" x14ac:dyDescent="0.25">
      <c r="C60" t="s">
        <v>13</v>
      </c>
      <c r="D60" s="368">
        <f>E42/O47</f>
        <v>0.54441454869243722</v>
      </c>
      <c r="E60" t="s">
        <v>415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415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437</v>
      </c>
    </row>
    <row r="69" spans="1:14" x14ac:dyDescent="0.25">
      <c r="B69" s="136" t="s">
        <v>444</v>
      </c>
    </row>
    <row r="70" spans="1:14" x14ac:dyDescent="0.25">
      <c r="B70" s="385" t="s">
        <v>446</v>
      </c>
    </row>
    <row r="72" spans="1:14" x14ac:dyDescent="0.25">
      <c r="B72" s="367">
        <v>0.26</v>
      </c>
      <c r="C72" t="s">
        <v>438</v>
      </c>
    </row>
    <row r="73" spans="1:14" x14ac:dyDescent="0.25">
      <c r="B73">
        <v>1.5</v>
      </c>
      <c r="C73" t="s">
        <v>441</v>
      </c>
      <c r="H73">
        <v>12.3</v>
      </c>
      <c r="I73" t="s">
        <v>440</v>
      </c>
    </row>
    <row r="74" spans="1:14" x14ac:dyDescent="0.25">
      <c r="B74">
        <v>949570</v>
      </c>
      <c r="C74" t="s">
        <v>439</v>
      </c>
    </row>
    <row r="75" spans="1:14" x14ac:dyDescent="0.25">
      <c r="A75" t="s">
        <v>445</v>
      </c>
    </row>
    <row r="76" spans="1:14" x14ac:dyDescent="0.25">
      <c r="B76">
        <f>B73*B74</f>
        <v>1424355</v>
      </c>
      <c r="C76" t="s">
        <v>601</v>
      </c>
    </row>
    <row r="77" spans="1:14" x14ac:dyDescent="0.25">
      <c r="B77" s="133">
        <f>B76/B72</f>
        <v>5478288.461538461</v>
      </c>
      <c r="C77" t="s">
        <v>443</v>
      </c>
    </row>
    <row r="79" spans="1:14" x14ac:dyDescent="0.25">
      <c r="B79" s="349">
        <f>B77*H73/1000</f>
        <v>67382.948076923072</v>
      </c>
      <c r="C79" t="s">
        <v>442</v>
      </c>
    </row>
    <row r="81" spans="2:3" x14ac:dyDescent="0.25">
      <c r="B81" s="349">
        <f>B79*3.6/1000</f>
        <v>242.57861307692306</v>
      </c>
      <c r="C81" t="s">
        <v>331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10"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>
      <selection activeCell="F24" sqref="F24"/>
    </sheetView>
  </sheetViews>
  <sheetFormatPr defaultRowHeight="15" x14ac:dyDescent="0.25"/>
  <sheetData>
    <row r="2" spans="2:9" x14ac:dyDescent="0.25">
      <c r="B2" t="s">
        <v>346</v>
      </c>
    </row>
    <row r="3" spans="2:9" x14ac:dyDescent="0.25">
      <c r="B3" t="s">
        <v>347</v>
      </c>
    </row>
    <row r="6" spans="2:9" x14ac:dyDescent="0.25">
      <c r="B6" t="s">
        <v>600</v>
      </c>
    </row>
    <row r="7" spans="2:9" x14ac:dyDescent="0.25">
      <c r="B7" t="s">
        <v>348</v>
      </c>
    </row>
    <row r="8" spans="2:9" x14ac:dyDescent="0.25">
      <c r="E8" t="s">
        <v>335</v>
      </c>
    </row>
    <row r="9" spans="2:9" x14ac:dyDescent="0.25">
      <c r="C9" s="136" t="s">
        <v>332</v>
      </c>
    </row>
    <row r="10" spans="2:9" x14ac:dyDescent="0.25">
      <c r="C10" t="s">
        <v>333</v>
      </c>
      <c r="D10">
        <v>1600</v>
      </c>
      <c r="E10" t="s">
        <v>334</v>
      </c>
      <c r="I10" t="s">
        <v>505</v>
      </c>
    </row>
    <row r="11" spans="2:9" x14ac:dyDescent="0.25">
      <c r="C11" t="s">
        <v>336</v>
      </c>
      <c r="D11">
        <v>275</v>
      </c>
      <c r="E11" t="s">
        <v>337</v>
      </c>
      <c r="H11">
        <v>30</v>
      </c>
      <c r="I11">
        <f>H11*D11/1000</f>
        <v>8.25</v>
      </c>
    </row>
    <row r="12" spans="2:9" x14ac:dyDescent="0.25">
      <c r="C12" t="s">
        <v>338</v>
      </c>
      <c r="D12">
        <v>205</v>
      </c>
      <c r="E12" t="s">
        <v>337</v>
      </c>
      <c r="H12">
        <v>24</v>
      </c>
      <c r="I12">
        <f>H12*D12/1000</f>
        <v>4.92</v>
      </c>
    </row>
    <row r="13" spans="2:9" x14ac:dyDescent="0.25">
      <c r="C13" t="s">
        <v>339</v>
      </c>
      <c r="D13">
        <v>1000</v>
      </c>
      <c r="E13" t="s">
        <v>340</v>
      </c>
    </row>
    <row r="15" spans="2:9" x14ac:dyDescent="0.25">
      <c r="C15" s="136" t="s">
        <v>341</v>
      </c>
    </row>
    <row r="16" spans="2:9" x14ac:dyDescent="0.25">
      <c r="C16" t="s">
        <v>342</v>
      </c>
      <c r="D16">
        <v>12000</v>
      </c>
      <c r="E16" t="s">
        <v>343</v>
      </c>
    </row>
    <row r="17" spans="3:5" x14ac:dyDescent="0.25">
      <c r="C17" t="s">
        <v>344</v>
      </c>
      <c r="D17">
        <v>320</v>
      </c>
      <c r="E17" t="s">
        <v>345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0"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211</v>
      </c>
    </row>
    <row r="3" spans="2:10" x14ac:dyDescent="0.25">
      <c r="B3" t="s">
        <v>210</v>
      </c>
    </row>
    <row r="4" spans="2:10" x14ac:dyDescent="0.25">
      <c r="B4" s="147" t="s">
        <v>599</v>
      </c>
    </row>
    <row r="5" spans="2:10" x14ac:dyDescent="0.25">
      <c r="B5" t="s">
        <v>212</v>
      </c>
    </row>
    <row r="6" spans="2:10" x14ac:dyDescent="0.25">
      <c r="J6" t="s">
        <v>218</v>
      </c>
    </row>
    <row r="8" spans="2:10" x14ac:dyDescent="0.25">
      <c r="B8" s="149" t="s">
        <v>214</v>
      </c>
    </row>
    <row r="9" spans="2:10" x14ac:dyDescent="0.25">
      <c r="B9" t="s">
        <v>213</v>
      </c>
    </row>
    <row r="11" spans="2:10" x14ac:dyDescent="0.25">
      <c r="B11" s="148" t="s">
        <v>220</v>
      </c>
    </row>
    <row r="12" spans="2:10" x14ac:dyDescent="0.25">
      <c r="C12" t="s">
        <v>221</v>
      </c>
    </row>
    <row r="13" spans="2:10" x14ac:dyDescent="0.25">
      <c r="C13" t="s">
        <v>219</v>
      </c>
    </row>
    <row r="15" spans="2:10" x14ac:dyDescent="0.25">
      <c r="B15" s="148" t="s">
        <v>222</v>
      </c>
    </row>
    <row r="16" spans="2:10" x14ac:dyDescent="0.25">
      <c r="C16" t="s">
        <v>217</v>
      </c>
    </row>
    <row r="19" spans="2:3" x14ac:dyDescent="0.25">
      <c r="B19" s="149" t="s">
        <v>215</v>
      </c>
    </row>
    <row r="21" spans="2:3" x14ac:dyDescent="0.25">
      <c r="B21" s="133">
        <v>900000</v>
      </c>
      <c r="C21" t="s">
        <v>216</v>
      </c>
    </row>
    <row r="25" spans="2:3" x14ac:dyDescent="0.25">
      <c r="B25" s="136" t="s">
        <v>353</v>
      </c>
    </row>
    <row r="26" spans="2:3" x14ac:dyDescent="0.25">
      <c r="B26">
        <v>1915</v>
      </c>
      <c r="C26" t="s">
        <v>351</v>
      </c>
    </row>
    <row r="27" spans="2:3" x14ac:dyDescent="0.25">
      <c r="B27">
        <v>478</v>
      </c>
      <c r="C27" t="s">
        <v>352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HDRI scenario</vt:lpstr>
      <vt:lpstr>PAMS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2021-07-19T12:58:22Z</dcterms:modified>
</cp:coreProperties>
</file>