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y Drive\Consulting\2020Projects\AFOLU NDC\Agriculture modelling\"/>
    </mc:Choice>
  </mc:AlternateContent>
  <bookViews>
    <workbookView xWindow="0" yWindow="0" windowWidth="16215" windowHeight="7935" firstSheet="4" activeTab="12"/>
  </bookViews>
  <sheets>
    <sheet name="Notes" sheetId="56" r:id="rId1"/>
    <sheet name="IPCC Categories" sheetId="35" r:id="rId2"/>
    <sheet name="Drivers" sheetId="47" r:id="rId3"/>
    <sheet name="Intermediate calculations" sheetId="50" r:id="rId4"/>
    <sheet name="Relationships" sheetId="57" r:id="rId5"/>
    <sheet name="Constants" sheetId="46" r:id="rId6"/>
    <sheet name="BFAP verification" sheetId="55" state="hidden" r:id="rId7"/>
    <sheet name="Mitigation drivers" sheetId="51" r:id="rId8"/>
    <sheet name="Activity data" sheetId="36" r:id="rId9"/>
    <sheet name="EF" sheetId="33" r:id="rId10"/>
    <sheet name="Aggregated EF" sheetId="39" r:id="rId11"/>
    <sheet name="Emissions" sheetId="34" r:id="rId12"/>
    <sheet name="Emissions summary" sheetId="45" r:id="rId13"/>
  </sheets>
  <externalReferences>
    <externalReference r:id="rId14"/>
    <externalReference r:id="rId15"/>
  </externalReferences>
  <definedNames>
    <definedName name="AllYears">OFFSET(#REF!,0,COUNTIF(#REF!,"a"),1,COUNTIF(#REF!,"x"))</definedName>
    <definedName name="CH4GWP">Constants!$B$3</definedName>
    <definedName name="CO2toC">Constants!$B$6</definedName>
    <definedName name="CompostN2O">EF!$H$78</definedName>
    <definedName name="CREF">EF!$H$194</definedName>
    <definedName name="CtoCO2">Constants!$B$5</definedName>
    <definedName name="DailyspreadN2O">EF!$H$77</definedName>
    <definedName name="DigesterN2OEF">EF!$H$82</definedName>
    <definedName name="DrylotN2O">EF!$H$75</definedName>
    <definedName name="FracGASF">EF!$H$196</definedName>
    <definedName name="FracGASM">EF!$H$197</definedName>
    <definedName name="FracLEACH">EF!$H$198</definedName>
    <definedName name="FracLEACHMM">EF!$H$203</definedName>
    <definedName name="FracLEACHUD">EF!$H$199</definedName>
    <definedName name="FSOMEF">EF!$H$193</definedName>
    <definedName name="Ggtot">Constants!$B$13</definedName>
    <definedName name="HistoricYears">OFFSET(#REF!,0,COUNTIF(#REF!,"a"),1,COUNTIF(#REF!,"x"))</definedName>
    <definedName name="InputData">OFFSET(#REF!,0,COUNTIF(#REF!,"a"),1,COUNTIF(#REF!,"x"))</definedName>
    <definedName name="kgtoGg">Constants!$B$9</definedName>
    <definedName name="kgtot">Constants!$B$10</definedName>
    <definedName name="LagoonN2O">EF!$H$73</definedName>
    <definedName name="LiquidN2O">EF!$H$74</definedName>
    <definedName name="ManureNEF">EF!$H$190</definedName>
    <definedName name="ManwithbedN2O">EF!$H$79</definedName>
    <definedName name="MMLeachEF">EF!$H$205</definedName>
    <definedName name="MMVolatEF">EF!$H$204</definedName>
    <definedName name="MSLeachEF">EF!$H$201</definedName>
    <definedName name="MSVolatEF">EF!$H$200</definedName>
    <definedName name="N2OGWP">Constants!$B$4</definedName>
    <definedName name="NtoN2O">Constants!$B$8</definedName>
    <definedName name="ONEF">EF!$H$189</definedName>
    <definedName name="PMwithlitterN2O">EF!$H$81</definedName>
    <definedName name="PMwithoutlitterN2O">EF!$H$80</definedName>
    <definedName name="ProjectedAD">OFFSET(#REF!,0,COUNTIF(#REF!,"a"),1,COUNTIF(#REF!,"x"))</definedName>
    <definedName name="Proxy1_historic">OFFSET(#REF!,0,COUNTIF(#REF!,"a"),1,COUNTIF(#REF!,"x"))</definedName>
    <definedName name="Proxy2_historic">OFFSET(#REF!,0,COUNTIF(#REF!,"a"),1,COUNTIF(#REF!,"x"))</definedName>
    <definedName name="Proxy3_historic">OFFSET(#REF!,0,COUNTIF(#REF!,"a"),1,COUNTIF(#REF!,"x"))</definedName>
    <definedName name="ProxyList">OFFSET(#REF!,0,0,COUNTA(#REF!,0)-1,1)</definedName>
    <definedName name="SNEF">EF!$H$188</definedName>
    <definedName name="SolidStorageN2O">EF!$H$76</definedName>
    <definedName name="ttoGg">Constants!$B$11</definedName>
    <definedName name="ttokg">Constants!$B$12</definedName>
    <definedName name="UDCPPEF">EF!$H$191</definedName>
    <definedName name="UDSOEF">EF!$H$192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J36" i="57" l="1"/>
  <c r="AI36" i="57"/>
  <c r="AE24" i="36"/>
  <c r="AF24" i="36"/>
  <c r="AG24" i="36"/>
  <c r="AH24" i="36"/>
  <c r="AI24" i="36"/>
  <c r="AJ24" i="36"/>
  <c r="AK24" i="36"/>
  <c r="AL24" i="36"/>
  <c r="AM24" i="36"/>
  <c r="AN24" i="36"/>
  <c r="AO24" i="36"/>
  <c r="AP24" i="36"/>
  <c r="AQ24" i="36"/>
  <c r="AR24" i="36"/>
  <c r="AS24" i="36"/>
  <c r="AT24" i="36"/>
  <c r="AU24" i="36"/>
  <c r="AV24" i="36"/>
  <c r="AW24" i="36"/>
  <c r="AX24" i="36"/>
  <c r="AY24" i="36"/>
  <c r="AZ24" i="36"/>
  <c r="BA24" i="36"/>
  <c r="BB24" i="36"/>
  <c r="BC24" i="36"/>
  <c r="BD24" i="36"/>
  <c r="BE24" i="36"/>
  <c r="BF24" i="36"/>
  <c r="BG24" i="36"/>
  <c r="BH24" i="36"/>
  <c r="BI24" i="36"/>
  <c r="BJ24" i="36"/>
  <c r="BK24" i="36"/>
  <c r="BL24" i="36"/>
  <c r="BM24" i="36"/>
  <c r="BN24" i="36"/>
  <c r="BO24" i="36"/>
  <c r="BP24" i="36"/>
  <c r="AE25" i="36"/>
  <c r="AF25" i="36"/>
  <c r="AG25" i="36"/>
  <c r="AH25" i="36"/>
  <c r="AI25" i="36"/>
  <c r="AJ25" i="36"/>
  <c r="AK25" i="36"/>
  <c r="AL25" i="36"/>
  <c r="AM25" i="36"/>
  <c r="AN25" i="36"/>
  <c r="AO25" i="36"/>
  <c r="AP25" i="36"/>
  <c r="AQ25" i="36"/>
  <c r="AR25" i="36"/>
  <c r="AS25" i="36"/>
  <c r="AT25" i="36"/>
  <c r="AU25" i="36"/>
  <c r="AV25" i="36"/>
  <c r="AW25" i="36"/>
  <c r="AX25" i="36"/>
  <c r="AY25" i="36"/>
  <c r="AZ25" i="36"/>
  <c r="BA25" i="36"/>
  <c r="BB25" i="36"/>
  <c r="BC25" i="36"/>
  <c r="BD25" i="36"/>
  <c r="BE25" i="36"/>
  <c r="BF25" i="36"/>
  <c r="BG25" i="36"/>
  <c r="BH25" i="36"/>
  <c r="BI25" i="36"/>
  <c r="BJ25" i="36"/>
  <c r="BK25" i="36"/>
  <c r="BL25" i="36"/>
  <c r="BM25" i="36"/>
  <c r="BN25" i="36"/>
  <c r="BO25" i="36"/>
  <c r="BP25" i="36"/>
  <c r="AE26" i="36"/>
  <c r="AF26" i="36"/>
  <c r="AG26" i="36"/>
  <c r="AH26" i="36"/>
  <c r="AI26" i="36"/>
  <c r="AJ26" i="36"/>
  <c r="AK26" i="36"/>
  <c r="AL26" i="36"/>
  <c r="AM26" i="36"/>
  <c r="AN26" i="36"/>
  <c r="AO26" i="36"/>
  <c r="AP26" i="36"/>
  <c r="AQ26" i="36"/>
  <c r="AR26" i="36"/>
  <c r="AS26" i="36"/>
  <c r="AT26" i="36"/>
  <c r="AU26" i="36"/>
  <c r="AV26" i="36"/>
  <c r="AW26" i="36"/>
  <c r="AX26" i="36"/>
  <c r="AY26" i="36"/>
  <c r="AZ26" i="36"/>
  <c r="BA26" i="36"/>
  <c r="BB26" i="36"/>
  <c r="BC26" i="36"/>
  <c r="BD26" i="36"/>
  <c r="BE26" i="36"/>
  <c r="BF26" i="36"/>
  <c r="BG26" i="36"/>
  <c r="BH26" i="36"/>
  <c r="BI26" i="36"/>
  <c r="BJ26" i="36"/>
  <c r="BK26" i="36"/>
  <c r="BL26" i="36"/>
  <c r="BM26" i="36"/>
  <c r="BN26" i="36"/>
  <c r="BO26" i="36"/>
  <c r="BP26" i="36"/>
  <c r="AE27" i="36"/>
  <c r="AF27" i="36"/>
  <c r="AG27" i="36"/>
  <c r="AH27" i="36"/>
  <c r="AI27" i="36"/>
  <c r="AJ27" i="36"/>
  <c r="AK27" i="36"/>
  <c r="AL27" i="36"/>
  <c r="AM27" i="36"/>
  <c r="AN27" i="36"/>
  <c r="AO27" i="36"/>
  <c r="AP27" i="36"/>
  <c r="AQ27" i="36"/>
  <c r="AR27" i="36"/>
  <c r="AS27" i="36"/>
  <c r="AT27" i="36"/>
  <c r="AU27" i="36"/>
  <c r="AV27" i="36"/>
  <c r="AW27" i="36"/>
  <c r="AX27" i="36"/>
  <c r="AY27" i="36"/>
  <c r="AZ27" i="36"/>
  <c r="BA27" i="36"/>
  <c r="BB27" i="36"/>
  <c r="BC27" i="36"/>
  <c r="BD27" i="36"/>
  <c r="BE27" i="36"/>
  <c r="BF27" i="36"/>
  <c r="BG27" i="36"/>
  <c r="BH27" i="36"/>
  <c r="BI27" i="36"/>
  <c r="BJ27" i="36"/>
  <c r="BK27" i="36"/>
  <c r="BL27" i="36"/>
  <c r="BM27" i="36"/>
  <c r="BN27" i="36"/>
  <c r="BO27" i="36"/>
  <c r="BP27" i="36"/>
  <c r="AE28" i="36"/>
  <c r="AF28" i="36"/>
  <c r="AG28" i="36"/>
  <c r="AH28" i="36"/>
  <c r="AI28" i="36"/>
  <c r="AJ28" i="36"/>
  <c r="AK28" i="36"/>
  <c r="AL28" i="36"/>
  <c r="AM28" i="36"/>
  <c r="AN28" i="36"/>
  <c r="AO28" i="36"/>
  <c r="AP28" i="36"/>
  <c r="AQ28" i="36"/>
  <c r="AR28" i="36"/>
  <c r="AS28" i="36"/>
  <c r="AT28" i="36"/>
  <c r="AU28" i="36"/>
  <c r="AV28" i="36"/>
  <c r="AW28" i="36"/>
  <c r="AX28" i="36"/>
  <c r="AY28" i="36"/>
  <c r="AZ28" i="36"/>
  <c r="BA28" i="36"/>
  <c r="BB28" i="36"/>
  <c r="BC28" i="36"/>
  <c r="BD28" i="36"/>
  <c r="BE28" i="36"/>
  <c r="BF28" i="36"/>
  <c r="BG28" i="36"/>
  <c r="BH28" i="36"/>
  <c r="BI28" i="36"/>
  <c r="BJ28" i="36"/>
  <c r="BK28" i="36"/>
  <c r="BL28" i="36"/>
  <c r="BM28" i="36"/>
  <c r="BN28" i="36"/>
  <c r="BO28" i="36"/>
  <c r="BP28" i="36"/>
  <c r="AE29" i="36"/>
  <c r="AF29" i="36"/>
  <c r="AG29" i="36"/>
  <c r="AH29" i="36"/>
  <c r="AI29" i="36"/>
  <c r="AJ29" i="36"/>
  <c r="AK29" i="36"/>
  <c r="AL29" i="36"/>
  <c r="AM29" i="36"/>
  <c r="AN29" i="36"/>
  <c r="AO29" i="36"/>
  <c r="AP29" i="36"/>
  <c r="AQ29" i="36"/>
  <c r="AR29" i="36"/>
  <c r="AS29" i="36"/>
  <c r="AT29" i="36"/>
  <c r="AU29" i="36"/>
  <c r="AV29" i="36"/>
  <c r="AW29" i="36"/>
  <c r="AX29" i="36"/>
  <c r="AY29" i="36"/>
  <c r="AZ29" i="36"/>
  <c r="BA29" i="36"/>
  <c r="BB29" i="36"/>
  <c r="BC29" i="36"/>
  <c r="BD29" i="36"/>
  <c r="BE29" i="36"/>
  <c r="BF29" i="36"/>
  <c r="BG29" i="36"/>
  <c r="BH29" i="36"/>
  <c r="BI29" i="36"/>
  <c r="BJ29" i="36"/>
  <c r="BK29" i="36"/>
  <c r="BL29" i="36"/>
  <c r="BM29" i="36"/>
  <c r="BN29" i="36"/>
  <c r="BO29" i="36"/>
  <c r="BP29" i="36"/>
  <c r="AE30" i="36"/>
  <c r="AF30" i="36"/>
  <c r="AG30" i="36"/>
  <c r="AH30" i="36"/>
  <c r="AI30" i="36"/>
  <c r="AJ30" i="36"/>
  <c r="AK30" i="36"/>
  <c r="AL30" i="36"/>
  <c r="AM30" i="36"/>
  <c r="AN30" i="36"/>
  <c r="AO30" i="36"/>
  <c r="AP30" i="36"/>
  <c r="AQ30" i="36"/>
  <c r="AR30" i="36"/>
  <c r="AS30" i="36"/>
  <c r="AT30" i="36"/>
  <c r="AU30" i="36"/>
  <c r="AV30" i="36"/>
  <c r="AW30" i="36"/>
  <c r="AX30" i="36"/>
  <c r="AY30" i="36"/>
  <c r="AZ30" i="36"/>
  <c r="BA30" i="36"/>
  <c r="BB30" i="36"/>
  <c r="BC30" i="36"/>
  <c r="BD30" i="36"/>
  <c r="BE30" i="36"/>
  <c r="BF30" i="36"/>
  <c r="BG30" i="36"/>
  <c r="BH30" i="36"/>
  <c r="BI30" i="36"/>
  <c r="BJ30" i="36"/>
  <c r="BK30" i="36"/>
  <c r="BL30" i="36"/>
  <c r="BM30" i="36"/>
  <c r="BN30" i="36"/>
  <c r="BO30" i="36"/>
  <c r="BP30" i="36"/>
  <c r="AE31" i="36"/>
  <c r="AF31" i="36"/>
  <c r="AG31" i="36"/>
  <c r="AH31" i="36"/>
  <c r="AI31" i="36"/>
  <c r="AJ31" i="36"/>
  <c r="AK31" i="36"/>
  <c r="AL31" i="36"/>
  <c r="AM31" i="36"/>
  <c r="AN31" i="36"/>
  <c r="AO31" i="36"/>
  <c r="AP31" i="36"/>
  <c r="AQ31" i="36"/>
  <c r="AR31" i="36"/>
  <c r="AS31" i="36"/>
  <c r="AT31" i="36"/>
  <c r="AU31" i="36"/>
  <c r="AV31" i="36"/>
  <c r="AW31" i="36"/>
  <c r="AX31" i="36"/>
  <c r="AY31" i="36"/>
  <c r="AZ31" i="36"/>
  <c r="BA31" i="36"/>
  <c r="BB31" i="36"/>
  <c r="BC31" i="36"/>
  <c r="BD31" i="36"/>
  <c r="BE31" i="36"/>
  <c r="BF31" i="36"/>
  <c r="BG31" i="36"/>
  <c r="BH31" i="36"/>
  <c r="BI31" i="36"/>
  <c r="BJ31" i="36"/>
  <c r="BK31" i="36"/>
  <c r="BL31" i="36"/>
  <c r="BM31" i="36"/>
  <c r="BN31" i="36"/>
  <c r="BO31" i="36"/>
  <c r="BP31" i="36"/>
  <c r="AE32" i="36"/>
  <c r="AF32" i="36"/>
  <c r="AG32" i="36"/>
  <c r="AH32" i="36"/>
  <c r="AI32" i="36"/>
  <c r="AJ32" i="36"/>
  <c r="AK32" i="36"/>
  <c r="AL32" i="36"/>
  <c r="AM32" i="36"/>
  <c r="AN32" i="36"/>
  <c r="AO32" i="36"/>
  <c r="AP32" i="36"/>
  <c r="AQ32" i="36"/>
  <c r="AR32" i="36"/>
  <c r="AS32" i="36"/>
  <c r="AT32" i="36"/>
  <c r="AU32" i="36"/>
  <c r="AV32" i="36"/>
  <c r="AW32" i="36"/>
  <c r="AX32" i="36"/>
  <c r="AY32" i="36"/>
  <c r="AZ32" i="36"/>
  <c r="BA32" i="36"/>
  <c r="BB32" i="36"/>
  <c r="BC32" i="36"/>
  <c r="BD32" i="36"/>
  <c r="BE32" i="36"/>
  <c r="BF32" i="36"/>
  <c r="BG32" i="36"/>
  <c r="BH32" i="36"/>
  <c r="BI32" i="36"/>
  <c r="BJ32" i="36"/>
  <c r="BK32" i="36"/>
  <c r="BL32" i="36"/>
  <c r="BM32" i="36"/>
  <c r="BN32" i="36"/>
  <c r="BO32" i="36"/>
  <c r="BP32" i="36"/>
  <c r="AE33" i="36"/>
  <c r="AF33" i="36"/>
  <c r="AG33" i="36"/>
  <c r="AH33" i="36"/>
  <c r="AI33" i="36"/>
  <c r="AJ33" i="36"/>
  <c r="AK33" i="36"/>
  <c r="AL33" i="36"/>
  <c r="AM33" i="36"/>
  <c r="AN33" i="36"/>
  <c r="AO33" i="36"/>
  <c r="AP33" i="36"/>
  <c r="AQ33" i="36"/>
  <c r="AR33" i="36"/>
  <c r="AS33" i="36"/>
  <c r="AT33" i="36"/>
  <c r="AU33" i="36"/>
  <c r="AV33" i="36"/>
  <c r="AW33" i="36"/>
  <c r="AX33" i="36"/>
  <c r="AY33" i="36"/>
  <c r="AZ33" i="36"/>
  <c r="BA33" i="36"/>
  <c r="BB33" i="36"/>
  <c r="BC33" i="36"/>
  <c r="BD33" i="36"/>
  <c r="BE33" i="36"/>
  <c r="BF33" i="36"/>
  <c r="BG33" i="36"/>
  <c r="BH33" i="36"/>
  <c r="BI33" i="36"/>
  <c r="BJ33" i="36"/>
  <c r="BK33" i="36"/>
  <c r="BL33" i="36"/>
  <c r="BM33" i="36"/>
  <c r="BN33" i="36"/>
  <c r="BO33" i="36"/>
  <c r="BP33" i="36"/>
  <c r="AE34" i="36"/>
  <c r="AF34" i="36"/>
  <c r="AG34" i="36"/>
  <c r="AH34" i="36"/>
  <c r="AI34" i="36"/>
  <c r="AJ34" i="36"/>
  <c r="AK34" i="36"/>
  <c r="AL34" i="36"/>
  <c r="AM34" i="36"/>
  <c r="AN34" i="36"/>
  <c r="AO34" i="36"/>
  <c r="AP34" i="36"/>
  <c r="AQ34" i="36"/>
  <c r="AR34" i="36"/>
  <c r="AS34" i="36"/>
  <c r="AT34" i="36"/>
  <c r="AU34" i="36"/>
  <c r="AV34" i="36"/>
  <c r="AW34" i="36"/>
  <c r="AX34" i="36"/>
  <c r="AY34" i="36"/>
  <c r="AZ34" i="36"/>
  <c r="BA34" i="36"/>
  <c r="BB34" i="36"/>
  <c r="BC34" i="36"/>
  <c r="BD34" i="36"/>
  <c r="BE34" i="36"/>
  <c r="BF34" i="36"/>
  <c r="BG34" i="36"/>
  <c r="BH34" i="36"/>
  <c r="BI34" i="36"/>
  <c r="BJ34" i="36"/>
  <c r="BK34" i="36"/>
  <c r="BL34" i="36"/>
  <c r="BM34" i="36"/>
  <c r="BN34" i="36"/>
  <c r="BO34" i="36"/>
  <c r="BP34" i="36"/>
  <c r="AE35" i="36"/>
  <c r="AF35" i="36"/>
  <c r="AG35" i="36"/>
  <c r="AH35" i="36"/>
  <c r="AI35" i="36"/>
  <c r="AJ35" i="36"/>
  <c r="AK35" i="36"/>
  <c r="AL35" i="36"/>
  <c r="AM35" i="36"/>
  <c r="AN35" i="36"/>
  <c r="AO35" i="36"/>
  <c r="AP35" i="36"/>
  <c r="AQ35" i="36"/>
  <c r="AR35" i="36"/>
  <c r="AS35" i="36"/>
  <c r="AT35" i="36"/>
  <c r="AU35" i="36"/>
  <c r="AV35" i="36"/>
  <c r="AW35" i="36"/>
  <c r="AX35" i="36"/>
  <c r="AY35" i="36"/>
  <c r="AZ35" i="36"/>
  <c r="BA35" i="36"/>
  <c r="BB35" i="36"/>
  <c r="BC35" i="36"/>
  <c r="BD35" i="36"/>
  <c r="BE35" i="36"/>
  <c r="BF35" i="36"/>
  <c r="BG35" i="36"/>
  <c r="BH35" i="36"/>
  <c r="BI35" i="36"/>
  <c r="BJ35" i="36"/>
  <c r="BK35" i="36"/>
  <c r="BL35" i="36"/>
  <c r="BM35" i="36"/>
  <c r="BN35" i="36"/>
  <c r="BO35" i="36"/>
  <c r="BP35" i="36"/>
  <c r="AE36" i="36"/>
  <c r="AF36" i="36"/>
  <c r="AG36" i="36"/>
  <c r="AH36" i="36"/>
  <c r="AI36" i="36"/>
  <c r="AJ36" i="36"/>
  <c r="AK36" i="36"/>
  <c r="AL36" i="36"/>
  <c r="AM36" i="36"/>
  <c r="AN36" i="36"/>
  <c r="AO36" i="36"/>
  <c r="AP36" i="36"/>
  <c r="AQ36" i="36"/>
  <c r="AR36" i="36"/>
  <c r="AS36" i="36"/>
  <c r="AT36" i="36"/>
  <c r="AU36" i="36"/>
  <c r="AV36" i="36"/>
  <c r="AW36" i="36"/>
  <c r="AX36" i="36"/>
  <c r="AY36" i="36"/>
  <c r="AZ36" i="36"/>
  <c r="BA36" i="36"/>
  <c r="BB36" i="36"/>
  <c r="BC36" i="36"/>
  <c r="BD36" i="36"/>
  <c r="BE36" i="36"/>
  <c r="BF36" i="36"/>
  <c r="BG36" i="36"/>
  <c r="BH36" i="36"/>
  <c r="BI36" i="36"/>
  <c r="BJ36" i="36"/>
  <c r="BK36" i="36"/>
  <c r="BL36" i="36"/>
  <c r="BM36" i="36"/>
  <c r="BN36" i="36"/>
  <c r="BO36" i="36"/>
  <c r="BP36" i="36"/>
  <c r="AE37" i="36"/>
  <c r="AF37" i="36"/>
  <c r="AG37" i="36"/>
  <c r="AH37" i="36"/>
  <c r="AI37" i="36"/>
  <c r="AJ37" i="36"/>
  <c r="AK37" i="36"/>
  <c r="AL37" i="36"/>
  <c r="AM37" i="36"/>
  <c r="AN37" i="36"/>
  <c r="AO37" i="36"/>
  <c r="AP37" i="36"/>
  <c r="AQ37" i="36"/>
  <c r="AR37" i="36"/>
  <c r="AS37" i="36"/>
  <c r="AT37" i="36"/>
  <c r="AU37" i="36"/>
  <c r="AV37" i="36"/>
  <c r="AW37" i="36"/>
  <c r="AX37" i="36"/>
  <c r="AY37" i="36"/>
  <c r="AZ37" i="36"/>
  <c r="BA37" i="36"/>
  <c r="BB37" i="36"/>
  <c r="BC37" i="36"/>
  <c r="BD37" i="36"/>
  <c r="BE37" i="36"/>
  <c r="BF37" i="36"/>
  <c r="BG37" i="36"/>
  <c r="BH37" i="36"/>
  <c r="BI37" i="36"/>
  <c r="BJ37" i="36"/>
  <c r="BK37" i="36"/>
  <c r="BL37" i="36"/>
  <c r="BM37" i="36"/>
  <c r="BN37" i="36"/>
  <c r="BO37" i="36"/>
  <c r="BP37" i="36"/>
  <c r="AE38" i="36"/>
  <c r="AF38" i="36"/>
  <c r="AG38" i="36"/>
  <c r="AH38" i="36"/>
  <c r="AI38" i="36"/>
  <c r="AJ38" i="36"/>
  <c r="AK38" i="36"/>
  <c r="AL38" i="36"/>
  <c r="AM38" i="36"/>
  <c r="AN38" i="36"/>
  <c r="AO38" i="36"/>
  <c r="AP38" i="36"/>
  <c r="AQ38" i="36"/>
  <c r="AR38" i="36"/>
  <c r="AS38" i="36"/>
  <c r="AT38" i="36"/>
  <c r="AU38" i="36"/>
  <c r="AV38" i="36"/>
  <c r="AW38" i="36"/>
  <c r="AX38" i="36"/>
  <c r="AY38" i="36"/>
  <c r="AZ38" i="36"/>
  <c r="BA38" i="36"/>
  <c r="BB38" i="36"/>
  <c r="BC38" i="36"/>
  <c r="BD38" i="36"/>
  <c r="BE38" i="36"/>
  <c r="BF38" i="36"/>
  <c r="BG38" i="36"/>
  <c r="BH38" i="36"/>
  <c r="BI38" i="36"/>
  <c r="BJ38" i="36"/>
  <c r="BK38" i="36"/>
  <c r="BL38" i="36"/>
  <c r="BM38" i="36"/>
  <c r="BN38" i="36"/>
  <c r="BO38" i="36"/>
  <c r="BP38" i="36"/>
  <c r="AE39" i="36"/>
  <c r="AF39" i="36"/>
  <c r="AG39" i="36"/>
  <c r="AH39" i="36"/>
  <c r="AI39" i="36"/>
  <c r="AJ39" i="36"/>
  <c r="AK39" i="36"/>
  <c r="AL39" i="36"/>
  <c r="AM39" i="36"/>
  <c r="AN39" i="36"/>
  <c r="AO39" i="36"/>
  <c r="AP39" i="36"/>
  <c r="AQ39" i="36"/>
  <c r="AR39" i="36"/>
  <c r="AS39" i="36"/>
  <c r="AT39" i="36"/>
  <c r="AU39" i="36"/>
  <c r="AV39" i="36"/>
  <c r="AW39" i="36"/>
  <c r="AX39" i="36"/>
  <c r="AY39" i="36"/>
  <c r="AZ39" i="36"/>
  <c r="BA39" i="36"/>
  <c r="BB39" i="36"/>
  <c r="BC39" i="36"/>
  <c r="BD39" i="36"/>
  <c r="BE39" i="36"/>
  <c r="BF39" i="36"/>
  <c r="BG39" i="36"/>
  <c r="BH39" i="36"/>
  <c r="BI39" i="36"/>
  <c r="BJ39" i="36"/>
  <c r="BK39" i="36"/>
  <c r="BL39" i="36"/>
  <c r="BM39" i="36"/>
  <c r="BN39" i="36"/>
  <c r="BO39" i="36"/>
  <c r="BP39" i="36"/>
  <c r="AD25" i="36"/>
  <c r="AD26" i="36"/>
  <c r="AD27" i="36"/>
  <c r="AD28" i="36"/>
  <c r="AD29" i="36"/>
  <c r="AD30" i="36"/>
  <c r="AD31" i="36"/>
  <c r="AD32" i="36"/>
  <c r="AD33" i="36"/>
  <c r="AD34" i="36"/>
  <c r="AD35" i="36"/>
  <c r="AD36" i="36"/>
  <c r="AD37" i="36"/>
  <c r="AD38" i="36"/>
  <c r="AD39" i="36"/>
  <c r="AD24" i="36"/>
  <c r="A34" i="46" l="1"/>
  <c r="A35" i="46"/>
  <c r="A36" i="46"/>
  <c r="A37" i="46"/>
  <c r="AI49" i="57"/>
  <c r="AI47" i="57"/>
  <c r="AJ47" i="57"/>
  <c r="C37" i="46"/>
  <c r="D28" i="50"/>
  <c r="E28" i="50"/>
  <c r="F28" i="50"/>
  <c r="G28" i="50"/>
  <c r="H28" i="50"/>
  <c r="I28" i="50"/>
  <c r="J28" i="50"/>
  <c r="K28" i="50"/>
  <c r="L28" i="50"/>
  <c r="M28" i="50"/>
  <c r="N28" i="50"/>
  <c r="O28" i="50"/>
  <c r="P28" i="50"/>
  <c r="Q28" i="50"/>
  <c r="R28" i="50"/>
  <c r="S28" i="50"/>
  <c r="T28" i="50"/>
  <c r="U28" i="50"/>
  <c r="V28" i="50"/>
  <c r="W28" i="50"/>
  <c r="X28" i="50"/>
  <c r="C28" i="50"/>
  <c r="D23" i="50"/>
  <c r="E23" i="50"/>
  <c r="F23" i="50"/>
  <c r="G23" i="50"/>
  <c r="H23" i="50"/>
  <c r="I23" i="50"/>
  <c r="J23" i="50"/>
  <c r="K23" i="50"/>
  <c r="L23" i="50"/>
  <c r="M23" i="50"/>
  <c r="N23" i="50"/>
  <c r="O23" i="50"/>
  <c r="P23" i="50"/>
  <c r="Q23" i="50"/>
  <c r="R23" i="50"/>
  <c r="S23" i="50"/>
  <c r="T23" i="50"/>
  <c r="U23" i="50"/>
  <c r="V23" i="50"/>
  <c r="W23" i="50"/>
  <c r="X23" i="50"/>
  <c r="C23" i="50"/>
  <c r="D9" i="50"/>
  <c r="E9" i="50"/>
  <c r="F9" i="50"/>
  <c r="G9" i="50"/>
  <c r="H9" i="50"/>
  <c r="I9" i="50"/>
  <c r="J9" i="50"/>
  <c r="K9" i="50"/>
  <c r="L9" i="50"/>
  <c r="M9" i="50"/>
  <c r="N9" i="50"/>
  <c r="O9" i="50"/>
  <c r="P9" i="50"/>
  <c r="Q9" i="50"/>
  <c r="R9" i="50"/>
  <c r="S9" i="50"/>
  <c r="T9" i="50"/>
  <c r="U9" i="50"/>
  <c r="V9" i="50"/>
  <c r="W9" i="50"/>
  <c r="X9" i="50"/>
  <c r="C9" i="50"/>
  <c r="AF47" i="57"/>
  <c r="AG47" i="57" s="1"/>
  <c r="AE47" i="57"/>
  <c r="AD10" i="36"/>
  <c r="AE10" i="36" s="1"/>
  <c r="AF10" i="36" s="1"/>
  <c r="AG10" i="36" s="1"/>
  <c r="AH10" i="36" s="1"/>
  <c r="AI10" i="36" s="1"/>
  <c r="AJ10" i="36" s="1"/>
  <c r="AK10" i="36" s="1"/>
  <c r="AL10" i="36" s="1"/>
  <c r="AM10" i="36" s="1"/>
  <c r="AN10" i="36" s="1"/>
  <c r="AO10" i="36" s="1"/>
  <c r="AP10" i="36" s="1"/>
  <c r="AQ10" i="36" s="1"/>
  <c r="AR10" i="36" s="1"/>
  <c r="AS10" i="36" s="1"/>
  <c r="AT10" i="36" s="1"/>
  <c r="AU10" i="36" s="1"/>
  <c r="AV10" i="36" s="1"/>
  <c r="AW10" i="36" s="1"/>
  <c r="AX10" i="36" s="1"/>
  <c r="AY10" i="36" s="1"/>
  <c r="AZ10" i="36" s="1"/>
  <c r="BA10" i="36" s="1"/>
  <c r="BB10" i="36" s="1"/>
  <c r="BC10" i="36" s="1"/>
  <c r="BD10" i="36" s="1"/>
  <c r="BE10" i="36" s="1"/>
  <c r="BF10" i="36" s="1"/>
  <c r="BG10" i="36" s="1"/>
  <c r="BH10" i="36" s="1"/>
  <c r="BI10" i="36" s="1"/>
  <c r="BJ10" i="36" s="1"/>
  <c r="BK10" i="36" s="1"/>
  <c r="BL10" i="36" s="1"/>
  <c r="BM10" i="36" s="1"/>
  <c r="BN10" i="36" s="1"/>
  <c r="BO10" i="36" s="1"/>
  <c r="BP10" i="36" s="1"/>
  <c r="D16" i="57"/>
  <c r="E16" i="57"/>
  <c r="F16" i="57"/>
  <c r="G16" i="57"/>
  <c r="H16" i="57"/>
  <c r="I16" i="57"/>
  <c r="J16" i="57"/>
  <c r="K16" i="57"/>
  <c r="L16" i="57"/>
  <c r="M16" i="57"/>
  <c r="N16" i="57"/>
  <c r="O16" i="57"/>
  <c r="O15" i="57" s="1"/>
  <c r="P16" i="57"/>
  <c r="Q16" i="57"/>
  <c r="R16" i="57"/>
  <c r="S16" i="57"/>
  <c r="T16" i="57"/>
  <c r="U16" i="57"/>
  <c r="V16" i="57"/>
  <c r="W16" i="57"/>
  <c r="X16" i="57"/>
  <c r="Y16" i="57"/>
  <c r="Z16" i="57"/>
  <c r="AA16" i="57"/>
  <c r="AB16" i="57"/>
  <c r="AC16" i="57"/>
  <c r="AD16" i="57"/>
  <c r="C16" i="57"/>
  <c r="C15" i="57" s="1"/>
  <c r="D15" i="57"/>
  <c r="E15" i="57"/>
  <c r="F15" i="57"/>
  <c r="G15" i="57"/>
  <c r="H15" i="57"/>
  <c r="I15" i="57"/>
  <c r="J15" i="57"/>
  <c r="K15" i="57"/>
  <c r="L15" i="57"/>
  <c r="M15" i="57"/>
  <c r="N15" i="57"/>
  <c r="P15" i="57"/>
  <c r="Q15" i="57"/>
  <c r="R15" i="57"/>
  <c r="S15" i="57"/>
  <c r="T15" i="57"/>
  <c r="U15" i="57"/>
  <c r="V15" i="57"/>
  <c r="W15" i="57"/>
  <c r="X15" i="57"/>
  <c r="Y15" i="57"/>
  <c r="Z15" i="57"/>
  <c r="AA15" i="57"/>
  <c r="AB15" i="57"/>
  <c r="AC15" i="57"/>
  <c r="AD15" i="57"/>
  <c r="D53" i="57"/>
  <c r="E53" i="57"/>
  <c r="F53" i="57"/>
  <c r="G53" i="57"/>
  <c r="H53" i="57"/>
  <c r="I53" i="57"/>
  <c r="J53" i="57"/>
  <c r="K53" i="57"/>
  <c r="L53" i="57"/>
  <c r="M53" i="57"/>
  <c r="N53" i="57"/>
  <c r="O53" i="57"/>
  <c r="P53" i="57"/>
  <c r="Q53" i="57"/>
  <c r="R53" i="57"/>
  <c r="S53" i="57"/>
  <c r="T53" i="57"/>
  <c r="U53" i="57"/>
  <c r="V53" i="57"/>
  <c r="W53" i="57"/>
  <c r="X53" i="57"/>
  <c r="Y53" i="57"/>
  <c r="Z53" i="57"/>
  <c r="AA53" i="57"/>
  <c r="AB53" i="57"/>
  <c r="AC53" i="57"/>
  <c r="AD53" i="57"/>
  <c r="C53" i="57"/>
  <c r="AJ54" i="57"/>
  <c r="AI54" i="57"/>
  <c r="B54" i="57"/>
  <c r="A54" i="57"/>
  <c r="AJ55" i="57"/>
  <c r="AI55" i="57"/>
  <c r="AJ14" i="57"/>
  <c r="AI14" i="57"/>
  <c r="J27" i="46"/>
  <c r="C28" i="46"/>
  <c r="C25" i="46" s="1"/>
  <c r="C27" i="46"/>
  <c r="AJ44" i="57"/>
  <c r="AI44" i="57"/>
  <c r="AG4" i="57"/>
  <c r="AF4" i="57"/>
  <c r="AE4" i="57"/>
  <c r="E80" i="57"/>
  <c r="F80" i="57"/>
  <c r="G80" i="57"/>
  <c r="H80" i="57"/>
  <c r="I80" i="57"/>
  <c r="J80" i="57"/>
  <c r="K80" i="57"/>
  <c r="L80" i="57"/>
  <c r="M80" i="57"/>
  <c r="N80" i="57"/>
  <c r="O80" i="57"/>
  <c r="P80" i="57"/>
  <c r="Q80" i="57"/>
  <c r="R80" i="57"/>
  <c r="S80" i="57"/>
  <c r="T80" i="57"/>
  <c r="U80" i="57"/>
  <c r="V80" i="57"/>
  <c r="W80" i="57"/>
  <c r="X80" i="57"/>
  <c r="Y80" i="57"/>
  <c r="Z80" i="57"/>
  <c r="AA80" i="57"/>
  <c r="AB80" i="57"/>
  <c r="AC80" i="57"/>
  <c r="AD80" i="57"/>
  <c r="D80" i="57"/>
  <c r="E61" i="57"/>
  <c r="F61" i="57"/>
  <c r="G61" i="57"/>
  <c r="H61" i="57"/>
  <c r="I61" i="57"/>
  <c r="J61" i="57"/>
  <c r="K61" i="57"/>
  <c r="L61" i="57"/>
  <c r="M61" i="57"/>
  <c r="N61" i="57"/>
  <c r="O61" i="57"/>
  <c r="P61" i="57"/>
  <c r="Q61" i="57"/>
  <c r="R61" i="57"/>
  <c r="S61" i="57"/>
  <c r="T61" i="57"/>
  <c r="U61" i="57"/>
  <c r="V61" i="57"/>
  <c r="W61" i="57"/>
  <c r="X61" i="57"/>
  <c r="Y61" i="57"/>
  <c r="Z61" i="57"/>
  <c r="AA61" i="57"/>
  <c r="AB61" i="57"/>
  <c r="AC61" i="57"/>
  <c r="AD61" i="57"/>
  <c r="E62" i="57"/>
  <c r="F62" i="57"/>
  <c r="G62" i="57"/>
  <c r="H62" i="57"/>
  <c r="I62" i="57"/>
  <c r="J62" i="57"/>
  <c r="K62" i="57"/>
  <c r="L62" i="57"/>
  <c r="M62" i="57"/>
  <c r="N62" i="57"/>
  <c r="O62" i="57"/>
  <c r="P62" i="57"/>
  <c r="Q62" i="57"/>
  <c r="R62" i="57"/>
  <c r="S62" i="57"/>
  <c r="T62" i="57"/>
  <c r="U62" i="57"/>
  <c r="V62" i="57"/>
  <c r="W62" i="57"/>
  <c r="X62" i="57"/>
  <c r="Y62" i="57"/>
  <c r="Z62" i="57"/>
  <c r="AA62" i="57"/>
  <c r="AB62" i="57"/>
  <c r="AC62" i="57"/>
  <c r="AD62" i="57"/>
  <c r="E63" i="57"/>
  <c r="F63" i="57"/>
  <c r="G63" i="57"/>
  <c r="H63" i="57"/>
  <c r="I63" i="57"/>
  <c r="J63" i="57"/>
  <c r="K63" i="57"/>
  <c r="L63" i="57"/>
  <c r="M63" i="57"/>
  <c r="N63" i="57"/>
  <c r="O63" i="57"/>
  <c r="P63" i="57"/>
  <c r="Q63" i="57"/>
  <c r="R63" i="57"/>
  <c r="S63" i="57"/>
  <c r="T63" i="57"/>
  <c r="U63" i="57"/>
  <c r="V63" i="57"/>
  <c r="W63" i="57"/>
  <c r="X63" i="57"/>
  <c r="Y63" i="57"/>
  <c r="Z63" i="57"/>
  <c r="AA63" i="57"/>
  <c r="AB63" i="57"/>
  <c r="AC63" i="57"/>
  <c r="AD63" i="57"/>
  <c r="E64" i="57"/>
  <c r="F64" i="57"/>
  <c r="G64" i="57"/>
  <c r="H64" i="57"/>
  <c r="I64" i="57"/>
  <c r="J64" i="57"/>
  <c r="K64" i="57"/>
  <c r="L64" i="57"/>
  <c r="M64" i="57"/>
  <c r="N64" i="57"/>
  <c r="O64" i="57"/>
  <c r="P64" i="57"/>
  <c r="Q64" i="57"/>
  <c r="R64" i="57"/>
  <c r="S64" i="57"/>
  <c r="T64" i="57"/>
  <c r="U64" i="57"/>
  <c r="V64" i="57"/>
  <c r="W64" i="57"/>
  <c r="X64" i="57"/>
  <c r="Y64" i="57"/>
  <c r="Z64" i="57"/>
  <c r="AA64" i="57"/>
  <c r="AB64" i="57"/>
  <c r="AC64" i="57"/>
  <c r="AD64" i="57"/>
  <c r="E65" i="57"/>
  <c r="F65" i="57"/>
  <c r="G65" i="57"/>
  <c r="H65" i="57"/>
  <c r="I65" i="57"/>
  <c r="J65" i="57"/>
  <c r="K65" i="57"/>
  <c r="L65" i="57"/>
  <c r="M65" i="57"/>
  <c r="N65" i="57"/>
  <c r="O65" i="57"/>
  <c r="P65" i="57"/>
  <c r="Q65" i="57"/>
  <c r="R65" i="57"/>
  <c r="S65" i="57"/>
  <c r="T65" i="57"/>
  <c r="U65" i="57"/>
  <c r="V65" i="57"/>
  <c r="W65" i="57"/>
  <c r="X65" i="57"/>
  <c r="Y65" i="57"/>
  <c r="Z65" i="57"/>
  <c r="AA65" i="57"/>
  <c r="AB65" i="57"/>
  <c r="AC65" i="57"/>
  <c r="AD65" i="57"/>
  <c r="E66" i="57"/>
  <c r="F66" i="57"/>
  <c r="G66" i="57"/>
  <c r="H66" i="57"/>
  <c r="I66" i="57"/>
  <c r="J66" i="57"/>
  <c r="K66" i="57"/>
  <c r="L66" i="57"/>
  <c r="M66" i="57"/>
  <c r="N66" i="57"/>
  <c r="O66" i="57"/>
  <c r="P66" i="57"/>
  <c r="Q66" i="57"/>
  <c r="R66" i="57"/>
  <c r="S66" i="57"/>
  <c r="T66" i="57"/>
  <c r="U66" i="57"/>
  <c r="V66" i="57"/>
  <c r="W66" i="57"/>
  <c r="X66" i="57"/>
  <c r="Y66" i="57"/>
  <c r="Z66" i="57"/>
  <c r="AA66" i="57"/>
  <c r="AB66" i="57"/>
  <c r="AC66" i="57"/>
  <c r="AD66" i="57"/>
  <c r="E67" i="57"/>
  <c r="F67" i="57"/>
  <c r="G67" i="57"/>
  <c r="H67" i="57"/>
  <c r="I67" i="57"/>
  <c r="J67" i="57"/>
  <c r="K67" i="57"/>
  <c r="L67" i="57"/>
  <c r="M67" i="57"/>
  <c r="N67" i="57"/>
  <c r="O67" i="57"/>
  <c r="P67" i="57"/>
  <c r="Q67" i="57"/>
  <c r="R67" i="57"/>
  <c r="S67" i="57"/>
  <c r="T67" i="57"/>
  <c r="U67" i="57"/>
  <c r="V67" i="57"/>
  <c r="W67" i="57"/>
  <c r="X67" i="57"/>
  <c r="Y67" i="57"/>
  <c r="Z67" i="57"/>
  <c r="AA67" i="57"/>
  <c r="AB67" i="57"/>
  <c r="AC67" i="57"/>
  <c r="AD67" i="57"/>
  <c r="E68" i="57"/>
  <c r="F68" i="57"/>
  <c r="G68" i="57"/>
  <c r="H68" i="57"/>
  <c r="I68" i="57"/>
  <c r="J68" i="57"/>
  <c r="K68" i="57"/>
  <c r="L68" i="57"/>
  <c r="M68" i="57"/>
  <c r="N68" i="57"/>
  <c r="O68" i="57"/>
  <c r="P68" i="57"/>
  <c r="Q68" i="57"/>
  <c r="R68" i="57"/>
  <c r="S68" i="57"/>
  <c r="T68" i="57"/>
  <c r="U68" i="57"/>
  <c r="V68" i="57"/>
  <c r="W68" i="57"/>
  <c r="X68" i="57"/>
  <c r="Y68" i="57"/>
  <c r="Z68" i="57"/>
  <c r="AA68" i="57"/>
  <c r="AB68" i="57"/>
  <c r="AC68" i="57"/>
  <c r="AD68" i="57"/>
  <c r="E69" i="57"/>
  <c r="F69" i="57"/>
  <c r="G69" i="57"/>
  <c r="H69" i="57"/>
  <c r="I69" i="57"/>
  <c r="J69" i="57"/>
  <c r="K69" i="57"/>
  <c r="L69" i="57"/>
  <c r="M69" i="57"/>
  <c r="N69" i="57"/>
  <c r="O69" i="57"/>
  <c r="P69" i="57"/>
  <c r="Q69" i="57"/>
  <c r="R69" i="57"/>
  <c r="S69" i="57"/>
  <c r="T69" i="57"/>
  <c r="U69" i="57"/>
  <c r="V69" i="57"/>
  <c r="W69" i="57"/>
  <c r="X69" i="57"/>
  <c r="Y69" i="57"/>
  <c r="Z69" i="57"/>
  <c r="AA69" i="57"/>
  <c r="AB69" i="57"/>
  <c r="AC69" i="57"/>
  <c r="AD69" i="57"/>
  <c r="E70" i="57"/>
  <c r="F70" i="57"/>
  <c r="G70" i="57"/>
  <c r="H70" i="57"/>
  <c r="I70" i="57"/>
  <c r="J70" i="57"/>
  <c r="K70" i="57"/>
  <c r="L70" i="57"/>
  <c r="M70" i="57"/>
  <c r="N70" i="57"/>
  <c r="O70" i="57"/>
  <c r="P70" i="57"/>
  <c r="Q70" i="57"/>
  <c r="R70" i="57"/>
  <c r="S70" i="57"/>
  <c r="T70" i="57"/>
  <c r="U70" i="57"/>
  <c r="V70" i="57"/>
  <c r="W70" i="57"/>
  <c r="X70" i="57"/>
  <c r="Y70" i="57"/>
  <c r="Z70" i="57"/>
  <c r="AA70" i="57"/>
  <c r="AB70" i="57"/>
  <c r="AC70" i="57"/>
  <c r="AD70" i="57"/>
  <c r="E71" i="57"/>
  <c r="F71" i="57"/>
  <c r="G71" i="57"/>
  <c r="H71" i="57"/>
  <c r="I71" i="57"/>
  <c r="J71" i="57"/>
  <c r="K71" i="57"/>
  <c r="L71" i="57"/>
  <c r="M71" i="57"/>
  <c r="N71" i="57"/>
  <c r="O71" i="57"/>
  <c r="P71" i="57"/>
  <c r="Q71" i="57"/>
  <c r="R71" i="57"/>
  <c r="S71" i="57"/>
  <c r="T71" i="57"/>
  <c r="U71" i="57"/>
  <c r="V71" i="57"/>
  <c r="W71" i="57"/>
  <c r="X71" i="57"/>
  <c r="Y71" i="57"/>
  <c r="Z71" i="57"/>
  <c r="AA71" i="57"/>
  <c r="AB71" i="57"/>
  <c r="AC71" i="57"/>
  <c r="AD71" i="57"/>
  <c r="E72" i="57"/>
  <c r="F72" i="57"/>
  <c r="G72" i="57"/>
  <c r="H72" i="57"/>
  <c r="I72" i="57"/>
  <c r="J72" i="57"/>
  <c r="K72" i="57"/>
  <c r="L72" i="57"/>
  <c r="M72" i="57"/>
  <c r="N72" i="57"/>
  <c r="O72" i="57"/>
  <c r="P72" i="57"/>
  <c r="Q72" i="57"/>
  <c r="R72" i="57"/>
  <c r="S72" i="57"/>
  <c r="T72" i="57"/>
  <c r="U72" i="57"/>
  <c r="V72" i="57"/>
  <c r="W72" i="57"/>
  <c r="X72" i="57"/>
  <c r="Y72" i="57"/>
  <c r="Z72" i="57"/>
  <c r="AA72" i="57"/>
  <c r="AB72" i="57"/>
  <c r="AC72" i="57"/>
  <c r="AD72" i="57"/>
  <c r="E73" i="57"/>
  <c r="F73" i="57"/>
  <c r="G73" i="57"/>
  <c r="H73" i="57"/>
  <c r="I73" i="57"/>
  <c r="J73" i="57"/>
  <c r="K73" i="57"/>
  <c r="L73" i="57"/>
  <c r="M73" i="57"/>
  <c r="N73" i="57"/>
  <c r="O73" i="57"/>
  <c r="P73" i="57"/>
  <c r="Q73" i="57"/>
  <c r="R73" i="57"/>
  <c r="S73" i="57"/>
  <c r="T73" i="57"/>
  <c r="U73" i="57"/>
  <c r="V73" i="57"/>
  <c r="W73" i="57"/>
  <c r="X73" i="57"/>
  <c r="Y73" i="57"/>
  <c r="Z73" i="57"/>
  <c r="AA73" i="57"/>
  <c r="AB73" i="57"/>
  <c r="AC73" i="57"/>
  <c r="AD73" i="57"/>
  <c r="E74" i="57"/>
  <c r="F74" i="57"/>
  <c r="G74" i="57"/>
  <c r="H74" i="57"/>
  <c r="I74" i="57"/>
  <c r="J74" i="57"/>
  <c r="K74" i="57"/>
  <c r="L74" i="57"/>
  <c r="M74" i="57"/>
  <c r="N74" i="57"/>
  <c r="O74" i="57"/>
  <c r="P74" i="57"/>
  <c r="Q74" i="57"/>
  <c r="R74" i="57"/>
  <c r="S74" i="57"/>
  <c r="T74" i="57"/>
  <c r="U74" i="57"/>
  <c r="V74" i="57"/>
  <c r="W74" i="57"/>
  <c r="X74" i="57"/>
  <c r="Y74" i="57"/>
  <c r="Z74" i="57"/>
  <c r="AA74" i="57"/>
  <c r="AB74" i="57"/>
  <c r="AC74" i="57"/>
  <c r="AD74" i="57"/>
  <c r="E75" i="57"/>
  <c r="F75" i="57"/>
  <c r="G75" i="57"/>
  <c r="H75" i="57"/>
  <c r="I75" i="57"/>
  <c r="J75" i="57"/>
  <c r="K75" i="57"/>
  <c r="L75" i="57"/>
  <c r="M75" i="57"/>
  <c r="N75" i="57"/>
  <c r="O75" i="57"/>
  <c r="P75" i="57"/>
  <c r="Q75" i="57"/>
  <c r="R75" i="57"/>
  <c r="S75" i="57"/>
  <c r="T75" i="57"/>
  <c r="U75" i="57"/>
  <c r="V75" i="57"/>
  <c r="W75" i="57"/>
  <c r="X75" i="57"/>
  <c r="Y75" i="57"/>
  <c r="Z75" i="57"/>
  <c r="AA75" i="57"/>
  <c r="AB75" i="57"/>
  <c r="AC75" i="57"/>
  <c r="AD75" i="57"/>
  <c r="E76" i="57"/>
  <c r="F76" i="57"/>
  <c r="G76" i="57"/>
  <c r="H76" i="57"/>
  <c r="I76" i="57"/>
  <c r="J76" i="57"/>
  <c r="K76" i="57"/>
  <c r="L76" i="57"/>
  <c r="M76" i="57"/>
  <c r="N76" i="57"/>
  <c r="O76" i="57"/>
  <c r="P76" i="57"/>
  <c r="Q76" i="57"/>
  <c r="R76" i="57"/>
  <c r="S76" i="57"/>
  <c r="T76" i="57"/>
  <c r="U76" i="57"/>
  <c r="V76" i="57"/>
  <c r="W76" i="57"/>
  <c r="X76" i="57"/>
  <c r="Y76" i="57"/>
  <c r="Z76" i="57"/>
  <c r="AA76" i="57"/>
  <c r="AB76" i="57"/>
  <c r="AC76" i="57"/>
  <c r="AD76" i="57"/>
  <c r="E77" i="57"/>
  <c r="F77" i="57"/>
  <c r="G77" i="57"/>
  <c r="H77" i="57"/>
  <c r="I77" i="57"/>
  <c r="J77" i="57"/>
  <c r="K77" i="57"/>
  <c r="L77" i="57"/>
  <c r="M77" i="57"/>
  <c r="N77" i="57"/>
  <c r="O77" i="57"/>
  <c r="P77" i="57"/>
  <c r="Q77" i="57"/>
  <c r="R77" i="57"/>
  <c r="S77" i="57"/>
  <c r="T77" i="57"/>
  <c r="U77" i="57"/>
  <c r="V77" i="57"/>
  <c r="W77" i="57"/>
  <c r="X77" i="57"/>
  <c r="Y77" i="57"/>
  <c r="Z77" i="57"/>
  <c r="AA77" i="57"/>
  <c r="AB77" i="57"/>
  <c r="AC77" i="57"/>
  <c r="AD77" i="57"/>
  <c r="E78" i="57"/>
  <c r="F78" i="57"/>
  <c r="G78" i="57"/>
  <c r="H78" i="57"/>
  <c r="I78" i="57"/>
  <c r="J78" i="57"/>
  <c r="K78" i="57"/>
  <c r="L78" i="57"/>
  <c r="M78" i="57"/>
  <c r="N78" i="57"/>
  <c r="O78" i="57"/>
  <c r="P78" i="57"/>
  <c r="Q78" i="57"/>
  <c r="R78" i="57"/>
  <c r="S78" i="57"/>
  <c r="T78" i="57"/>
  <c r="U78" i="57"/>
  <c r="V78" i="57"/>
  <c r="W78" i="57"/>
  <c r="X78" i="57"/>
  <c r="Y78" i="57"/>
  <c r="Z78" i="57"/>
  <c r="AA78" i="57"/>
  <c r="AB78" i="57"/>
  <c r="AC78" i="57"/>
  <c r="AD78" i="57"/>
  <c r="D62" i="57"/>
  <c r="D63" i="57"/>
  <c r="D64" i="57"/>
  <c r="D65" i="57"/>
  <c r="D66" i="57"/>
  <c r="D67" i="57"/>
  <c r="D68" i="57"/>
  <c r="D69" i="57"/>
  <c r="D70" i="57"/>
  <c r="D71" i="57"/>
  <c r="D72" i="57"/>
  <c r="D73" i="57"/>
  <c r="D74" i="57"/>
  <c r="D75" i="57"/>
  <c r="D76" i="57"/>
  <c r="D77" i="57"/>
  <c r="D78" i="57"/>
  <c r="D61" i="57"/>
  <c r="AD83" i="36"/>
  <c r="AE83" i="36"/>
  <c r="AF83" i="36"/>
  <c r="AG83" i="36"/>
  <c r="AH83" i="36"/>
  <c r="AI83" i="36"/>
  <c r="AD42" i="36"/>
  <c r="AE42" i="36"/>
  <c r="AF42" i="36" s="1"/>
  <c r="AG42" i="36" s="1"/>
  <c r="AH42" i="36" s="1"/>
  <c r="AI42" i="36" s="1"/>
  <c r="AD16" i="36"/>
  <c r="AE16" i="36"/>
  <c r="AF16" i="36" s="1"/>
  <c r="AG16" i="36" s="1"/>
  <c r="AH16" i="36"/>
  <c r="AI16" i="36"/>
  <c r="AJ34" i="57"/>
  <c r="AI34" i="57"/>
  <c r="AJ43" i="57"/>
  <c r="AJ45" i="57"/>
  <c r="AI50" i="57"/>
  <c r="AJ57" i="57"/>
  <c r="AJ58" i="57"/>
  <c r="AI58" i="57"/>
  <c r="A42" i="57"/>
  <c r="A62" i="57" s="1"/>
  <c r="A43" i="57"/>
  <c r="A63" i="57" s="1"/>
  <c r="A44" i="57"/>
  <c r="A64" i="57" s="1"/>
  <c r="A45" i="57"/>
  <c r="A65" i="57" s="1"/>
  <c r="A46" i="57"/>
  <c r="A66" i="57" s="1"/>
  <c r="A47" i="57"/>
  <c r="A67" i="57" s="1"/>
  <c r="A48" i="57"/>
  <c r="A68" i="57" s="1"/>
  <c r="A49" i="57"/>
  <c r="A69" i="57" s="1"/>
  <c r="A51" i="57"/>
  <c r="A71" i="57" s="1"/>
  <c r="A52" i="57"/>
  <c r="A72" i="57" s="1"/>
  <c r="A55" i="57"/>
  <c r="A73" i="57" s="1"/>
  <c r="A56" i="57"/>
  <c r="A74" i="57" s="1"/>
  <c r="A57" i="57"/>
  <c r="A75" i="57" s="1"/>
  <c r="A41" i="57"/>
  <c r="A61" i="57" s="1"/>
  <c r="AJ25" i="57"/>
  <c r="AI25" i="57"/>
  <c r="U6" i="50"/>
  <c r="V6" i="50"/>
  <c r="W6" i="50"/>
  <c r="X6" i="50"/>
  <c r="U7" i="50"/>
  <c r="V7" i="50"/>
  <c r="W7" i="50"/>
  <c r="X7" i="50"/>
  <c r="U11" i="50"/>
  <c r="V11" i="50"/>
  <c r="W11" i="50"/>
  <c r="X11" i="50"/>
  <c r="U12" i="50"/>
  <c r="V12" i="50"/>
  <c r="W12" i="50"/>
  <c r="X12" i="50"/>
  <c r="U18" i="50"/>
  <c r="U16" i="50" s="1"/>
  <c r="V18" i="50"/>
  <c r="V16" i="50" s="1"/>
  <c r="W18" i="50"/>
  <c r="W16" i="50" s="1"/>
  <c r="X18" i="50"/>
  <c r="X16" i="50" s="1"/>
  <c r="U19" i="50"/>
  <c r="V19" i="50"/>
  <c r="U25" i="50"/>
  <c r="V25" i="50"/>
  <c r="W25" i="50"/>
  <c r="X25" i="50"/>
  <c r="U26" i="50"/>
  <c r="V26" i="50"/>
  <c r="W26" i="50"/>
  <c r="X26" i="50"/>
  <c r="U30" i="50"/>
  <c r="V30" i="50"/>
  <c r="W30" i="50"/>
  <c r="X30" i="50"/>
  <c r="U31" i="50"/>
  <c r="V31" i="50"/>
  <c r="W31" i="50"/>
  <c r="X31" i="50"/>
  <c r="U34" i="50"/>
  <c r="V34" i="50"/>
  <c r="W34" i="50"/>
  <c r="X34" i="50"/>
  <c r="U35" i="50"/>
  <c r="V35" i="50"/>
  <c r="W35" i="50"/>
  <c r="X35" i="50"/>
  <c r="U42" i="50"/>
  <c r="V42" i="50"/>
  <c r="W42" i="50"/>
  <c r="X42" i="50"/>
  <c r="AJ46" i="57"/>
  <c r="AI46" i="57"/>
  <c r="AD4" i="50"/>
  <c r="D12" i="57"/>
  <c r="E12" i="57"/>
  <c r="F12" i="57"/>
  <c r="G12" i="57"/>
  <c r="H12" i="57"/>
  <c r="I12" i="57"/>
  <c r="J12" i="57"/>
  <c r="K12" i="57"/>
  <c r="L12" i="57"/>
  <c r="M12" i="57"/>
  <c r="N12" i="57"/>
  <c r="O12" i="57"/>
  <c r="P12" i="57"/>
  <c r="Q12" i="57"/>
  <c r="R12" i="57"/>
  <c r="S12" i="57"/>
  <c r="T12" i="57"/>
  <c r="U12" i="57"/>
  <c r="V12" i="57"/>
  <c r="W12" i="57"/>
  <c r="X12" i="57"/>
  <c r="Y12" i="57"/>
  <c r="Z12" i="57"/>
  <c r="AA12" i="57"/>
  <c r="AB12" i="57"/>
  <c r="AC12" i="57"/>
  <c r="AD12" i="57"/>
  <c r="C12" i="57"/>
  <c r="D11" i="57"/>
  <c r="E11" i="57"/>
  <c r="F11" i="57"/>
  <c r="G11" i="57"/>
  <c r="H11" i="57"/>
  <c r="I11" i="57"/>
  <c r="J11" i="57"/>
  <c r="K11" i="57"/>
  <c r="L11" i="57"/>
  <c r="M11" i="57"/>
  <c r="N11" i="57"/>
  <c r="O11" i="57"/>
  <c r="P11" i="57"/>
  <c r="Q11" i="57"/>
  <c r="R11" i="57"/>
  <c r="S11" i="57"/>
  <c r="T11" i="57"/>
  <c r="U11" i="57"/>
  <c r="V11" i="57"/>
  <c r="W11" i="57"/>
  <c r="X11" i="57"/>
  <c r="Y11" i="57"/>
  <c r="Z11" i="57"/>
  <c r="AA11" i="57"/>
  <c r="AB11" i="57"/>
  <c r="AC11" i="57"/>
  <c r="AD11" i="57"/>
  <c r="AE11" i="57" s="1"/>
  <c r="AF11" i="57" s="1"/>
  <c r="AG11" i="57" s="1"/>
  <c r="C11" i="57"/>
  <c r="D10" i="57"/>
  <c r="E10" i="57"/>
  <c r="F10" i="57"/>
  <c r="G10" i="57"/>
  <c r="H10" i="57"/>
  <c r="I10" i="57"/>
  <c r="J10" i="57"/>
  <c r="K10" i="57"/>
  <c r="L10" i="57"/>
  <c r="M10" i="57"/>
  <c r="N10" i="57"/>
  <c r="O10" i="57"/>
  <c r="P10" i="57"/>
  <c r="Q10" i="57"/>
  <c r="R10" i="57"/>
  <c r="S10" i="57"/>
  <c r="T10" i="57"/>
  <c r="U10" i="57"/>
  <c r="V10" i="57"/>
  <c r="W10" i="57"/>
  <c r="X10" i="57"/>
  <c r="Y10" i="57"/>
  <c r="Z10" i="57"/>
  <c r="AA10" i="57"/>
  <c r="AB10" i="57"/>
  <c r="AC10" i="57"/>
  <c r="AD10" i="57"/>
  <c r="AE10" i="57" s="1"/>
  <c r="C10" i="57"/>
  <c r="D9" i="57"/>
  <c r="E9" i="57"/>
  <c r="F9" i="57"/>
  <c r="G9" i="57"/>
  <c r="H9" i="57"/>
  <c r="I9" i="57"/>
  <c r="J9" i="57"/>
  <c r="K9" i="57"/>
  <c r="L9" i="57"/>
  <c r="M9" i="57"/>
  <c r="N9" i="57"/>
  <c r="O9" i="57"/>
  <c r="P9" i="57"/>
  <c r="Q9" i="57"/>
  <c r="R9" i="57"/>
  <c r="S9" i="57"/>
  <c r="T9" i="57"/>
  <c r="U9" i="57"/>
  <c r="V9" i="57"/>
  <c r="W9" i="57"/>
  <c r="X9" i="57"/>
  <c r="Y9" i="57"/>
  <c r="Z9" i="57"/>
  <c r="AA9" i="57"/>
  <c r="AB9" i="57"/>
  <c r="AC9" i="57"/>
  <c r="AD9" i="57"/>
  <c r="AE9" i="57" s="1"/>
  <c r="AF9" i="57" s="1"/>
  <c r="AG9" i="57" s="1"/>
  <c r="C9" i="57"/>
  <c r="A21" i="57"/>
  <c r="B21" i="57"/>
  <c r="C21" i="57"/>
  <c r="C8" i="57" s="1"/>
  <c r="D21" i="57"/>
  <c r="D22" i="57" s="1"/>
  <c r="D7" i="57" s="1"/>
  <c r="E21" i="57"/>
  <c r="E8" i="57" s="1"/>
  <c r="F21" i="57"/>
  <c r="F8" i="57" s="1"/>
  <c r="G21" i="57"/>
  <c r="G8" i="57" s="1"/>
  <c r="H21" i="57"/>
  <c r="H22" i="57" s="1"/>
  <c r="H7" i="57" s="1"/>
  <c r="I21" i="57"/>
  <c r="I8" i="57" s="1"/>
  <c r="J21" i="57"/>
  <c r="J8" i="57" s="1"/>
  <c r="K21" i="57"/>
  <c r="K8" i="57" s="1"/>
  <c r="L21" i="57"/>
  <c r="L22" i="57" s="1"/>
  <c r="L7" i="57" s="1"/>
  <c r="M21" i="57"/>
  <c r="M8" i="57" s="1"/>
  <c r="N21" i="57"/>
  <c r="N8" i="57" s="1"/>
  <c r="O21" i="57"/>
  <c r="O8" i="57" s="1"/>
  <c r="P21" i="57"/>
  <c r="P22" i="57" s="1"/>
  <c r="P7" i="57" s="1"/>
  <c r="Q21" i="57"/>
  <c r="Q8" i="57" s="1"/>
  <c r="R21" i="57"/>
  <c r="R8" i="57" s="1"/>
  <c r="S21" i="57"/>
  <c r="S8" i="57" s="1"/>
  <c r="T21" i="57"/>
  <c r="T22" i="57" s="1"/>
  <c r="T7" i="57" s="1"/>
  <c r="U21" i="57"/>
  <c r="U8" i="57" s="1"/>
  <c r="V21" i="57"/>
  <c r="V8" i="57" s="1"/>
  <c r="W21" i="57"/>
  <c r="W8" i="57" s="1"/>
  <c r="X21" i="57"/>
  <c r="X22" i="57" s="1"/>
  <c r="X7" i="57" s="1"/>
  <c r="Y21" i="57"/>
  <c r="Y8" i="57" s="1"/>
  <c r="Z21" i="57"/>
  <c r="Z8" i="57" s="1"/>
  <c r="AA21" i="57"/>
  <c r="AA8" i="57" s="1"/>
  <c r="AB21" i="57"/>
  <c r="AB22" i="57" s="1"/>
  <c r="AB7" i="57" s="1"/>
  <c r="AC21" i="57"/>
  <c r="AC8" i="57" s="1"/>
  <c r="AD21" i="57"/>
  <c r="AD8" i="57" s="1"/>
  <c r="AE8" i="57" s="1"/>
  <c r="AF8" i="57" s="1"/>
  <c r="AG8" i="57" s="1"/>
  <c r="G22" i="57"/>
  <c r="G7" i="57" s="1"/>
  <c r="G5" i="57"/>
  <c r="K5" i="57"/>
  <c r="O5" i="57"/>
  <c r="S5" i="57"/>
  <c r="W5" i="57"/>
  <c r="AA5" i="57"/>
  <c r="C5" i="57"/>
  <c r="B20" i="57"/>
  <c r="A20" i="57"/>
  <c r="Y4" i="57"/>
  <c r="Z4" i="57"/>
  <c r="AA4" i="57"/>
  <c r="AB4" i="57"/>
  <c r="AC4" i="57"/>
  <c r="AD4" i="57"/>
  <c r="B36" i="57"/>
  <c r="A36" i="57"/>
  <c r="B35" i="57"/>
  <c r="A35" i="57"/>
  <c r="B33" i="57"/>
  <c r="A33" i="57"/>
  <c r="B31" i="57"/>
  <c r="B32" i="57"/>
  <c r="A31" i="57"/>
  <c r="A32" i="57"/>
  <c r="B19" i="57"/>
  <c r="A19" i="57"/>
  <c r="A13" i="57"/>
  <c r="B13" i="57"/>
  <c r="D5" i="57"/>
  <c r="E5" i="57"/>
  <c r="F5" i="57"/>
  <c r="H5" i="57"/>
  <c r="I5" i="57"/>
  <c r="J5" i="57"/>
  <c r="L5" i="57"/>
  <c r="M5" i="57"/>
  <c r="N5" i="57"/>
  <c r="P5" i="57"/>
  <c r="Q5" i="57"/>
  <c r="R5" i="57"/>
  <c r="T5" i="57"/>
  <c r="U5" i="57"/>
  <c r="V5" i="57"/>
  <c r="X5" i="57"/>
  <c r="Y5" i="57"/>
  <c r="Z5" i="57"/>
  <c r="AB5" i="57"/>
  <c r="AC5" i="57"/>
  <c r="AD5" i="57"/>
  <c r="AE5" i="57" s="1"/>
  <c r="AF5" i="57" s="1"/>
  <c r="AG5" i="57" s="1"/>
  <c r="B17" i="57"/>
  <c r="C6" i="57"/>
  <c r="D6" i="57"/>
  <c r="E6" i="57"/>
  <c r="F6" i="57"/>
  <c r="G6" i="57"/>
  <c r="H6" i="57"/>
  <c r="I6" i="57"/>
  <c r="J6" i="57"/>
  <c r="K6" i="57"/>
  <c r="L6" i="57"/>
  <c r="M6" i="57"/>
  <c r="N6" i="57"/>
  <c r="O6" i="57"/>
  <c r="P6" i="57"/>
  <c r="Q6" i="57"/>
  <c r="R6" i="57"/>
  <c r="S6" i="57"/>
  <c r="T6" i="57"/>
  <c r="U6" i="57"/>
  <c r="V6" i="57"/>
  <c r="W6" i="57"/>
  <c r="X6" i="57"/>
  <c r="Y6" i="57"/>
  <c r="Z6" i="57"/>
  <c r="AA6" i="57"/>
  <c r="AB6" i="57"/>
  <c r="AC6" i="57"/>
  <c r="B18" i="57"/>
  <c r="B22" i="57"/>
  <c r="B23" i="57"/>
  <c r="B24" i="57"/>
  <c r="B25" i="57"/>
  <c r="B26" i="57"/>
  <c r="B27" i="57"/>
  <c r="B28" i="57"/>
  <c r="B29" i="57"/>
  <c r="B30" i="57"/>
  <c r="A30" i="57"/>
  <c r="A29" i="57"/>
  <c r="A28" i="57"/>
  <c r="A27" i="57"/>
  <c r="A26" i="57"/>
  <c r="A25" i="57"/>
  <c r="A24" i="57"/>
  <c r="A23" i="57"/>
  <c r="A22" i="57"/>
  <c r="A18" i="57"/>
  <c r="A17" i="57"/>
  <c r="A14" i="57"/>
  <c r="A80" i="57" s="1"/>
  <c r="B5" i="57"/>
  <c r="B6" i="57"/>
  <c r="B7" i="57"/>
  <c r="B8" i="57"/>
  <c r="B9" i="57"/>
  <c r="B10" i="57"/>
  <c r="B11" i="57"/>
  <c r="B12" i="57"/>
  <c r="A12" i="57"/>
  <c r="A11" i="57"/>
  <c r="A10" i="57"/>
  <c r="A9" i="57"/>
  <c r="A8" i="57"/>
  <c r="A7" i="57"/>
  <c r="A6" i="57"/>
  <c r="A5" i="57"/>
  <c r="B4" i="57"/>
  <c r="A4" i="57"/>
  <c r="W20" i="50" l="1"/>
  <c r="V20" i="50"/>
  <c r="U20" i="50"/>
  <c r="X20" i="50"/>
  <c r="C34" i="46"/>
  <c r="AF10" i="57"/>
  <c r="AG10" i="57" s="1"/>
  <c r="W19" i="50"/>
  <c r="AJ15" i="57"/>
  <c r="AI15" i="57"/>
  <c r="AJ16" i="57"/>
  <c r="AI16" i="57"/>
  <c r="M81" i="57"/>
  <c r="W81" i="57"/>
  <c r="AD81" i="57"/>
  <c r="W79" i="57"/>
  <c r="M79" i="57"/>
  <c r="AD79" i="57"/>
  <c r="S22" i="57"/>
  <c r="S7" i="57" s="1"/>
  <c r="AL5" i="57"/>
  <c r="AM5" i="57"/>
  <c r="AO5" i="57"/>
  <c r="AP5" i="57"/>
  <c r="Z22" i="57"/>
  <c r="Z7" i="57" s="1"/>
  <c r="I22" i="57"/>
  <c r="I7" i="57" s="1"/>
  <c r="U22" i="57"/>
  <c r="U7" i="57" s="1"/>
  <c r="AJ50" i="57"/>
  <c r="AI43" i="57"/>
  <c r="AI45" i="57"/>
  <c r="AI57" i="57"/>
  <c r="W22" i="57"/>
  <c r="W7" i="57" s="1"/>
  <c r="V22" i="57"/>
  <c r="V7" i="57" s="1"/>
  <c r="N22" i="57"/>
  <c r="N7" i="57" s="1"/>
  <c r="O22" i="57"/>
  <c r="O7" i="57" s="1"/>
  <c r="AD22" i="57"/>
  <c r="C22" i="57"/>
  <c r="C7" i="57" s="1"/>
  <c r="AA22" i="57"/>
  <c r="AA7" i="57" s="1"/>
  <c r="K22" i="57"/>
  <c r="K7" i="57" s="1"/>
  <c r="AJ49" i="57"/>
  <c r="U39" i="50"/>
  <c r="V17" i="50"/>
  <c r="V21" i="50"/>
  <c r="X21" i="50"/>
  <c r="X17" i="50"/>
  <c r="V39" i="50"/>
  <c r="W17" i="50"/>
  <c r="W21" i="50"/>
  <c r="U17" i="50"/>
  <c r="U21" i="50"/>
  <c r="X19" i="50"/>
  <c r="Y22" i="57"/>
  <c r="Y7" i="57" s="1"/>
  <c r="AC22" i="57"/>
  <c r="AC7" i="57" s="1"/>
  <c r="R22" i="57"/>
  <c r="R7" i="57" s="1"/>
  <c r="M22" i="57"/>
  <c r="M7" i="57" s="1"/>
  <c r="F22" i="57"/>
  <c r="F7" i="57" s="1"/>
  <c r="Q22" i="57"/>
  <c r="Q7" i="57" s="1"/>
  <c r="J22" i="57"/>
  <c r="J7" i="57" s="1"/>
  <c r="E22" i="57"/>
  <c r="E7" i="57" s="1"/>
  <c r="AB8" i="57"/>
  <c r="X8" i="57"/>
  <c r="T8" i="57"/>
  <c r="P8" i="57"/>
  <c r="L8" i="57"/>
  <c r="H8" i="57"/>
  <c r="D8" i="57"/>
  <c r="AG9" i="36" l="1"/>
  <c r="AD9" i="36"/>
  <c r="AH9" i="36"/>
  <c r="AE9" i="36"/>
  <c r="AF9" i="36"/>
  <c r="AI9" i="36"/>
  <c r="BO9" i="36"/>
  <c r="BK9" i="36"/>
  <c r="BG9" i="36"/>
  <c r="BC9" i="36"/>
  <c r="AY9" i="36"/>
  <c r="AU9" i="36"/>
  <c r="AQ9" i="36"/>
  <c r="AM9" i="36"/>
  <c r="AJ9" i="36"/>
  <c r="BL9" i="36"/>
  <c r="AZ9" i="36"/>
  <c r="AN9" i="36"/>
  <c r="BN9" i="36"/>
  <c r="BJ9" i="36"/>
  <c r="BF9" i="36"/>
  <c r="BB9" i="36"/>
  <c r="AX9" i="36"/>
  <c r="AT9" i="36"/>
  <c r="AP9" i="36"/>
  <c r="AL9" i="36"/>
  <c r="BH9" i="36"/>
  <c r="AV9" i="36"/>
  <c r="BM9" i="36"/>
  <c r="BI9" i="36"/>
  <c r="BE9" i="36"/>
  <c r="BA9" i="36"/>
  <c r="AW9" i="36"/>
  <c r="AS9" i="36"/>
  <c r="AO9" i="36"/>
  <c r="AK9" i="36"/>
  <c r="BP9" i="36"/>
  <c r="BD9" i="36"/>
  <c r="AR9" i="36"/>
  <c r="W39" i="50"/>
  <c r="AD6" i="57"/>
  <c r="AE6" i="57" s="1"/>
  <c r="AF6" i="57" s="1"/>
  <c r="AG6" i="57" s="1"/>
  <c r="X39" i="50" l="1"/>
  <c r="AD7" i="57"/>
  <c r="AE7" i="57" l="1"/>
  <c r="AF7" i="57" s="1"/>
  <c r="AG7" i="57" s="1"/>
  <c r="AJ16" i="36" l="1"/>
  <c r="AK16" i="36" s="1"/>
  <c r="AL16" i="36" s="1"/>
  <c r="AM16" i="36" s="1"/>
  <c r="AN16" i="36" s="1"/>
  <c r="AO16" i="36" s="1"/>
  <c r="AP16" i="36" s="1"/>
  <c r="AQ16" i="36" s="1"/>
  <c r="AR16" i="36" s="1"/>
  <c r="AS16" i="36" s="1"/>
  <c r="AT16" i="36" s="1"/>
  <c r="AU16" i="36" s="1"/>
  <c r="AV16" i="36" s="1"/>
  <c r="AW16" i="36" s="1"/>
  <c r="AX16" i="36" s="1"/>
  <c r="AY16" i="36" s="1"/>
  <c r="AZ16" i="36" s="1"/>
  <c r="BA16" i="36" s="1"/>
  <c r="BB16" i="36" s="1"/>
  <c r="BC16" i="36" s="1"/>
  <c r="BD16" i="36" s="1"/>
  <c r="BE16" i="36" s="1"/>
  <c r="BF16" i="36" s="1"/>
  <c r="BG16" i="36" s="1"/>
  <c r="BH16" i="36" s="1"/>
  <c r="BI16" i="36" s="1"/>
  <c r="BJ16" i="36" s="1"/>
  <c r="BK16" i="36" s="1"/>
  <c r="BL16" i="36" s="1"/>
  <c r="BM16" i="36" s="1"/>
  <c r="BN16" i="36" s="1"/>
  <c r="BO16" i="36" s="1"/>
  <c r="BP16" i="36" s="1"/>
  <c r="Y5" i="47" l="1"/>
  <c r="X4" i="57" s="1"/>
  <c r="X5" i="47" l="1"/>
  <c r="W4" i="57" l="1"/>
  <c r="W5" i="47"/>
  <c r="AJ12" i="57" l="1"/>
  <c r="AI12" i="57"/>
  <c r="AJ6" i="57"/>
  <c r="AI5" i="57"/>
  <c r="AI6" i="57"/>
  <c r="AJ5" i="57"/>
  <c r="V5" i="47"/>
  <c r="V4" i="57"/>
  <c r="D146" i="34"/>
  <c r="D147" i="34"/>
  <c r="D148" i="34"/>
  <c r="D149" i="34"/>
  <c r="D150" i="34"/>
  <c r="D151" i="34"/>
  <c r="D152" i="34"/>
  <c r="D153" i="34"/>
  <c r="D154" i="34"/>
  <c r="D155" i="34"/>
  <c r="D156" i="34"/>
  <c r="D145" i="34"/>
  <c r="A157" i="34"/>
  <c r="A158" i="34" s="1"/>
  <c r="A159" i="34" s="1"/>
  <c r="A160" i="34" s="1"/>
  <c r="A161" i="34" s="1"/>
  <c r="A162" i="34" s="1"/>
  <c r="A163" i="34" s="1"/>
  <c r="A164" i="34" s="1"/>
  <c r="A165" i="34" s="1"/>
  <c r="A166" i="34" s="1"/>
  <c r="A167" i="34" s="1"/>
  <c r="A168" i="34" s="1"/>
  <c r="A169" i="34" s="1"/>
  <c r="A170" i="34" s="1"/>
  <c r="A171" i="34" s="1"/>
  <c r="A172" i="34" s="1"/>
  <c r="A173" i="34" s="1"/>
  <c r="A174" i="34" s="1"/>
  <c r="A175" i="34" s="1"/>
  <c r="A176" i="34" s="1"/>
  <c r="A177" i="34" s="1"/>
  <c r="A178" i="34" s="1"/>
  <c r="A179" i="34" s="1"/>
  <c r="A180" i="34" s="1"/>
  <c r="A181" i="34" s="1"/>
  <c r="A182" i="34" s="1"/>
  <c r="A183" i="34" s="1"/>
  <c r="A184" i="34" s="1"/>
  <c r="A185" i="34" s="1"/>
  <c r="A186" i="34" s="1"/>
  <c r="A187" i="34" s="1"/>
  <c r="A188" i="34" s="1"/>
  <c r="D130" i="34"/>
  <c r="E130" i="34" s="1"/>
  <c r="D131" i="34"/>
  <c r="E131" i="34" s="1"/>
  <c r="D132" i="34"/>
  <c r="E132" i="34" s="1"/>
  <c r="D133" i="34"/>
  <c r="E133" i="34" s="1"/>
  <c r="D134" i="34"/>
  <c r="E134" i="34" s="1"/>
  <c r="D124" i="34"/>
  <c r="E124" i="34" s="1"/>
  <c r="D125" i="34"/>
  <c r="E125" i="34" s="1"/>
  <c r="D126" i="34"/>
  <c r="E126" i="34" s="1"/>
  <c r="D127" i="34"/>
  <c r="E127" i="34" s="1"/>
  <c r="D128" i="34"/>
  <c r="E128" i="34" s="1"/>
  <c r="AD10" i="50" l="1"/>
  <c r="AD5" i="50"/>
  <c r="U5" i="47"/>
  <c r="U4" i="57"/>
  <c r="B6" i="46"/>
  <c r="BG87" i="36" s="1"/>
  <c r="H97" i="36" l="1"/>
  <c r="BM98" i="36"/>
  <c r="BI98" i="36"/>
  <c r="BE98" i="36"/>
  <c r="BA98" i="36"/>
  <c r="AW98" i="36"/>
  <c r="AS98" i="36"/>
  <c r="AO98" i="36"/>
  <c r="AK98" i="36"/>
  <c r="BN97" i="36"/>
  <c r="BJ97" i="36"/>
  <c r="BF97" i="36"/>
  <c r="BB97" i="36"/>
  <c r="AX97" i="36"/>
  <c r="AT97" i="36"/>
  <c r="AP97" i="36"/>
  <c r="AL97" i="36"/>
  <c r="Z97" i="36"/>
  <c r="V97" i="36"/>
  <c r="R97" i="36"/>
  <c r="N97" i="36"/>
  <c r="J97" i="36"/>
  <c r="BN96" i="36"/>
  <c r="BJ96" i="36"/>
  <c r="BF96" i="36"/>
  <c r="BB96" i="36"/>
  <c r="AX96" i="36"/>
  <c r="AT96" i="36"/>
  <c r="AP96" i="36"/>
  <c r="AL96" i="36"/>
  <c r="BO95" i="36"/>
  <c r="BJ95" i="36"/>
  <c r="BE95" i="36"/>
  <c r="AZ95" i="36"/>
  <c r="AT95" i="36"/>
  <c r="AO95" i="36"/>
  <c r="BN92" i="36"/>
  <c r="BF92" i="36"/>
  <c r="AX92" i="36"/>
  <c r="AP92" i="36"/>
  <c r="BO91" i="36"/>
  <c r="BG91" i="36"/>
  <c r="AY91" i="36"/>
  <c r="AQ91" i="36"/>
  <c r="BP90" i="36"/>
  <c r="BH90" i="36"/>
  <c r="AZ90" i="36"/>
  <c r="AR90" i="36"/>
  <c r="AJ90" i="36"/>
  <c r="BI89" i="36"/>
  <c r="AW89" i="36"/>
  <c r="BN88" i="36"/>
  <c r="AX88" i="36"/>
  <c r="BO87" i="36"/>
  <c r="BP98" i="36"/>
  <c r="BL98" i="36"/>
  <c r="BH98" i="36"/>
  <c r="BD98" i="36"/>
  <c r="AZ98" i="36"/>
  <c r="AV98" i="36"/>
  <c r="AR98" i="36"/>
  <c r="AN98" i="36"/>
  <c r="AJ98" i="36"/>
  <c r="BM97" i="36"/>
  <c r="BI97" i="36"/>
  <c r="BE97" i="36"/>
  <c r="BA97" i="36"/>
  <c r="AW97" i="36"/>
  <c r="AS97" i="36"/>
  <c r="AO97" i="36"/>
  <c r="AK97" i="36"/>
  <c r="AC97" i="36"/>
  <c r="Y97" i="36"/>
  <c r="U97" i="36"/>
  <c r="Q97" i="36"/>
  <c r="M97" i="36"/>
  <c r="I97" i="36"/>
  <c r="BM96" i="36"/>
  <c r="BI96" i="36"/>
  <c r="BE96" i="36"/>
  <c r="BA96" i="36"/>
  <c r="AW96" i="36"/>
  <c r="AS96" i="36"/>
  <c r="AO96" i="36"/>
  <c r="AK96" i="36"/>
  <c r="BN95" i="36"/>
  <c r="BI95" i="36"/>
  <c r="BD95" i="36"/>
  <c r="AX95" i="36"/>
  <c r="AS95" i="36"/>
  <c r="AN95" i="36"/>
  <c r="BM92" i="36"/>
  <c r="BE92" i="36"/>
  <c r="AW92" i="36"/>
  <c r="AO92" i="36"/>
  <c r="BN91" i="36"/>
  <c r="BF91" i="36"/>
  <c r="AX91" i="36"/>
  <c r="AP91" i="36"/>
  <c r="BO90" i="36"/>
  <c r="BG90" i="36"/>
  <c r="AY90" i="36"/>
  <c r="AQ90" i="36"/>
  <c r="BP89" i="36"/>
  <c r="BH89" i="36"/>
  <c r="AS89" i="36"/>
  <c r="BJ88" i="36"/>
  <c r="AT88" i="36"/>
  <c r="BK87" i="36"/>
  <c r="BO98" i="36"/>
  <c r="BK98" i="36"/>
  <c r="BG98" i="36"/>
  <c r="BC98" i="36"/>
  <c r="AY98" i="36"/>
  <c r="AU98" i="36"/>
  <c r="AQ98" i="36"/>
  <c r="AM98" i="36"/>
  <c r="BP97" i="36"/>
  <c r="BL97" i="36"/>
  <c r="BH97" i="36"/>
  <c r="BD97" i="36"/>
  <c r="AZ97" i="36"/>
  <c r="AV97" i="36"/>
  <c r="AR97" i="36"/>
  <c r="AN97" i="36"/>
  <c r="AJ97" i="36"/>
  <c r="AB97" i="36"/>
  <c r="X97" i="36"/>
  <c r="T97" i="36"/>
  <c r="P97" i="36"/>
  <c r="L97" i="36"/>
  <c r="BP96" i="36"/>
  <c r="BL96" i="36"/>
  <c r="BH96" i="36"/>
  <c r="BD96" i="36"/>
  <c r="AZ96" i="36"/>
  <c r="AV96" i="36"/>
  <c r="AR96" i="36"/>
  <c r="AN96" i="36"/>
  <c r="AJ96" i="36"/>
  <c r="BM95" i="36"/>
  <c r="BH95" i="36"/>
  <c r="BB95" i="36"/>
  <c r="AW95" i="36"/>
  <c r="AR95" i="36"/>
  <c r="AK95" i="36"/>
  <c r="BJ92" i="36"/>
  <c r="BB92" i="36"/>
  <c r="AT92" i="36"/>
  <c r="AL92" i="36"/>
  <c r="BK91" i="36"/>
  <c r="BC91" i="36"/>
  <c r="AU91" i="36"/>
  <c r="AM91" i="36"/>
  <c r="BL90" i="36"/>
  <c r="BD90" i="36"/>
  <c r="AV90" i="36"/>
  <c r="AN90" i="36"/>
  <c r="BM89" i="36"/>
  <c r="BE89" i="36"/>
  <c r="AO89" i="36"/>
  <c r="BF88" i="36"/>
  <c r="AP88" i="36"/>
  <c r="AG87" i="36"/>
  <c r="AE88" i="36"/>
  <c r="AI88" i="36"/>
  <c r="AG89" i="36"/>
  <c r="AE90" i="36"/>
  <c r="AI90" i="36"/>
  <c r="AG91" i="36"/>
  <c r="AE92" i="36"/>
  <c r="AI92" i="36"/>
  <c r="AG95" i="36"/>
  <c r="AE96" i="36"/>
  <c r="AI96" i="36"/>
  <c r="AG97" i="36"/>
  <c r="AE98" i="36"/>
  <c r="AI98" i="36"/>
  <c r="AI87" i="36"/>
  <c r="AG88" i="36"/>
  <c r="AI89" i="36"/>
  <c r="AE91" i="36"/>
  <c r="AG92" i="36"/>
  <c r="AE95" i="36"/>
  <c r="AG96" i="36"/>
  <c r="AI97" i="36"/>
  <c r="AD88" i="36"/>
  <c r="AH88" i="36"/>
  <c r="AD90" i="36"/>
  <c r="AF91" i="36"/>
  <c r="AD92" i="36"/>
  <c r="AF95" i="36"/>
  <c r="AF97" i="36"/>
  <c r="AH98" i="36"/>
  <c r="AD87" i="36"/>
  <c r="AH87" i="36"/>
  <c r="AF88" i="36"/>
  <c r="AD89" i="36"/>
  <c r="AH89" i="36"/>
  <c r="AF90" i="36"/>
  <c r="AD91" i="36"/>
  <c r="AH91" i="36"/>
  <c r="AF92" i="36"/>
  <c r="AD95" i="36"/>
  <c r="AH95" i="36"/>
  <c r="AF96" i="36"/>
  <c r="AD97" i="36"/>
  <c r="AH97" i="36"/>
  <c r="AF98" i="36"/>
  <c r="AE87" i="36"/>
  <c r="AE89" i="36"/>
  <c r="AG90" i="36"/>
  <c r="AI91" i="36"/>
  <c r="AI95" i="36"/>
  <c r="AE97" i="36"/>
  <c r="AG98" i="36"/>
  <c r="AF87" i="36"/>
  <c r="AF89" i="36"/>
  <c r="AH90" i="36"/>
  <c r="AH92" i="36"/>
  <c r="AD96" i="36"/>
  <c r="AH96" i="36"/>
  <c r="AD98" i="36"/>
  <c r="AJ87" i="36"/>
  <c r="AN87" i="36"/>
  <c r="AR87" i="36"/>
  <c r="AV87" i="36"/>
  <c r="AZ87" i="36"/>
  <c r="BD87" i="36"/>
  <c r="BH87" i="36"/>
  <c r="BL87" i="36"/>
  <c r="BP87" i="36"/>
  <c r="AM88" i="36"/>
  <c r="AQ88" i="36"/>
  <c r="AU88" i="36"/>
  <c r="AY88" i="36"/>
  <c r="BC88" i="36"/>
  <c r="BG88" i="36"/>
  <c r="BK88" i="36"/>
  <c r="BO88" i="36"/>
  <c r="AL89" i="36"/>
  <c r="AP89" i="36"/>
  <c r="AT89" i="36"/>
  <c r="AX89" i="36"/>
  <c r="BB89" i="36"/>
  <c r="BF89" i="36"/>
  <c r="BJ89" i="36"/>
  <c r="BN89" i="36"/>
  <c r="AK90" i="36"/>
  <c r="AO90" i="36"/>
  <c r="AS90" i="36"/>
  <c r="AW90" i="36"/>
  <c r="BA90" i="36"/>
  <c r="BE90" i="36"/>
  <c r="BI90" i="36"/>
  <c r="BM90" i="36"/>
  <c r="AJ91" i="36"/>
  <c r="AN91" i="36"/>
  <c r="AR91" i="36"/>
  <c r="AV91" i="36"/>
  <c r="AZ91" i="36"/>
  <c r="BD91" i="36"/>
  <c r="BH91" i="36"/>
  <c r="BL91" i="36"/>
  <c r="BP91" i="36"/>
  <c r="AM92" i="36"/>
  <c r="AQ92" i="36"/>
  <c r="AU92" i="36"/>
  <c r="AY92" i="36"/>
  <c r="BC92" i="36"/>
  <c r="BG92" i="36"/>
  <c r="BK92" i="36"/>
  <c r="BO92" i="36"/>
  <c r="AL95" i="36"/>
  <c r="AK87" i="36"/>
  <c r="AO87" i="36"/>
  <c r="AS87" i="36"/>
  <c r="AW87" i="36"/>
  <c r="BA87" i="36"/>
  <c r="BE87" i="36"/>
  <c r="BI87" i="36"/>
  <c r="BM87" i="36"/>
  <c r="AJ88" i="36"/>
  <c r="AN88" i="36"/>
  <c r="AR88" i="36"/>
  <c r="AV88" i="36"/>
  <c r="AZ88" i="36"/>
  <c r="BD88" i="36"/>
  <c r="BH88" i="36"/>
  <c r="BL88" i="36"/>
  <c r="BP88" i="36"/>
  <c r="AM89" i="36"/>
  <c r="AQ89" i="36"/>
  <c r="AU89" i="36"/>
  <c r="AY89" i="36"/>
  <c r="BC89" i="36"/>
  <c r="BG89" i="36"/>
  <c r="BK89" i="36"/>
  <c r="BO89" i="36"/>
  <c r="AL90" i="36"/>
  <c r="AP90" i="36"/>
  <c r="AT90" i="36"/>
  <c r="AX90" i="36"/>
  <c r="BB90" i="36"/>
  <c r="BF90" i="36"/>
  <c r="BJ90" i="36"/>
  <c r="BN90" i="36"/>
  <c r="AK91" i="36"/>
  <c r="AO91" i="36"/>
  <c r="AS91" i="36"/>
  <c r="AW91" i="36"/>
  <c r="BA91" i="36"/>
  <c r="BE91" i="36"/>
  <c r="BI91" i="36"/>
  <c r="BM91" i="36"/>
  <c r="AJ92" i="36"/>
  <c r="AN92" i="36"/>
  <c r="AR92" i="36"/>
  <c r="AV92" i="36"/>
  <c r="AZ92" i="36"/>
  <c r="BD92" i="36"/>
  <c r="BH92" i="36"/>
  <c r="BL92" i="36"/>
  <c r="BP92" i="36"/>
  <c r="AM95" i="36"/>
  <c r="AQ95" i="36"/>
  <c r="AU95" i="36"/>
  <c r="AY95" i="36"/>
  <c r="BC95" i="36"/>
  <c r="BG95" i="36"/>
  <c r="BK95" i="36"/>
  <c r="AL87" i="36"/>
  <c r="AP87" i="36"/>
  <c r="AT87" i="36"/>
  <c r="AX87" i="36"/>
  <c r="BB87" i="36"/>
  <c r="BF87" i="36"/>
  <c r="BJ87" i="36"/>
  <c r="BN87" i="36"/>
  <c r="AK88" i="36"/>
  <c r="AO88" i="36"/>
  <c r="AS88" i="36"/>
  <c r="AW88" i="36"/>
  <c r="BA88" i="36"/>
  <c r="BE88" i="36"/>
  <c r="BI88" i="36"/>
  <c r="BM88" i="36"/>
  <c r="AJ89" i="36"/>
  <c r="AN89" i="36"/>
  <c r="AR89" i="36"/>
  <c r="AV89" i="36"/>
  <c r="AZ89" i="36"/>
  <c r="BD89" i="36"/>
  <c r="AM87" i="36"/>
  <c r="AQ87" i="36"/>
  <c r="AU87" i="36"/>
  <c r="AY87" i="36"/>
  <c r="BN98" i="36"/>
  <c r="BJ98" i="36"/>
  <c r="BF98" i="36"/>
  <c r="BB98" i="36"/>
  <c r="AX98" i="36"/>
  <c r="AT98" i="36"/>
  <c r="AP98" i="36"/>
  <c r="AL98" i="36"/>
  <c r="BO97" i="36"/>
  <c r="BK97" i="36"/>
  <c r="BG97" i="36"/>
  <c r="BC97" i="36"/>
  <c r="AY97" i="36"/>
  <c r="AU97" i="36"/>
  <c r="AQ97" i="36"/>
  <c r="AM97" i="36"/>
  <c r="AA97" i="36"/>
  <c r="W97" i="36"/>
  <c r="S97" i="36"/>
  <c r="O97" i="36"/>
  <c r="K97" i="36"/>
  <c r="BO96" i="36"/>
  <c r="BK96" i="36"/>
  <c r="BG96" i="36"/>
  <c r="BC96" i="36"/>
  <c r="AY96" i="36"/>
  <c r="AU96" i="36"/>
  <c r="AQ96" i="36"/>
  <c r="AM96" i="36"/>
  <c r="BP95" i="36"/>
  <c r="BL95" i="36"/>
  <c r="BF95" i="36"/>
  <c r="BA95" i="36"/>
  <c r="AV95" i="36"/>
  <c r="AP95" i="36"/>
  <c r="AJ95" i="36"/>
  <c r="BI92" i="36"/>
  <c r="BA92" i="36"/>
  <c r="AS92" i="36"/>
  <c r="AK92" i="36"/>
  <c r="BJ91" i="36"/>
  <c r="BB91" i="36"/>
  <c r="AT91" i="36"/>
  <c r="AL91" i="36"/>
  <c r="BK90" i="36"/>
  <c r="BC90" i="36"/>
  <c r="AU90" i="36"/>
  <c r="AM90" i="36"/>
  <c r="BL89" i="36"/>
  <c r="BA89" i="36"/>
  <c r="AK89" i="36"/>
  <c r="BB88" i="36"/>
  <c r="AL88" i="36"/>
  <c r="BC87" i="36"/>
  <c r="T5" i="47"/>
  <c r="T4" i="57"/>
  <c r="AJ232" i="51"/>
  <c r="AI232" i="51"/>
  <c r="AH232" i="51"/>
  <c r="AG232" i="51"/>
  <c r="AF232" i="51"/>
  <c r="AE232" i="51"/>
  <c r="AD232" i="51"/>
  <c r="AC232" i="51"/>
  <c r="AB232" i="51"/>
  <c r="AA232" i="51"/>
  <c r="Z232" i="51"/>
  <c r="Y232" i="51"/>
  <c r="X232" i="51"/>
  <c r="W232" i="51"/>
  <c r="V232" i="51"/>
  <c r="U232" i="51"/>
  <c r="T232" i="51"/>
  <c r="S232" i="51"/>
  <c r="R232" i="51"/>
  <c r="Q232" i="51"/>
  <c r="P232" i="51"/>
  <c r="O232" i="51"/>
  <c r="N232" i="51"/>
  <c r="M232" i="51"/>
  <c r="L232" i="51"/>
  <c r="K232" i="51"/>
  <c r="J232" i="51"/>
  <c r="I232" i="51"/>
  <c r="H232" i="51"/>
  <c r="G232" i="51"/>
  <c r="F232" i="51"/>
  <c r="E232" i="51"/>
  <c r="D232" i="51"/>
  <c r="C232" i="51"/>
  <c r="AJ220" i="51"/>
  <c r="AI220" i="51"/>
  <c r="AH220" i="51"/>
  <c r="AG220" i="51"/>
  <c r="AF220" i="51"/>
  <c r="AE220" i="51"/>
  <c r="AD220" i="51"/>
  <c r="AC220" i="51"/>
  <c r="AB220" i="51"/>
  <c r="AA220" i="51"/>
  <c r="Z220" i="51"/>
  <c r="Y220" i="51"/>
  <c r="X220" i="51"/>
  <c r="W220" i="51"/>
  <c r="V220" i="51"/>
  <c r="U220" i="51"/>
  <c r="T220" i="51"/>
  <c r="S220" i="51"/>
  <c r="R220" i="51"/>
  <c r="Q220" i="51"/>
  <c r="P220" i="51"/>
  <c r="O220" i="51"/>
  <c r="N220" i="51"/>
  <c r="M220" i="51"/>
  <c r="L220" i="51"/>
  <c r="K220" i="51"/>
  <c r="J220" i="51"/>
  <c r="I220" i="51"/>
  <c r="H220" i="51"/>
  <c r="G220" i="51"/>
  <c r="F220" i="51"/>
  <c r="E220" i="51"/>
  <c r="D220" i="51"/>
  <c r="C220" i="51"/>
  <c r="AJ208" i="51"/>
  <c r="AI208" i="51"/>
  <c r="AH208" i="51"/>
  <c r="AG208" i="51"/>
  <c r="AF208" i="51"/>
  <c r="AE208" i="51"/>
  <c r="AD208" i="51"/>
  <c r="AC208" i="51"/>
  <c r="AB208" i="51"/>
  <c r="AA208" i="51"/>
  <c r="Z208" i="51"/>
  <c r="Y208" i="51"/>
  <c r="X208" i="51"/>
  <c r="W208" i="51"/>
  <c r="V208" i="51"/>
  <c r="U208" i="51"/>
  <c r="T208" i="51"/>
  <c r="S208" i="51"/>
  <c r="R208" i="51"/>
  <c r="Q208" i="51"/>
  <c r="P208" i="51"/>
  <c r="O208" i="51"/>
  <c r="N208" i="51"/>
  <c r="M208" i="51"/>
  <c r="L208" i="51"/>
  <c r="K208" i="51"/>
  <c r="J208" i="51"/>
  <c r="I208" i="51"/>
  <c r="H208" i="51"/>
  <c r="G208" i="51"/>
  <c r="F208" i="51"/>
  <c r="E208" i="51"/>
  <c r="D208" i="51"/>
  <c r="C208" i="51"/>
  <c r="AJ196" i="51"/>
  <c r="AI196" i="51"/>
  <c r="AH196" i="51"/>
  <c r="AG196" i="51"/>
  <c r="AF196" i="51"/>
  <c r="AE196" i="51"/>
  <c r="AD196" i="51"/>
  <c r="AC196" i="51"/>
  <c r="AB196" i="51"/>
  <c r="AA196" i="51"/>
  <c r="Z196" i="51"/>
  <c r="Y196" i="51"/>
  <c r="X196" i="51"/>
  <c r="W196" i="51"/>
  <c r="V196" i="51"/>
  <c r="U196" i="51"/>
  <c r="T196" i="51"/>
  <c r="S196" i="51"/>
  <c r="R196" i="51"/>
  <c r="Q196" i="51"/>
  <c r="P196" i="51"/>
  <c r="O196" i="51"/>
  <c r="N196" i="51"/>
  <c r="M196" i="51"/>
  <c r="L196" i="51"/>
  <c r="K196" i="51"/>
  <c r="J196" i="51"/>
  <c r="I196" i="51"/>
  <c r="H196" i="51"/>
  <c r="G196" i="51"/>
  <c r="F196" i="51"/>
  <c r="E196" i="51"/>
  <c r="D196" i="51"/>
  <c r="C196" i="51"/>
  <c r="AJ183" i="51"/>
  <c r="AI183" i="51"/>
  <c r="AH183" i="51"/>
  <c r="AG183" i="51"/>
  <c r="AF183" i="51"/>
  <c r="AE183" i="51"/>
  <c r="AD183" i="51"/>
  <c r="AC183" i="51"/>
  <c r="AB183" i="51"/>
  <c r="AA183" i="51"/>
  <c r="Z183" i="51"/>
  <c r="Y183" i="51"/>
  <c r="X183" i="51"/>
  <c r="W183" i="51"/>
  <c r="V183" i="51"/>
  <c r="U183" i="51"/>
  <c r="T183" i="51"/>
  <c r="S183" i="51"/>
  <c r="R183" i="51"/>
  <c r="Q183" i="51"/>
  <c r="P183" i="51"/>
  <c r="O183" i="51"/>
  <c r="N183" i="51"/>
  <c r="M183" i="51"/>
  <c r="L183" i="51"/>
  <c r="K183" i="51"/>
  <c r="J183" i="51"/>
  <c r="I183" i="51"/>
  <c r="H183" i="51"/>
  <c r="G183" i="51"/>
  <c r="F183" i="51"/>
  <c r="E183" i="51"/>
  <c r="D183" i="51"/>
  <c r="C183" i="51"/>
  <c r="AJ171" i="51"/>
  <c r="AI171" i="51"/>
  <c r="AH171" i="51"/>
  <c r="AG171" i="51"/>
  <c r="AF171" i="51"/>
  <c r="AE171" i="51"/>
  <c r="AD171" i="51"/>
  <c r="AC171" i="51"/>
  <c r="AB171" i="51"/>
  <c r="AA171" i="51"/>
  <c r="Z171" i="51"/>
  <c r="Y171" i="51"/>
  <c r="X171" i="51"/>
  <c r="W171" i="51"/>
  <c r="V171" i="51"/>
  <c r="U171" i="51"/>
  <c r="T171" i="51"/>
  <c r="S171" i="51"/>
  <c r="R171" i="51"/>
  <c r="Q171" i="51"/>
  <c r="P171" i="51"/>
  <c r="O171" i="51"/>
  <c r="N171" i="51"/>
  <c r="M171" i="51"/>
  <c r="L171" i="51"/>
  <c r="K171" i="51"/>
  <c r="J171" i="51"/>
  <c r="I171" i="51"/>
  <c r="H171" i="51"/>
  <c r="G171" i="51"/>
  <c r="F171" i="51"/>
  <c r="E171" i="51"/>
  <c r="D171" i="51"/>
  <c r="C171" i="51"/>
  <c r="AJ158" i="51"/>
  <c r="AI158" i="51"/>
  <c r="AH158" i="51"/>
  <c r="AG158" i="51"/>
  <c r="AF158" i="51"/>
  <c r="AE158" i="51"/>
  <c r="AD158" i="51"/>
  <c r="AC158" i="51"/>
  <c r="AB158" i="51"/>
  <c r="AA158" i="51"/>
  <c r="Z158" i="51"/>
  <c r="Y158" i="51"/>
  <c r="X158" i="51"/>
  <c r="W158" i="51"/>
  <c r="V158" i="51"/>
  <c r="U158" i="51"/>
  <c r="T158" i="51"/>
  <c r="S158" i="51"/>
  <c r="R158" i="51"/>
  <c r="Q158" i="51"/>
  <c r="P158" i="51"/>
  <c r="O158" i="51"/>
  <c r="N158" i="51"/>
  <c r="M158" i="51"/>
  <c r="L158" i="51"/>
  <c r="K158" i="51"/>
  <c r="J158" i="51"/>
  <c r="I158" i="51"/>
  <c r="H158" i="51"/>
  <c r="G158" i="51"/>
  <c r="F158" i="51"/>
  <c r="E158" i="51"/>
  <c r="D158" i="51"/>
  <c r="C158" i="51"/>
  <c r="AJ146" i="51"/>
  <c r="AI146" i="51"/>
  <c r="AH146" i="51"/>
  <c r="AG146" i="51"/>
  <c r="AF146" i="51"/>
  <c r="AE146" i="51"/>
  <c r="AD146" i="51"/>
  <c r="AC146" i="51"/>
  <c r="AB146" i="51"/>
  <c r="AA146" i="51"/>
  <c r="Z146" i="51"/>
  <c r="Y146" i="51"/>
  <c r="X146" i="51"/>
  <c r="W146" i="51"/>
  <c r="V146" i="51"/>
  <c r="U146" i="51"/>
  <c r="T146" i="51"/>
  <c r="S146" i="51"/>
  <c r="R146" i="51"/>
  <c r="Q146" i="51"/>
  <c r="P146" i="51"/>
  <c r="O146" i="51"/>
  <c r="N146" i="51"/>
  <c r="M146" i="51"/>
  <c r="L146" i="51"/>
  <c r="K146" i="51"/>
  <c r="J146" i="51"/>
  <c r="I146" i="51"/>
  <c r="H146" i="51"/>
  <c r="G146" i="51"/>
  <c r="F146" i="51"/>
  <c r="E146" i="51"/>
  <c r="D146" i="51"/>
  <c r="C146" i="51"/>
  <c r="AJ133" i="51"/>
  <c r="AI133" i="51"/>
  <c r="AH133" i="51"/>
  <c r="AG133" i="51"/>
  <c r="AF133" i="51"/>
  <c r="AE133" i="51"/>
  <c r="AD133" i="51"/>
  <c r="AC133" i="51"/>
  <c r="AB133" i="51"/>
  <c r="AA133" i="51"/>
  <c r="Z133" i="51"/>
  <c r="Y133" i="51"/>
  <c r="X133" i="51"/>
  <c r="W133" i="51"/>
  <c r="V133" i="51"/>
  <c r="U133" i="51"/>
  <c r="T133" i="51"/>
  <c r="S133" i="51"/>
  <c r="R133" i="51"/>
  <c r="Q133" i="51"/>
  <c r="P133" i="51"/>
  <c r="O133" i="51"/>
  <c r="N133" i="51"/>
  <c r="M133" i="51"/>
  <c r="L133" i="51"/>
  <c r="K133" i="51"/>
  <c r="J133" i="51"/>
  <c r="I133" i="51"/>
  <c r="H133" i="51"/>
  <c r="G133" i="51"/>
  <c r="F133" i="51"/>
  <c r="E133" i="51"/>
  <c r="D133" i="51"/>
  <c r="C133" i="51"/>
  <c r="AJ121" i="51"/>
  <c r="AI121" i="51"/>
  <c r="AH121" i="51"/>
  <c r="AG121" i="51"/>
  <c r="AF121" i="51"/>
  <c r="AE121" i="51"/>
  <c r="AD121" i="51"/>
  <c r="AC121" i="51"/>
  <c r="AB121" i="51"/>
  <c r="AA121" i="51"/>
  <c r="Z121" i="51"/>
  <c r="Y121" i="51"/>
  <c r="X121" i="51"/>
  <c r="W121" i="51"/>
  <c r="V121" i="51"/>
  <c r="U121" i="51"/>
  <c r="T121" i="51"/>
  <c r="S121" i="51"/>
  <c r="R121" i="51"/>
  <c r="Q121" i="51"/>
  <c r="P121" i="51"/>
  <c r="O121" i="51"/>
  <c r="N121" i="51"/>
  <c r="M121" i="51"/>
  <c r="L121" i="51"/>
  <c r="K121" i="51"/>
  <c r="J121" i="51"/>
  <c r="I121" i="51"/>
  <c r="H121" i="51"/>
  <c r="G121" i="51"/>
  <c r="F121" i="51"/>
  <c r="E121" i="51"/>
  <c r="D121" i="51"/>
  <c r="C121" i="51"/>
  <c r="AJ108" i="51"/>
  <c r="AI108" i="51"/>
  <c r="AH108" i="51"/>
  <c r="AG108" i="51"/>
  <c r="AF108" i="51"/>
  <c r="AE108" i="51"/>
  <c r="AD108" i="51"/>
  <c r="AC108" i="51"/>
  <c r="AB108" i="51"/>
  <c r="AA108" i="51"/>
  <c r="Z108" i="51"/>
  <c r="Y108" i="51"/>
  <c r="X108" i="51"/>
  <c r="W108" i="51"/>
  <c r="V108" i="51"/>
  <c r="U108" i="51"/>
  <c r="T108" i="51"/>
  <c r="S108" i="51"/>
  <c r="R108" i="51"/>
  <c r="Q108" i="51"/>
  <c r="P108" i="51"/>
  <c r="O108" i="51"/>
  <c r="N108" i="51"/>
  <c r="M108" i="51"/>
  <c r="L108" i="51"/>
  <c r="K108" i="51"/>
  <c r="J108" i="51"/>
  <c r="I108" i="51"/>
  <c r="H108" i="51"/>
  <c r="G108" i="51"/>
  <c r="F108" i="51"/>
  <c r="E108" i="51"/>
  <c r="D108" i="51"/>
  <c r="C108" i="51"/>
  <c r="AJ84" i="51"/>
  <c r="AI84" i="51"/>
  <c r="AH84" i="51"/>
  <c r="AG84" i="51"/>
  <c r="AF84" i="51"/>
  <c r="AE84" i="51"/>
  <c r="AD84" i="51"/>
  <c r="AC84" i="51"/>
  <c r="AB84" i="51"/>
  <c r="AA84" i="51"/>
  <c r="Z84" i="51"/>
  <c r="Y84" i="51"/>
  <c r="X84" i="51"/>
  <c r="W84" i="51"/>
  <c r="V84" i="51"/>
  <c r="U84" i="51"/>
  <c r="T84" i="51"/>
  <c r="S84" i="51"/>
  <c r="R84" i="51"/>
  <c r="Q84" i="51"/>
  <c r="P84" i="51"/>
  <c r="O84" i="51"/>
  <c r="N84" i="51"/>
  <c r="M84" i="51"/>
  <c r="L84" i="51"/>
  <c r="K84" i="51"/>
  <c r="J84" i="51"/>
  <c r="I84" i="51"/>
  <c r="H84" i="51"/>
  <c r="G84" i="51"/>
  <c r="F84" i="51"/>
  <c r="E84" i="51"/>
  <c r="D84" i="51"/>
  <c r="C84" i="51"/>
  <c r="AJ72" i="51"/>
  <c r="AI72" i="51"/>
  <c r="AH72" i="51"/>
  <c r="AG72" i="51"/>
  <c r="AF72" i="51"/>
  <c r="AE72" i="51"/>
  <c r="AD72" i="51"/>
  <c r="AC72" i="51"/>
  <c r="AB72" i="51"/>
  <c r="AA72" i="51"/>
  <c r="Z72" i="51"/>
  <c r="Y72" i="51"/>
  <c r="X72" i="51"/>
  <c r="W72" i="51"/>
  <c r="V72" i="51"/>
  <c r="U72" i="51"/>
  <c r="T72" i="51"/>
  <c r="S72" i="51"/>
  <c r="R72" i="51"/>
  <c r="Q72" i="51"/>
  <c r="P72" i="51"/>
  <c r="O72" i="51"/>
  <c r="N72" i="51"/>
  <c r="M72" i="51"/>
  <c r="L72" i="51"/>
  <c r="K72" i="51"/>
  <c r="J72" i="51"/>
  <c r="I72" i="51"/>
  <c r="H72" i="51"/>
  <c r="G72" i="51"/>
  <c r="F72" i="51"/>
  <c r="E72" i="51"/>
  <c r="D72" i="51"/>
  <c r="C72" i="51"/>
  <c r="AJ60" i="51"/>
  <c r="AI60" i="51"/>
  <c r="AH60" i="51"/>
  <c r="AG60" i="51"/>
  <c r="AF60" i="51"/>
  <c r="AE60" i="51"/>
  <c r="AD60" i="51"/>
  <c r="AC60" i="51"/>
  <c r="AB60" i="51"/>
  <c r="AA60" i="51"/>
  <c r="Z60" i="51"/>
  <c r="Y60" i="51"/>
  <c r="X60" i="51"/>
  <c r="W60" i="51"/>
  <c r="V60" i="51"/>
  <c r="U60" i="51"/>
  <c r="T60" i="51"/>
  <c r="S60" i="51"/>
  <c r="R60" i="51"/>
  <c r="Q60" i="51"/>
  <c r="P60" i="51"/>
  <c r="O60" i="51"/>
  <c r="N60" i="51"/>
  <c r="M60" i="51"/>
  <c r="L60" i="51"/>
  <c r="K60" i="51"/>
  <c r="J60" i="51"/>
  <c r="I60" i="51"/>
  <c r="H60" i="51"/>
  <c r="G60" i="51"/>
  <c r="F60" i="51"/>
  <c r="E60" i="51"/>
  <c r="D60" i="51"/>
  <c r="C60" i="51"/>
  <c r="AJ47" i="51"/>
  <c r="AI47" i="51"/>
  <c r="AH47" i="51"/>
  <c r="AG47" i="51"/>
  <c r="AF47" i="51"/>
  <c r="AE47" i="51"/>
  <c r="AD47" i="51"/>
  <c r="AC47" i="51"/>
  <c r="AB47" i="51"/>
  <c r="AA47" i="51"/>
  <c r="Z47" i="51"/>
  <c r="Y47" i="51"/>
  <c r="X47" i="51"/>
  <c r="W47" i="51"/>
  <c r="V47" i="51"/>
  <c r="U47" i="51"/>
  <c r="T47" i="51"/>
  <c r="S47" i="51"/>
  <c r="R47" i="51"/>
  <c r="Q47" i="51"/>
  <c r="P47" i="51"/>
  <c r="O47" i="51"/>
  <c r="N47" i="51"/>
  <c r="M47" i="51"/>
  <c r="L47" i="51"/>
  <c r="K47" i="51"/>
  <c r="J47" i="51"/>
  <c r="I47" i="51"/>
  <c r="H47" i="51"/>
  <c r="G47" i="51"/>
  <c r="F47" i="51"/>
  <c r="E47" i="51"/>
  <c r="D47" i="51"/>
  <c r="C47" i="51"/>
  <c r="AJ35" i="51"/>
  <c r="AI35" i="51"/>
  <c r="AH35" i="51"/>
  <c r="AG35" i="51"/>
  <c r="AF35" i="51"/>
  <c r="AE35" i="51"/>
  <c r="AD35" i="51"/>
  <c r="AC35" i="51"/>
  <c r="AB35" i="51"/>
  <c r="AA35" i="51"/>
  <c r="Z35" i="51"/>
  <c r="Y35" i="51"/>
  <c r="X35" i="51"/>
  <c r="W35" i="51"/>
  <c r="V35" i="51"/>
  <c r="U35" i="51"/>
  <c r="T35" i="51"/>
  <c r="S35" i="51"/>
  <c r="R35" i="51"/>
  <c r="Q35" i="51"/>
  <c r="P35" i="51"/>
  <c r="O35" i="51"/>
  <c r="N35" i="51"/>
  <c r="M35" i="51"/>
  <c r="L35" i="51"/>
  <c r="K35" i="51"/>
  <c r="J35" i="51"/>
  <c r="I35" i="51"/>
  <c r="H35" i="51"/>
  <c r="G35" i="51"/>
  <c r="F35" i="51"/>
  <c r="E35" i="51"/>
  <c r="D35" i="51"/>
  <c r="C35" i="51"/>
  <c r="D23" i="51"/>
  <c r="E23" i="51"/>
  <c r="F23" i="51"/>
  <c r="G23" i="51"/>
  <c r="H23" i="51"/>
  <c r="I23" i="51"/>
  <c r="J23" i="51"/>
  <c r="K23" i="51"/>
  <c r="L23" i="51"/>
  <c r="M23" i="51"/>
  <c r="N23" i="51"/>
  <c r="O23" i="51"/>
  <c r="P23" i="51"/>
  <c r="Q23" i="51"/>
  <c r="R23" i="51"/>
  <c r="S23" i="51"/>
  <c r="T23" i="51"/>
  <c r="U23" i="51"/>
  <c r="V23" i="51"/>
  <c r="W23" i="51"/>
  <c r="X23" i="51"/>
  <c r="Y23" i="51"/>
  <c r="Z23" i="51"/>
  <c r="AA23" i="51"/>
  <c r="AB23" i="51"/>
  <c r="AC23" i="51"/>
  <c r="AD23" i="51"/>
  <c r="AE23" i="51"/>
  <c r="AF23" i="51"/>
  <c r="AG23" i="51"/>
  <c r="AH23" i="51"/>
  <c r="AI23" i="51"/>
  <c r="AJ23" i="51"/>
  <c r="C23" i="51"/>
  <c r="AJ54" i="33"/>
  <c r="AK54" i="33"/>
  <c r="AL54" i="33"/>
  <c r="AM54" i="33"/>
  <c r="AN54" i="33"/>
  <c r="AO54" i="33"/>
  <c r="AJ55" i="33"/>
  <c r="AK55" i="33"/>
  <c r="AL55" i="33"/>
  <c r="AM55" i="33"/>
  <c r="AN55" i="33"/>
  <c r="AO55" i="33"/>
  <c r="AJ56" i="33"/>
  <c r="AK56" i="33"/>
  <c r="AL56" i="33"/>
  <c r="AM56" i="33"/>
  <c r="AN56" i="33"/>
  <c r="AO56" i="33"/>
  <c r="AJ57" i="33"/>
  <c r="AK57" i="33"/>
  <c r="AL57" i="33"/>
  <c r="AM57" i="33"/>
  <c r="AN57" i="33"/>
  <c r="AO57" i="33"/>
  <c r="AJ58" i="33"/>
  <c r="AK58" i="33"/>
  <c r="AL58" i="33"/>
  <c r="AM58" i="33"/>
  <c r="AN58" i="33"/>
  <c r="AO58" i="33"/>
  <c r="AJ59" i="33"/>
  <c r="AK59" i="33"/>
  <c r="AL59" i="33"/>
  <c r="AM59" i="33"/>
  <c r="AN59" i="33"/>
  <c r="AO59" i="33"/>
  <c r="AJ60" i="33"/>
  <c r="AK60" i="33"/>
  <c r="AL60" i="33"/>
  <c r="AM60" i="33"/>
  <c r="AN60" i="33"/>
  <c r="AO60" i="33"/>
  <c r="AJ61" i="33"/>
  <c r="AK61" i="33"/>
  <c r="AL61" i="33"/>
  <c r="AM61" i="33"/>
  <c r="AN61" i="33"/>
  <c r="AO61" i="33"/>
  <c r="AJ62" i="33"/>
  <c r="AK62" i="33"/>
  <c r="AL62" i="33"/>
  <c r="AM62" i="33"/>
  <c r="AN62" i="33"/>
  <c r="AO62" i="33"/>
  <c r="AJ63" i="33"/>
  <c r="AK63" i="33"/>
  <c r="AL63" i="33"/>
  <c r="AM63" i="33"/>
  <c r="AN63" i="33"/>
  <c r="AO63" i="33"/>
  <c r="AJ64" i="33"/>
  <c r="AK64" i="33"/>
  <c r="AL64" i="33"/>
  <c r="AM64" i="33"/>
  <c r="AN64" i="33"/>
  <c r="AO64" i="33"/>
  <c r="AJ65" i="33"/>
  <c r="AK65" i="33"/>
  <c r="AL65" i="33"/>
  <c r="AM65" i="33"/>
  <c r="AN65" i="33"/>
  <c r="AO65" i="33"/>
  <c r="AJ66" i="33"/>
  <c r="AK66" i="33"/>
  <c r="AL66" i="33"/>
  <c r="AM66" i="33"/>
  <c r="AN66" i="33"/>
  <c r="AO66" i="33"/>
  <c r="AJ67" i="33"/>
  <c r="AK67" i="33"/>
  <c r="AL67" i="33"/>
  <c r="AM67" i="33"/>
  <c r="AN67" i="33"/>
  <c r="AO67" i="33"/>
  <c r="AJ68" i="33"/>
  <c r="AK68" i="33"/>
  <c r="AL68" i="33"/>
  <c r="AM68" i="33"/>
  <c r="AN68" i="33"/>
  <c r="AO68" i="33"/>
  <c r="AJ69" i="33"/>
  <c r="AK69" i="33"/>
  <c r="AL69" i="33"/>
  <c r="AM69" i="33"/>
  <c r="AN69" i="33"/>
  <c r="AO69" i="33"/>
  <c r="AJ70" i="33"/>
  <c r="AK70" i="33"/>
  <c r="AL70" i="33"/>
  <c r="AM70" i="33"/>
  <c r="AN70" i="33"/>
  <c r="AO70" i="33"/>
  <c r="AJ71" i="33"/>
  <c r="AK71" i="33"/>
  <c r="AL71" i="33"/>
  <c r="AM71" i="33"/>
  <c r="AN71" i="33"/>
  <c r="AO71" i="33"/>
  <c r="I54" i="33"/>
  <c r="J54" i="33"/>
  <c r="K54" i="33"/>
  <c r="L54" i="33"/>
  <c r="M54" i="33"/>
  <c r="N54" i="33"/>
  <c r="O54" i="33"/>
  <c r="P54" i="33"/>
  <c r="Q54" i="33"/>
  <c r="R54" i="33"/>
  <c r="S54" i="33"/>
  <c r="T54" i="33"/>
  <c r="U54" i="33"/>
  <c r="V54" i="33"/>
  <c r="W54" i="33"/>
  <c r="X54" i="33"/>
  <c r="Y54" i="33"/>
  <c r="Z54" i="33"/>
  <c r="AA54" i="33"/>
  <c r="AB54" i="33"/>
  <c r="AC54" i="33"/>
  <c r="AD54" i="33"/>
  <c r="AE54" i="33"/>
  <c r="AF54" i="33"/>
  <c r="AG54" i="33"/>
  <c r="AH54" i="33"/>
  <c r="AI54" i="33"/>
  <c r="I55" i="33"/>
  <c r="J55" i="33"/>
  <c r="K55" i="33"/>
  <c r="L55" i="33"/>
  <c r="M55" i="33"/>
  <c r="N55" i="33"/>
  <c r="O55" i="33"/>
  <c r="P55" i="33"/>
  <c r="Q55" i="33"/>
  <c r="R55" i="33"/>
  <c r="S55" i="33"/>
  <c r="T55" i="33"/>
  <c r="U55" i="33"/>
  <c r="V55" i="33"/>
  <c r="W55" i="33"/>
  <c r="X55" i="33"/>
  <c r="Y55" i="33"/>
  <c r="Z55" i="33"/>
  <c r="AA55" i="33"/>
  <c r="AB55" i="33"/>
  <c r="AC55" i="33"/>
  <c r="AD55" i="33"/>
  <c r="AE55" i="33"/>
  <c r="AF55" i="33"/>
  <c r="AG55" i="33"/>
  <c r="AH55" i="33"/>
  <c r="AI55" i="33"/>
  <c r="I56" i="33"/>
  <c r="J56" i="33"/>
  <c r="K56" i="33"/>
  <c r="L56" i="33"/>
  <c r="M56" i="33"/>
  <c r="N56" i="33"/>
  <c r="O56" i="33"/>
  <c r="P56" i="33"/>
  <c r="Q56" i="33"/>
  <c r="R56" i="33"/>
  <c r="S56" i="33"/>
  <c r="T56" i="33"/>
  <c r="U56" i="33"/>
  <c r="V56" i="33"/>
  <c r="W56" i="33"/>
  <c r="X56" i="33"/>
  <c r="Y56" i="33"/>
  <c r="Z56" i="33"/>
  <c r="AA56" i="33"/>
  <c r="AB56" i="33"/>
  <c r="AC56" i="33"/>
  <c r="AD56" i="33"/>
  <c r="AE56" i="33"/>
  <c r="AF56" i="33"/>
  <c r="AG56" i="33"/>
  <c r="AH56" i="33"/>
  <c r="AI56" i="33"/>
  <c r="I57" i="33"/>
  <c r="J57" i="33"/>
  <c r="K57" i="33"/>
  <c r="L57" i="33"/>
  <c r="M57" i="33"/>
  <c r="N57" i="33"/>
  <c r="O57" i="33"/>
  <c r="P57" i="33"/>
  <c r="Q57" i="33"/>
  <c r="R57" i="33"/>
  <c r="S57" i="33"/>
  <c r="T57" i="33"/>
  <c r="U57" i="33"/>
  <c r="V57" i="33"/>
  <c r="W57" i="33"/>
  <c r="X57" i="33"/>
  <c r="Y57" i="33"/>
  <c r="Z57" i="33"/>
  <c r="AA57" i="33"/>
  <c r="AB57" i="33"/>
  <c r="AC57" i="33"/>
  <c r="AD57" i="33"/>
  <c r="AE57" i="33"/>
  <c r="AF57" i="33"/>
  <c r="AG57" i="33"/>
  <c r="AH57" i="33"/>
  <c r="AI57" i="33"/>
  <c r="I58" i="33"/>
  <c r="J58" i="33"/>
  <c r="K58" i="33"/>
  <c r="L58" i="33"/>
  <c r="M58" i="33"/>
  <c r="N58" i="33"/>
  <c r="O58" i="33"/>
  <c r="P58" i="33"/>
  <c r="Q58" i="33"/>
  <c r="R58" i="33"/>
  <c r="S58" i="33"/>
  <c r="T58" i="33"/>
  <c r="U58" i="33"/>
  <c r="V58" i="33"/>
  <c r="W58" i="33"/>
  <c r="X58" i="33"/>
  <c r="Y58" i="33"/>
  <c r="Z58" i="33"/>
  <c r="AA58" i="33"/>
  <c r="AB58" i="33"/>
  <c r="AC58" i="33"/>
  <c r="AD58" i="33"/>
  <c r="AE58" i="33"/>
  <c r="AF58" i="33"/>
  <c r="AG58" i="33"/>
  <c r="AH58" i="33"/>
  <c r="AI58" i="33"/>
  <c r="I59" i="33"/>
  <c r="J59" i="33"/>
  <c r="K59" i="33"/>
  <c r="L59" i="33"/>
  <c r="M59" i="33"/>
  <c r="N59" i="33"/>
  <c r="O59" i="33"/>
  <c r="P59" i="33"/>
  <c r="Q59" i="33"/>
  <c r="R59" i="33"/>
  <c r="S59" i="33"/>
  <c r="T59" i="33"/>
  <c r="U59" i="33"/>
  <c r="V59" i="33"/>
  <c r="W59" i="33"/>
  <c r="X59" i="33"/>
  <c r="Y59" i="33"/>
  <c r="Z59" i="33"/>
  <c r="AA59" i="33"/>
  <c r="AB59" i="33"/>
  <c r="AC59" i="33"/>
  <c r="AD59" i="33"/>
  <c r="AE59" i="33"/>
  <c r="AF59" i="33"/>
  <c r="AG59" i="33"/>
  <c r="AH59" i="33"/>
  <c r="AI59" i="33"/>
  <c r="I60" i="33"/>
  <c r="J60" i="33"/>
  <c r="K60" i="33"/>
  <c r="L60" i="33"/>
  <c r="M60" i="33"/>
  <c r="N60" i="33"/>
  <c r="O60" i="33"/>
  <c r="P60" i="33"/>
  <c r="Q60" i="33"/>
  <c r="R60" i="33"/>
  <c r="S60" i="33"/>
  <c r="T60" i="33"/>
  <c r="U60" i="33"/>
  <c r="V60" i="33"/>
  <c r="W60" i="33"/>
  <c r="X60" i="33"/>
  <c r="Y60" i="33"/>
  <c r="Z60" i="33"/>
  <c r="AA60" i="33"/>
  <c r="AB60" i="33"/>
  <c r="AC60" i="33"/>
  <c r="AD60" i="33"/>
  <c r="AE60" i="33"/>
  <c r="AF60" i="33"/>
  <c r="AG60" i="33"/>
  <c r="AH60" i="33"/>
  <c r="AI60" i="33"/>
  <c r="I61" i="33"/>
  <c r="J61" i="33"/>
  <c r="K61" i="33"/>
  <c r="L61" i="33"/>
  <c r="M61" i="33"/>
  <c r="N61" i="33"/>
  <c r="O61" i="33"/>
  <c r="P61" i="33"/>
  <c r="Q61" i="33"/>
  <c r="R61" i="33"/>
  <c r="S61" i="33"/>
  <c r="T61" i="33"/>
  <c r="U61" i="33"/>
  <c r="V61" i="33"/>
  <c r="W61" i="33"/>
  <c r="X61" i="33"/>
  <c r="Y61" i="33"/>
  <c r="Z61" i="33"/>
  <c r="AA61" i="33"/>
  <c r="AB61" i="33"/>
  <c r="AC61" i="33"/>
  <c r="AD61" i="33"/>
  <c r="AE61" i="33"/>
  <c r="AF61" i="33"/>
  <c r="AG61" i="33"/>
  <c r="AH61" i="33"/>
  <c r="AI61" i="33"/>
  <c r="I62" i="33"/>
  <c r="J62" i="33"/>
  <c r="K62" i="33"/>
  <c r="L62" i="33"/>
  <c r="M62" i="33"/>
  <c r="N62" i="33"/>
  <c r="O62" i="33"/>
  <c r="P62" i="33"/>
  <c r="Q62" i="33"/>
  <c r="R62" i="33"/>
  <c r="S62" i="33"/>
  <c r="T62" i="33"/>
  <c r="U62" i="33"/>
  <c r="V62" i="33"/>
  <c r="W62" i="33"/>
  <c r="X62" i="33"/>
  <c r="Y62" i="33"/>
  <c r="Z62" i="33"/>
  <c r="AA62" i="33"/>
  <c r="AB62" i="33"/>
  <c r="AC62" i="33"/>
  <c r="AD62" i="33"/>
  <c r="AE62" i="33"/>
  <c r="AF62" i="33"/>
  <c r="AG62" i="33"/>
  <c r="AH62" i="33"/>
  <c r="AI62" i="33"/>
  <c r="I63" i="33"/>
  <c r="J63" i="33"/>
  <c r="K63" i="33"/>
  <c r="L63" i="33"/>
  <c r="M63" i="33"/>
  <c r="N63" i="33"/>
  <c r="O63" i="33"/>
  <c r="P63" i="33"/>
  <c r="Q63" i="33"/>
  <c r="R63" i="33"/>
  <c r="S63" i="33"/>
  <c r="T63" i="33"/>
  <c r="U63" i="33"/>
  <c r="V63" i="33"/>
  <c r="W63" i="33"/>
  <c r="X63" i="33"/>
  <c r="Y63" i="33"/>
  <c r="Z63" i="33"/>
  <c r="AA63" i="33"/>
  <c r="AB63" i="33"/>
  <c r="AC63" i="33"/>
  <c r="AD63" i="33"/>
  <c r="AE63" i="33"/>
  <c r="AF63" i="33"/>
  <c r="AG63" i="33"/>
  <c r="AH63" i="33"/>
  <c r="AI63" i="33"/>
  <c r="I64" i="33"/>
  <c r="J64" i="33"/>
  <c r="K64" i="33"/>
  <c r="L64" i="33"/>
  <c r="M64" i="33"/>
  <c r="N64" i="33"/>
  <c r="O64" i="33"/>
  <c r="P64" i="33"/>
  <c r="Q64" i="33"/>
  <c r="R64" i="33"/>
  <c r="S64" i="33"/>
  <c r="T64" i="33"/>
  <c r="U64" i="33"/>
  <c r="V64" i="33"/>
  <c r="W64" i="33"/>
  <c r="X64" i="33"/>
  <c r="Y64" i="33"/>
  <c r="Z64" i="33"/>
  <c r="AA64" i="33"/>
  <c r="AB64" i="33"/>
  <c r="AC64" i="33"/>
  <c r="AD64" i="33"/>
  <c r="AE64" i="33"/>
  <c r="AF64" i="33"/>
  <c r="AG64" i="33"/>
  <c r="AH64" i="33"/>
  <c r="AI64" i="33"/>
  <c r="I65" i="33"/>
  <c r="J65" i="33"/>
  <c r="K65" i="33"/>
  <c r="L65" i="33"/>
  <c r="M65" i="33"/>
  <c r="N65" i="33"/>
  <c r="O65" i="33"/>
  <c r="P65" i="33"/>
  <c r="Q65" i="33"/>
  <c r="R65" i="33"/>
  <c r="S65" i="33"/>
  <c r="T65" i="33"/>
  <c r="U65" i="33"/>
  <c r="V65" i="33"/>
  <c r="W65" i="33"/>
  <c r="X65" i="33"/>
  <c r="Y65" i="33"/>
  <c r="Z65" i="33"/>
  <c r="AA65" i="33"/>
  <c r="AB65" i="33"/>
  <c r="AC65" i="33"/>
  <c r="AD65" i="33"/>
  <c r="AE65" i="33"/>
  <c r="AF65" i="33"/>
  <c r="AG65" i="33"/>
  <c r="AH65" i="33"/>
  <c r="AI65" i="33"/>
  <c r="I66" i="33"/>
  <c r="J66" i="33"/>
  <c r="K66" i="33"/>
  <c r="L66" i="33"/>
  <c r="M66" i="33"/>
  <c r="N66" i="33"/>
  <c r="O66" i="33"/>
  <c r="P66" i="33"/>
  <c r="Q66" i="33"/>
  <c r="R66" i="33"/>
  <c r="S66" i="33"/>
  <c r="T66" i="33"/>
  <c r="U66" i="33"/>
  <c r="V66" i="33"/>
  <c r="W66" i="33"/>
  <c r="X66" i="33"/>
  <c r="Y66" i="33"/>
  <c r="Z66" i="33"/>
  <c r="AA66" i="33"/>
  <c r="AB66" i="33"/>
  <c r="AC66" i="33"/>
  <c r="AD66" i="33"/>
  <c r="AE66" i="33"/>
  <c r="AF66" i="33"/>
  <c r="AG66" i="33"/>
  <c r="AH66" i="33"/>
  <c r="AI66" i="33"/>
  <c r="I67" i="33"/>
  <c r="J67" i="33"/>
  <c r="K67" i="33"/>
  <c r="L67" i="33"/>
  <c r="M67" i="33"/>
  <c r="N67" i="33"/>
  <c r="O67" i="33"/>
  <c r="P67" i="33"/>
  <c r="Q67" i="33"/>
  <c r="R67" i="33"/>
  <c r="S67" i="33"/>
  <c r="T67" i="33"/>
  <c r="U67" i="33"/>
  <c r="V67" i="33"/>
  <c r="W67" i="33"/>
  <c r="X67" i="33"/>
  <c r="Y67" i="33"/>
  <c r="Z67" i="33"/>
  <c r="AA67" i="33"/>
  <c r="AB67" i="33"/>
  <c r="AC67" i="33"/>
  <c r="AD67" i="33"/>
  <c r="AE67" i="33"/>
  <c r="AF67" i="33"/>
  <c r="AG67" i="33"/>
  <c r="AH67" i="33"/>
  <c r="AI67" i="33"/>
  <c r="I68" i="33"/>
  <c r="J68" i="33"/>
  <c r="K68" i="33"/>
  <c r="L68" i="33"/>
  <c r="M68" i="33"/>
  <c r="N68" i="33"/>
  <c r="O68" i="33"/>
  <c r="P68" i="33"/>
  <c r="Q68" i="33"/>
  <c r="R68" i="33"/>
  <c r="S68" i="33"/>
  <c r="T68" i="33"/>
  <c r="U68" i="33"/>
  <c r="V68" i="33"/>
  <c r="W68" i="33"/>
  <c r="X68" i="33"/>
  <c r="Y68" i="33"/>
  <c r="Z68" i="33"/>
  <c r="AA68" i="33"/>
  <c r="AB68" i="33"/>
  <c r="AC68" i="33"/>
  <c r="AD68" i="33"/>
  <c r="AE68" i="33"/>
  <c r="AF68" i="33"/>
  <c r="AG68" i="33"/>
  <c r="AH68" i="33"/>
  <c r="AI68" i="33"/>
  <c r="I69" i="33"/>
  <c r="J69" i="33"/>
  <c r="K69" i="33"/>
  <c r="L69" i="33"/>
  <c r="M69" i="33"/>
  <c r="N69" i="33"/>
  <c r="O69" i="33"/>
  <c r="P69" i="33"/>
  <c r="Q69" i="33"/>
  <c r="R69" i="33"/>
  <c r="S69" i="33"/>
  <c r="T69" i="33"/>
  <c r="U69" i="33"/>
  <c r="V69" i="33"/>
  <c r="W69" i="33"/>
  <c r="X69" i="33"/>
  <c r="Y69" i="33"/>
  <c r="Z69" i="33"/>
  <c r="AA69" i="33"/>
  <c r="AB69" i="33"/>
  <c r="AC69" i="33"/>
  <c r="AD69" i="33"/>
  <c r="AE69" i="33"/>
  <c r="AF69" i="33"/>
  <c r="AG69" i="33"/>
  <c r="AH69" i="33"/>
  <c r="AI69" i="33"/>
  <c r="I70" i="33"/>
  <c r="J70" i="33"/>
  <c r="K70" i="33"/>
  <c r="L70" i="33"/>
  <c r="M70" i="33"/>
  <c r="N70" i="33"/>
  <c r="O70" i="33"/>
  <c r="P70" i="33"/>
  <c r="Q70" i="33"/>
  <c r="R70" i="33"/>
  <c r="S70" i="33"/>
  <c r="T70" i="33"/>
  <c r="U70" i="33"/>
  <c r="V70" i="33"/>
  <c r="W70" i="33"/>
  <c r="X70" i="33"/>
  <c r="Y70" i="33"/>
  <c r="Z70" i="33"/>
  <c r="AA70" i="33"/>
  <c r="AB70" i="33"/>
  <c r="AC70" i="33"/>
  <c r="AD70" i="33"/>
  <c r="AE70" i="33"/>
  <c r="AF70" i="33"/>
  <c r="AG70" i="33"/>
  <c r="AH70" i="33"/>
  <c r="AI70" i="33"/>
  <c r="I71" i="33"/>
  <c r="J71" i="33"/>
  <c r="K71" i="33"/>
  <c r="L71" i="33"/>
  <c r="M71" i="33"/>
  <c r="N71" i="33"/>
  <c r="O71" i="33"/>
  <c r="P71" i="33"/>
  <c r="Q71" i="33"/>
  <c r="R71" i="33"/>
  <c r="S71" i="33"/>
  <c r="T71" i="33"/>
  <c r="U71" i="33"/>
  <c r="V71" i="33"/>
  <c r="W71" i="33"/>
  <c r="X71" i="33"/>
  <c r="Y71" i="33"/>
  <c r="Z71" i="33"/>
  <c r="AA71" i="33"/>
  <c r="AB71" i="33"/>
  <c r="AC71" i="33"/>
  <c r="AD71" i="33"/>
  <c r="AE71" i="33"/>
  <c r="AF71" i="33"/>
  <c r="AG71" i="33"/>
  <c r="AH71" i="33"/>
  <c r="AI71" i="33"/>
  <c r="H71" i="33"/>
  <c r="H70" i="33"/>
  <c r="H69" i="33"/>
  <c r="H68" i="33"/>
  <c r="H67" i="33"/>
  <c r="H66" i="33"/>
  <c r="H65" i="33"/>
  <c r="H64" i="33"/>
  <c r="H63" i="33"/>
  <c r="H62" i="33"/>
  <c r="S5" i="47" l="1"/>
  <c r="S4" i="57"/>
  <c r="H61" i="33"/>
  <c r="H60" i="33"/>
  <c r="H59" i="33"/>
  <c r="H58" i="33"/>
  <c r="H57" i="33"/>
  <c r="H56" i="33"/>
  <c r="H55" i="33"/>
  <c r="H54" i="33"/>
  <c r="AD8" i="50" l="1"/>
  <c r="AI8" i="36" s="1"/>
  <c r="AD9" i="50" s="1"/>
  <c r="R5" i="47"/>
  <c r="R4" i="57"/>
  <c r="A82" i="33"/>
  <c r="B82" i="33"/>
  <c r="C82" i="33"/>
  <c r="E82" i="33"/>
  <c r="F82" i="33"/>
  <c r="G82" i="33"/>
  <c r="D42" i="50"/>
  <c r="E42" i="50"/>
  <c r="F42" i="50"/>
  <c r="G42" i="50"/>
  <c r="H42" i="50"/>
  <c r="I42" i="50"/>
  <c r="J42" i="50"/>
  <c r="K42" i="50"/>
  <c r="L42" i="50"/>
  <c r="M42" i="50"/>
  <c r="N42" i="50"/>
  <c r="O42" i="50"/>
  <c r="P42" i="50"/>
  <c r="Q42" i="50"/>
  <c r="R42" i="50"/>
  <c r="S42" i="50"/>
  <c r="T42" i="50"/>
  <c r="C42" i="50"/>
  <c r="AJ42" i="36"/>
  <c r="AK42" i="36" s="1"/>
  <c r="AL42" i="36" s="1"/>
  <c r="AM42" i="36" s="1"/>
  <c r="AN42" i="36" s="1"/>
  <c r="AO42" i="36" s="1"/>
  <c r="AP42" i="36" s="1"/>
  <c r="AQ42" i="36" s="1"/>
  <c r="AR42" i="36" s="1"/>
  <c r="AS42" i="36" s="1"/>
  <c r="AT42" i="36" s="1"/>
  <c r="AU42" i="36" s="1"/>
  <c r="AV42" i="36" s="1"/>
  <c r="AW42" i="36" s="1"/>
  <c r="AX42" i="36" s="1"/>
  <c r="AY42" i="36" s="1"/>
  <c r="AZ42" i="36" s="1"/>
  <c r="BA42" i="36" s="1"/>
  <c r="BB42" i="36" s="1"/>
  <c r="BC42" i="36" s="1"/>
  <c r="BD42" i="36" s="1"/>
  <c r="BE42" i="36" s="1"/>
  <c r="BF42" i="36" s="1"/>
  <c r="BG42" i="36" s="1"/>
  <c r="BH42" i="36" s="1"/>
  <c r="BI42" i="36" s="1"/>
  <c r="BJ42" i="36" s="1"/>
  <c r="BK42" i="36" s="1"/>
  <c r="BL42" i="36" s="1"/>
  <c r="BM42" i="36" s="1"/>
  <c r="BN42" i="36" s="1"/>
  <c r="BO42" i="36" s="1"/>
  <c r="BP42" i="36" s="1"/>
  <c r="Q5" i="47" l="1"/>
  <c r="Q4" i="57"/>
  <c r="D39" i="50"/>
  <c r="E39" i="50"/>
  <c r="F39" i="50"/>
  <c r="G39" i="50"/>
  <c r="H39" i="50"/>
  <c r="I39" i="50"/>
  <c r="J39" i="50"/>
  <c r="K39" i="50"/>
  <c r="L39" i="50"/>
  <c r="M39" i="50"/>
  <c r="N39" i="50"/>
  <c r="O39" i="50"/>
  <c r="P39" i="50"/>
  <c r="Q39" i="50"/>
  <c r="R39" i="50"/>
  <c r="S39" i="50"/>
  <c r="T39" i="50"/>
  <c r="C39" i="50"/>
  <c r="D35" i="50"/>
  <c r="E35" i="50"/>
  <c r="F35" i="50"/>
  <c r="G35" i="50"/>
  <c r="H35" i="50"/>
  <c r="I35" i="50"/>
  <c r="J35" i="50"/>
  <c r="K35" i="50"/>
  <c r="L35" i="50"/>
  <c r="M35" i="50"/>
  <c r="N35" i="50"/>
  <c r="O35" i="50"/>
  <c r="P35" i="50"/>
  <c r="Q35" i="50"/>
  <c r="R35" i="50"/>
  <c r="S35" i="50"/>
  <c r="T35" i="50"/>
  <c r="C35" i="50"/>
  <c r="D31" i="50"/>
  <c r="E31" i="50"/>
  <c r="F31" i="50"/>
  <c r="G31" i="50"/>
  <c r="H31" i="50"/>
  <c r="I31" i="50"/>
  <c r="J31" i="50"/>
  <c r="K31" i="50"/>
  <c r="L31" i="50"/>
  <c r="M31" i="50"/>
  <c r="N31" i="50"/>
  <c r="O31" i="50"/>
  <c r="P31" i="50"/>
  <c r="Q31" i="50"/>
  <c r="R31" i="50"/>
  <c r="S31" i="50"/>
  <c r="T31" i="50"/>
  <c r="C31" i="50"/>
  <c r="D26" i="50"/>
  <c r="E26" i="50"/>
  <c r="F26" i="50"/>
  <c r="G26" i="50"/>
  <c r="H26" i="50"/>
  <c r="I26" i="50"/>
  <c r="J26" i="50"/>
  <c r="K26" i="50"/>
  <c r="L26" i="50"/>
  <c r="M26" i="50"/>
  <c r="N26" i="50"/>
  <c r="O26" i="50"/>
  <c r="P26" i="50"/>
  <c r="Q26" i="50"/>
  <c r="R26" i="50"/>
  <c r="S26" i="50"/>
  <c r="T26" i="50"/>
  <c r="C26" i="50"/>
  <c r="D18" i="50"/>
  <c r="E18" i="50"/>
  <c r="F18" i="50"/>
  <c r="G18" i="50"/>
  <c r="H18" i="50"/>
  <c r="I18" i="50"/>
  <c r="J18" i="50"/>
  <c r="K18" i="50"/>
  <c r="L18" i="50"/>
  <c r="M18" i="50"/>
  <c r="N18" i="50"/>
  <c r="O18" i="50"/>
  <c r="P18" i="50"/>
  <c r="Q18" i="50"/>
  <c r="R18" i="50"/>
  <c r="S18" i="50"/>
  <c r="T18" i="50"/>
  <c r="C18" i="50"/>
  <c r="D12" i="50"/>
  <c r="E12" i="50"/>
  <c r="F12" i="50"/>
  <c r="G12" i="50"/>
  <c r="H12" i="50"/>
  <c r="I12" i="50"/>
  <c r="J12" i="50"/>
  <c r="K12" i="50"/>
  <c r="L12" i="50"/>
  <c r="M12" i="50"/>
  <c r="N12" i="50"/>
  <c r="O12" i="50"/>
  <c r="P12" i="50"/>
  <c r="Q12" i="50"/>
  <c r="R12" i="50"/>
  <c r="S12" i="50"/>
  <c r="T12" i="50"/>
  <c r="C12" i="50"/>
  <c r="P4" i="50"/>
  <c r="Q4" i="50"/>
  <c r="R4" i="50"/>
  <c r="S4" i="50"/>
  <c r="T4" i="50"/>
  <c r="U4" i="50"/>
  <c r="V4" i="50"/>
  <c r="W4" i="50"/>
  <c r="X4" i="50"/>
  <c r="Y4" i="50"/>
  <c r="Z4" i="50"/>
  <c r="AA4" i="50"/>
  <c r="AB4" i="50"/>
  <c r="AC4" i="50"/>
  <c r="AE4" i="50"/>
  <c r="D6" i="50"/>
  <c r="E6" i="50"/>
  <c r="F6" i="50"/>
  <c r="G6" i="50"/>
  <c r="H6" i="50"/>
  <c r="I6" i="50"/>
  <c r="J6" i="50"/>
  <c r="K6" i="50"/>
  <c r="L6" i="50"/>
  <c r="M6" i="50"/>
  <c r="N6" i="50"/>
  <c r="O6" i="50"/>
  <c r="P6" i="50"/>
  <c r="Q6" i="50"/>
  <c r="R6" i="50"/>
  <c r="S6" i="50"/>
  <c r="T6" i="50"/>
  <c r="C6" i="50"/>
  <c r="O16" i="50" l="1"/>
  <c r="O17" i="50" s="1"/>
  <c r="O20" i="50"/>
  <c r="R16" i="50"/>
  <c r="R17" i="50" s="1"/>
  <c r="R20" i="50"/>
  <c r="N16" i="50"/>
  <c r="N17" i="50" s="1"/>
  <c r="N20" i="50"/>
  <c r="J16" i="50"/>
  <c r="J17" i="50" s="1"/>
  <c r="J20" i="50"/>
  <c r="F16" i="50"/>
  <c r="F17" i="50" s="1"/>
  <c r="F20" i="50"/>
  <c r="K16" i="50"/>
  <c r="K17" i="50" s="1"/>
  <c r="K20" i="50"/>
  <c r="C16" i="50"/>
  <c r="C17" i="50" s="1"/>
  <c r="C20" i="50"/>
  <c r="Q16" i="50"/>
  <c r="Q17" i="50" s="1"/>
  <c r="Q20" i="50"/>
  <c r="M16" i="50"/>
  <c r="M17" i="50" s="1"/>
  <c r="M20" i="50"/>
  <c r="I16" i="50"/>
  <c r="I17" i="50" s="1"/>
  <c r="I20" i="50"/>
  <c r="E16" i="50"/>
  <c r="E17" i="50" s="1"/>
  <c r="E20" i="50"/>
  <c r="S16" i="50"/>
  <c r="S17" i="50" s="1"/>
  <c r="S20" i="50"/>
  <c r="G16" i="50"/>
  <c r="G17" i="50" s="1"/>
  <c r="G20" i="50"/>
  <c r="T16" i="50"/>
  <c r="T17" i="50" s="1"/>
  <c r="T20" i="50"/>
  <c r="P16" i="50"/>
  <c r="P17" i="50" s="1"/>
  <c r="P20" i="50"/>
  <c r="L16" i="50"/>
  <c r="L17" i="50" s="1"/>
  <c r="L20" i="50"/>
  <c r="H16" i="50"/>
  <c r="H17" i="50" s="1"/>
  <c r="H20" i="50"/>
  <c r="D16" i="50"/>
  <c r="D17" i="50" s="1"/>
  <c r="D20" i="50"/>
  <c r="AA10" i="50"/>
  <c r="AA5" i="50"/>
  <c r="AA8" i="50" s="1"/>
  <c r="AF8" i="36" s="1"/>
  <c r="AA9" i="50" s="1"/>
  <c r="AE10" i="50"/>
  <c r="AE5" i="50"/>
  <c r="AE8" i="50" s="1"/>
  <c r="AJ8" i="36" s="1"/>
  <c r="AE9" i="50" s="1"/>
  <c r="Z5" i="50"/>
  <c r="Z8" i="50" s="1"/>
  <c r="AE8" i="36" s="1"/>
  <c r="Z9" i="50" s="1"/>
  <c r="Z10" i="50"/>
  <c r="AC5" i="50"/>
  <c r="AC8" i="50" s="1"/>
  <c r="AH8" i="36" s="1"/>
  <c r="AC9" i="50" s="1"/>
  <c r="AC10" i="50"/>
  <c r="Y10" i="50"/>
  <c r="Y5" i="50"/>
  <c r="Y8" i="50" s="1"/>
  <c r="AD8" i="36" s="1"/>
  <c r="Y9" i="50" s="1"/>
  <c r="AB10" i="50"/>
  <c r="AB5" i="50"/>
  <c r="AB8" i="50" s="1"/>
  <c r="AG8" i="36" s="1"/>
  <c r="AB9" i="50" s="1"/>
  <c r="P5" i="47"/>
  <c r="P4" i="57"/>
  <c r="C19" i="50"/>
  <c r="S19" i="50"/>
  <c r="O19" i="50"/>
  <c r="K19" i="50"/>
  <c r="G19" i="50"/>
  <c r="L19" i="50"/>
  <c r="D19" i="50"/>
  <c r="R19" i="50"/>
  <c r="N19" i="50"/>
  <c r="J19" i="50"/>
  <c r="F19" i="50"/>
  <c r="T19" i="50"/>
  <c r="P19" i="50"/>
  <c r="H19" i="50"/>
  <c r="Q19" i="50"/>
  <c r="M19" i="50"/>
  <c r="I19" i="50"/>
  <c r="E19" i="50"/>
  <c r="O5" i="47" l="1"/>
  <c r="O4" i="57"/>
  <c r="O4" i="50"/>
  <c r="N5" i="47" l="1"/>
  <c r="N4" i="57"/>
  <c r="N4" i="50"/>
  <c r="G76" i="45"/>
  <c r="H76" i="45"/>
  <c r="I76" i="45"/>
  <c r="J76" i="45"/>
  <c r="K76" i="45"/>
  <c r="L76" i="45"/>
  <c r="M76" i="45"/>
  <c r="N76" i="45"/>
  <c r="O76" i="45"/>
  <c r="P76" i="45"/>
  <c r="Q76" i="45"/>
  <c r="R76" i="45"/>
  <c r="S76" i="45"/>
  <c r="T76" i="45"/>
  <c r="U76" i="45"/>
  <c r="V76" i="45"/>
  <c r="W76" i="45"/>
  <c r="X76" i="45"/>
  <c r="Y76" i="45"/>
  <c r="Z76" i="45"/>
  <c r="AA76" i="45"/>
  <c r="AB76" i="45"/>
  <c r="AC76" i="45"/>
  <c r="AD76" i="45"/>
  <c r="AE76" i="45"/>
  <c r="AF76" i="45"/>
  <c r="AG76" i="45"/>
  <c r="F76" i="45"/>
  <c r="D123" i="34"/>
  <c r="B145" i="34"/>
  <c r="B146" i="34" s="1"/>
  <c r="B147" i="34" s="1"/>
  <c r="B148" i="34" s="1"/>
  <c r="B149" i="34" s="1"/>
  <c r="B150" i="34" s="1"/>
  <c r="B151" i="34" s="1"/>
  <c r="B152" i="34" s="1"/>
  <c r="B153" i="34" s="1"/>
  <c r="B154" i="34" s="1"/>
  <c r="B155" i="34" s="1"/>
  <c r="B156" i="34" s="1"/>
  <c r="H112" i="46"/>
  <c r="C109" i="46"/>
  <c r="C110" i="46" s="1"/>
  <c r="C111" i="46" s="1"/>
  <c r="C112" i="46" s="1"/>
  <c r="B109" i="46"/>
  <c r="B110" i="46" s="1"/>
  <c r="B111" i="46" s="1"/>
  <c r="B112" i="46" s="1"/>
  <c r="A109" i="46"/>
  <c r="A110" i="46" s="1"/>
  <c r="A111" i="46" s="1"/>
  <c r="A112" i="46" s="1"/>
  <c r="D135" i="34"/>
  <c r="E135" i="34" s="1"/>
  <c r="D129" i="34"/>
  <c r="E123" i="34"/>
  <c r="B87" i="36"/>
  <c r="B95" i="36" s="1"/>
  <c r="B97" i="36" s="1"/>
  <c r="A87" i="36"/>
  <c r="A93" i="36" s="1"/>
  <c r="B5" i="46"/>
  <c r="B8" i="46"/>
  <c r="S131" i="34" s="1"/>
  <c r="AH4" i="50"/>
  <c r="AI4" i="50"/>
  <c r="AM4" i="50"/>
  <c r="AN4" i="50"/>
  <c r="AO4" i="50"/>
  <c r="AO40" i="34"/>
  <c r="AP40" i="34"/>
  <c r="AQ40" i="34"/>
  <c r="AS40" i="34"/>
  <c r="AT40" i="34"/>
  <c r="AU40" i="34"/>
  <c r="AV40" i="34"/>
  <c r="AW40" i="34"/>
  <c r="AX40" i="34"/>
  <c r="AY40" i="34"/>
  <c r="AZ40" i="34"/>
  <c r="BA40" i="34"/>
  <c r="BB40" i="34"/>
  <c r="BC40" i="34"/>
  <c r="BD40" i="34"/>
  <c r="BE40" i="34"/>
  <c r="BF40" i="34"/>
  <c r="BG40" i="34"/>
  <c r="BH40" i="34"/>
  <c r="BI40" i="34"/>
  <c r="BJ40" i="34"/>
  <c r="BK40" i="34"/>
  <c r="BL40" i="34"/>
  <c r="BM40" i="34"/>
  <c r="BN40" i="34"/>
  <c r="BO40" i="34"/>
  <c r="BP40" i="34"/>
  <c r="AL40" i="34"/>
  <c r="AM40" i="34"/>
  <c r="AR40" i="34" l="1"/>
  <c r="AN40" i="34"/>
  <c r="H125" i="34"/>
  <c r="H129" i="34"/>
  <c r="H134" i="34"/>
  <c r="H128" i="34"/>
  <c r="H126" i="34"/>
  <c r="H130" i="34"/>
  <c r="H135" i="34"/>
  <c r="H124" i="34"/>
  <c r="H132" i="34"/>
  <c r="H127" i="34"/>
  <c r="H131" i="34"/>
  <c r="T145" i="34"/>
  <c r="J145" i="34"/>
  <c r="O145" i="34"/>
  <c r="V145" i="34"/>
  <c r="AA145" i="34"/>
  <c r="J146" i="34"/>
  <c r="N146" i="34"/>
  <c r="R146" i="34"/>
  <c r="V146" i="34"/>
  <c r="Z146" i="34"/>
  <c r="K147" i="34"/>
  <c r="O147" i="34"/>
  <c r="S147" i="34"/>
  <c r="W147" i="34"/>
  <c r="AA147" i="34"/>
  <c r="L148" i="34"/>
  <c r="P148" i="34"/>
  <c r="T148" i="34"/>
  <c r="X148" i="34"/>
  <c r="AB148" i="34"/>
  <c r="I149" i="34"/>
  <c r="M149" i="34"/>
  <c r="Q149" i="34"/>
  <c r="U149" i="34"/>
  <c r="Y149" i="34"/>
  <c r="AC149" i="34"/>
  <c r="J150" i="34"/>
  <c r="N150" i="34"/>
  <c r="R150" i="34"/>
  <c r="V150" i="34"/>
  <c r="Z150" i="34"/>
  <c r="K151" i="34"/>
  <c r="O151" i="34"/>
  <c r="S151" i="34"/>
  <c r="W151" i="34"/>
  <c r="AA151" i="34"/>
  <c r="AE151" i="34"/>
  <c r="AI151" i="34"/>
  <c r="AM151" i="34"/>
  <c r="AQ151" i="34"/>
  <c r="AU151" i="34"/>
  <c r="AY151" i="34"/>
  <c r="BC151" i="34"/>
  <c r="BG151" i="34"/>
  <c r="BK151" i="34"/>
  <c r="BO151" i="34"/>
  <c r="K152" i="34"/>
  <c r="O152" i="34"/>
  <c r="S152" i="34"/>
  <c r="W152" i="34"/>
  <c r="AA152" i="34"/>
  <c r="AE152" i="34"/>
  <c r="AI152" i="34"/>
  <c r="AM152" i="34"/>
  <c r="AQ152" i="34"/>
  <c r="AU152" i="34"/>
  <c r="AY152" i="34"/>
  <c r="BC152" i="34"/>
  <c r="BG152" i="34"/>
  <c r="BK152" i="34"/>
  <c r="BO152" i="34"/>
  <c r="AC145" i="34"/>
  <c r="Q145" i="34"/>
  <c r="K145" i="34"/>
  <c r="P145" i="34"/>
  <c r="W145" i="34"/>
  <c r="AB145" i="34"/>
  <c r="K146" i="34"/>
  <c r="O146" i="34"/>
  <c r="S146" i="34"/>
  <c r="W146" i="34"/>
  <c r="AA146" i="34"/>
  <c r="L147" i="34"/>
  <c r="P147" i="34"/>
  <c r="T147" i="34"/>
  <c r="X147" i="34"/>
  <c r="AB147" i="34"/>
  <c r="I148" i="34"/>
  <c r="M148" i="34"/>
  <c r="Q148" i="34"/>
  <c r="U148" i="34"/>
  <c r="Y148" i="34"/>
  <c r="AC148" i="34"/>
  <c r="J149" i="34"/>
  <c r="N149" i="34"/>
  <c r="R149" i="34"/>
  <c r="V149" i="34"/>
  <c r="Z149" i="34"/>
  <c r="K150" i="34"/>
  <c r="O150" i="34"/>
  <c r="S150" i="34"/>
  <c r="W150" i="34"/>
  <c r="AA150" i="34"/>
  <c r="L151" i="34"/>
  <c r="P151" i="34"/>
  <c r="T151" i="34"/>
  <c r="X151" i="34"/>
  <c r="AB151" i="34"/>
  <c r="AF151" i="34"/>
  <c r="AJ151" i="34"/>
  <c r="AN151" i="34"/>
  <c r="AR151" i="34"/>
  <c r="AV151" i="34"/>
  <c r="AZ151" i="34"/>
  <c r="BD151" i="34"/>
  <c r="BH151" i="34"/>
  <c r="BL151" i="34"/>
  <c r="BP151" i="34"/>
  <c r="L152" i="34"/>
  <c r="P152" i="34"/>
  <c r="T152" i="34"/>
  <c r="X152" i="34"/>
  <c r="AB152" i="34"/>
  <c r="AF152" i="34"/>
  <c r="AJ152" i="34"/>
  <c r="AN152" i="34"/>
  <c r="AR152" i="34"/>
  <c r="AV152" i="34"/>
  <c r="AZ152" i="34"/>
  <c r="BD152" i="34"/>
  <c r="BH152" i="34"/>
  <c r="BL152" i="34"/>
  <c r="BP152" i="34"/>
  <c r="L153" i="34"/>
  <c r="P153" i="34"/>
  <c r="T153" i="34"/>
  <c r="X153" i="34"/>
  <c r="AB153" i="34"/>
  <c r="I154" i="34"/>
  <c r="M154" i="34"/>
  <c r="Q154" i="34"/>
  <c r="U154" i="34"/>
  <c r="Y154" i="34"/>
  <c r="AC154" i="34"/>
  <c r="J156" i="34"/>
  <c r="Y145" i="34"/>
  <c r="M145" i="34"/>
  <c r="L145" i="34"/>
  <c r="R145" i="34"/>
  <c r="X145" i="34"/>
  <c r="L146" i="34"/>
  <c r="P146" i="34"/>
  <c r="T146" i="34"/>
  <c r="X146" i="34"/>
  <c r="AB146" i="34"/>
  <c r="I147" i="34"/>
  <c r="M147" i="34"/>
  <c r="Q147" i="34"/>
  <c r="U147" i="34"/>
  <c r="Y147" i="34"/>
  <c r="AC147" i="34"/>
  <c r="J148" i="34"/>
  <c r="N148" i="34"/>
  <c r="R148" i="34"/>
  <c r="V148" i="34"/>
  <c r="Z148" i="34"/>
  <c r="K149" i="34"/>
  <c r="O149" i="34"/>
  <c r="S149" i="34"/>
  <c r="W149" i="34"/>
  <c r="AA149" i="34"/>
  <c r="L150" i="34"/>
  <c r="P150" i="34"/>
  <c r="T150" i="34"/>
  <c r="X150" i="34"/>
  <c r="AB150" i="34"/>
  <c r="I151" i="34"/>
  <c r="M151" i="34"/>
  <c r="Q151" i="34"/>
  <c r="U151" i="34"/>
  <c r="Y151" i="34"/>
  <c r="AC151" i="34"/>
  <c r="AG151" i="34"/>
  <c r="AK151" i="34"/>
  <c r="AO151" i="34"/>
  <c r="AS151" i="34"/>
  <c r="AW151" i="34"/>
  <c r="BA151" i="34"/>
  <c r="BE151" i="34"/>
  <c r="BI151" i="34"/>
  <c r="BM151" i="34"/>
  <c r="I152" i="34"/>
  <c r="M152" i="34"/>
  <c r="Q152" i="34"/>
  <c r="U152" i="34"/>
  <c r="Y152" i="34"/>
  <c r="AC152" i="34"/>
  <c r="AG152" i="34"/>
  <c r="AK152" i="34"/>
  <c r="AO152" i="34"/>
  <c r="AS152" i="34"/>
  <c r="AW152" i="34"/>
  <c r="BA152" i="34"/>
  <c r="BE152" i="34"/>
  <c r="BI152" i="34"/>
  <c r="BM152" i="34"/>
  <c r="I153" i="34"/>
  <c r="M153" i="34"/>
  <c r="Q153" i="34"/>
  <c r="U153" i="34"/>
  <c r="Y153" i="34"/>
  <c r="AC153" i="34"/>
  <c r="J154" i="34"/>
  <c r="N154" i="34"/>
  <c r="R154" i="34"/>
  <c r="V154" i="34"/>
  <c r="U145" i="34"/>
  <c r="Z145" i="34"/>
  <c r="Q146" i="34"/>
  <c r="V147" i="34"/>
  <c r="K148" i="34"/>
  <c r="AA148" i="34"/>
  <c r="P149" i="34"/>
  <c r="U150" i="34"/>
  <c r="J151" i="34"/>
  <c r="Z151" i="34"/>
  <c r="AP151" i="34"/>
  <c r="BF151" i="34"/>
  <c r="N152" i="34"/>
  <c r="AD152" i="34"/>
  <c r="AT152" i="34"/>
  <c r="BJ152" i="34"/>
  <c r="N153" i="34"/>
  <c r="V153" i="34"/>
  <c r="K154" i="34"/>
  <c r="S154" i="34"/>
  <c r="Z154" i="34"/>
  <c r="I156" i="34"/>
  <c r="N156" i="34"/>
  <c r="R156" i="34"/>
  <c r="V156" i="34"/>
  <c r="Z156" i="34"/>
  <c r="H148" i="34"/>
  <c r="H152" i="34"/>
  <c r="I145" i="34"/>
  <c r="U146" i="34"/>
  <c r="J147" i="34"/>
  <c r="Z147" i="34"/>
  <c r="O148" i="34"/>
  <c r="T149" i="34"/>
  <c r="I150" i="34"/>
  <c r="Y150" i="34"/>
  <c r="N151" i="34"/>
  <c r="AD151" i="34"/>
  <c r="AT151" i="34"/>
  <c r="BJ151" i="34"/>
  <c r="R152" i="34"/>
  <c r="AH152" i="34"/>
  <c r="AX152" i="34"/>
  <c r="BN152" i="34"/>
  <c r="O153" i="34"/>
  <c r="W153" i="34"/>
  <c r="L154" i="34"/>
  <c r="T154" i="34"/>
  <c r="AA154" i="34"/>
  <c r="K156" i="34"/>
  <c r="O156" i="34"/>
  <c r="S156" i="34"/>
  <c r="W156" i="34"/>
  <c r="AA156" i="34"/>
  <c r="H149" i="34"/>
  <c r="H153" i="34"/>
  <c r="N145" i="34"/>
  <c r="I146" i="34"/>
  <c r="Y146" i="34"/>
  <c r="N147" i="34"/>
  <c r="S148" i="34"/>
  <c r="X149" i="34"/>
  <c r="M150" i="34"/>
  <c r="AC150" i="34"/>
  <c r="R151" i="34"/>
  <c r="AH151" i="34"/>
  <c r="AX151" i="34"/>
  <c r="BN151" i="34"/>
  <c r="V152" i="34"/>
  <c r="AL152" i="34"/>
  <c r="BB152" i="34"/>
  <c r="J153" i="34"/>
  <c r="R153" i="34"/>
  <c r="Z153" i="34"/>
  <c r="O154" i="34"/>
  <c r="W154" i="34"/>
  <c r="AB154" i="34"/>
  <c r="L156" i="34"/>
  <c r="P156" i="34"/>
  <c r="T156" i="34"/>
  <c r="X156" i="34"/>
  <c r="AB156" i="34"/>
  <c r="H146" i="34"/>
  <c r="H150" i="34"/>
  <c r="H154" i="34"/>
  <c r="S145" i="34"/>
  <c r="M146" i="34"/>
  <c r="AC146" i="34"/>
  <c r="R147" i="34"/>
  <c r="W148" i="34"/>
  <c r="L149" i="34"/>
  <c r="AB149" i="34"/>
  <c r="Q150" i="34"/>
  <c r="V151" i="34"/>
  <c r="AL151" i="34"/>
  <c r="BB151" i="34"/>
  <c r="J152" i="34"/>
  <c r="Z152" i="34"/>
  <c r="AP152" i="34"/>
  <c r="BF152" i="34"/>
  <c r="K153" i="34"/>
  <c r="S153" i="34"/>
  <c r="AA153" i="34"/>
  <c r="P154" i="34"/>
  <c r="X154" i="34"/>
  <c r="M156" i="34"/>
  <c r="Q156" i="34"/>
  <c r="U156" i="34"/>
  <c r="Y156" i="34"/>
  <c r="AC156" i="34"/>
  <c r="H147" i="34"/>
  <c r="H151" i="34"/>
  <c r="H156" i="34"/>
  <c r="BG145" i="34"/>
  <c r="H133" i="34"/>
  <c r="H155" i="34"/>
  <c r="AP153" i="34"/>
  <c r="AZ147" i="34"/>
  <c r="BC148" i="34"/>
  <c r="BP153" i="34"/>
  <c r="AU155" i="34"/>
  <c r="AQ145" i="34"/>
  <c r="BN145" i="34"/>
  <c r="AU148" i="34"/>
  <c r="AQ155" i="34"/>
  <c r="AK146" i="34"/>
  <c r="BK148" i="34"/>
  <c r="AM154" i="34"/>
  <c r="AY155" i="34"/>
  <c r="AM145" i="34"/>
  <c r="AK150" i="34"/>
  <c r="BG154" i="34"/>
  <c r="AL156" i="34"/>
  <c r="AN147" i="34"/>
  <c r="AX145" i="34"/>
  <c r="AV150" i="34"/>
  <c r="AX148" i="34"/>
  <c r="AZ146" i="34"/>
  <c r="BG150" i="34"/>
  <c r="BI148" i="34"/>
  <c r="BK146" i="34"/>
  <c r="AD156" i="34"/>
  <c r="AD155" i="34"/>
  <c r="AD150" i="34"/>
  <c r="AI154" i="34"/>
  <c r="BM147" i="34"/>
  <c r="BB153" i="34"/>
  <c r="AB155" i="34"/>
  <c r="BK156" i="34"/>
  <c r="AO150" i="34"/>
  <c r="BI154" i="34"/>
  <c r="AJ156" i="34"/>
  <c r="AZ148" i="34"/>
  <c r="BO153" i="34"/>
  <c r="AT155" i="34"/>
  <c r="BJ145" i="34"/>
  <c r="BH150" i="34"/>
  <c r="BJ148" i="34"/>
  <c r="BL146" i="34"/>
  <c r="AL153" i="34"/>
  <c r="AN149" i="34"/>
  <c r="AP147" i="34"/>
  <c r="AR145" i="34"/>
  <c r="AE145" i="34"/>
  <c r="AH156" i="34"/>
  <c r="AI156" i="34"/>
  <c r="BF146" i="34"/>
  <c r="AK153" i="34"/>
  <c r="P155" i="34"/>
  <c r="AY156" i="34"/>
  <c r="AX149" i="34"/>
  <c r="AW154" i="34"/>
  <c r="BE155" i="34"/>
  <c r="BI147" i="34"/>
  <c r="AZ153" i="34"/>
  <c r="Z155" i="34"/>
  <c r="BM156" i="34"/>
  <c r="BD150" i="34"/>
  <c r="BF148" i="34"/>
  <c r="BH146" i="34"/>
  <c r="BO150" i="34"/>
  <c r="AJ149" i="34"/>
  <c r="AL147" i="34"/>
  <c r="AN145" i="34"/>
  <c r="AF156" i="34"/>
  <c r="AF155" i="34"/>
  <c r="AE156" i="34"/>
  <c r="AO147" i="34"/>
  <c r="AR153" i="34"/>
  <c r="T155" i="34"/>
  <c r="BC156" i="34"/>
  <c r="BF149" i="34"/>
  <c r="BA154" i="34"/>
  <c r="BI155" i="34"/>
  <c r="AJ148" i="34"/>
  <c r="BE153" i="34"/>
  <c r="AL155" i="34"/>
  <c r="BB145" i="34"/>
  <c r="AU154" i="34"/>
  <c r="BA146" i="34"/>
  <c r="BB149" i="34"/>
  <c r="AY154" i="34"/>
  <c r="BK155" i="34"/>
  <c r="AV147" i="34"/>
  <c r="AS150" i="34"/>
  <c r="AP156" i="34"/>
  <c r="BJ149" i="34"/>
  <c r="BC154" i="34"/>
  <c r="BO155" i="34"/>
  <c r="AR147" i="34"/>
  <c r="BB146" i="34"/>
  <c r="AJ153" i="34"/>
  <c r="O155" i="34"/>
  <c r="M48" i="45" s="1"/>
  <c r="BB156" i="34"/>
  <c r="BE146" i="34"/>
  <c r="BK153" i="34"/>
  <c r="BM149" i="34"/>
  <c r="BO147" i="34"/>
  <c r="AJ146" i="34"/>
  <c r="AQ150" i="34"/>
  <c r="AS148" i="34"/>
  <c r="AU146" i="34"/>
  <c r="AH148" i="34"/>
  <c r="AF150" i="34"/>
  <c r="AD146" i="34"/>
  <c r="AE150" i="34"/>
  <c r="BL148" i="34"/>
  <c r="AN154" i="34"/>
  <c r="AV155" i="34"/>
  <c r="BJ146" i="34"/>
  <c r="AN153" i="34"/>
  <c r="Q155" i="34"/>
  <c r="AZ156" i="34"/>
  <c r="AY149" i="34"/>
  <c r="AX154" i="34"/>
  <c r="BJ155" i="34"/>
  <c r="AT145" i="34"/>
  <c r="AR150" i="34"/>
  <c r="AT148" i="34"/>
  <c r="AV146" i="34"/>
  <c r="BC150" i="34"/>
  <c r="BE148" i="34"/>
  <c r="BG146" i="34"/>
  <c r="AH154" i="34"/>
  <c r="AF154" i="34"/>
  <c r="AF149" i="34"/>
  <c r="AE154" i="34"/>
  <c r="AN148" i="34"/>
  <c r="BH153" i="34"/>
  <c r="AJ155" i="34"/>
  <c r="BO156" i="34"/>
  <c r="AW150" i="34"/>
  <c r="BM154" i="34"/>
  <c r="AN156" i="34"/>
  <c r="BH148" i="34"/>
  <c r="AL154" i="34"/>
  <c r="AX155" i="34"/>
  <c r="AP145" i="34"/>
  <c r="AN150" i="34"/>
  <c r="AP148" i="34"/>
  <c r="AR146" i="34"/>
  <c r="AY150" i="34"/>
  <c r="BA148" i="34"/>
  <c r="BC146" i="34"/>
  <c r="AD154" i="34"/>
  <c r="AH153" i="34"/>
  <c r="AD148" i="34"/>
  <c r="AG153" i="34"/>
  <c r="AV148" i="34"/>
  <c r="BM153" i="34"/>
  <c r="AN155" i="34"/>
  <c r="BK145" i="34"/>
  <c r="BE150" i="34"/>
  <c r="AK147" i="34"/>
  <c r="S155" i="34"/>
  <c r="BC145" i="34"/>
  <c r="BA150" i="34"/>
  <c r="BO154" i="34"/>
  <c r="AT156" i="34"/>
  <c r="BM146" i="34"/>
  <c r="BL153" i="34"/>
  <c r="AU145" i="34"/>
  <c r="AL146" i="34"/>
  <c r="BI150" i="34"/>
  <c r="K155" i="34"/>
  <c r="I48" i="45" s="1"/>
  <c r="AX156" i="34"/>
  <c r="BI146" i="34"/>
  <c r="AM148" i="34"/>
  <c r="BF153" i="34"/>
  <c r="AM155" i="34"/>
  <c r="AY145" i="34"/>
  <c r="AO146" i="34"/>
  <c r="AU153" i="34"/>
  <c r="AW149" i="34"/>
  <c r="AY147" i="34"/>
  <c r="BA145" i="34"/>
  <c r="BH149" i="34"/>
  <c r="BJ147" i="34"/>
  <c r="BL145" i="34"/>
  <c r="AE155" i="34"/>
  <c r="AH147" i="34"/>
  <c r="AG150" i="34"/>
  <c r="AG147" i="34"/>
  <c r="BK149" i="34"/>
  <c r="BD154" i="34"/>
  <c r="BL155" i="34"/>
  <c r="AQ148" i="34"/>
  <c r="BI153" i="34"/>
  <c r="AK155" i="34"/>
  <c r="BP156" i="34"/>
  <c r="AX150" i="34"/>
  <c r="BN154" i="34"/>
  <c r="AS156" i="34"/>
  <c r="BG153" i="34"/>
  <c r="BI149" i="34"/>
  <c r="BK147" i="34"/>
  <c r="BM145" i="34"/>
  <c r="AM150" i="34"/>
  <c r="AO148" i="34"/>
  <c r="AQ146" i="34"/>
  <c r="AF147" i="34"/>
  <c r="AH149" i="34"/>
  <c r="AI155" i="34"/>
  <c r="AG149" i="34"/>
  <c r="AM149" i="34"/>
  <c r="AR154" i="34"/>
  <c r="AZ155" i="34"/>
  <c r="AS147" i="34"/>
  <c r="AS153" i="34"/>
  <c r="U155" i="34"/>
  <c r="BD156" i="34"/>
  <c r="BG149" i="34"/>
  <c r="BB154" i="34"/>
  <c r="BN155" i="34"/>
  <c r="BC153" i="34"/>
  <c r="BE149" i="34"/>
  <c r="BG147" i="34"/>
  <c r="BI145" i="34"/>
  <c r="BP149" i="34"/>
  <c r="AK148" i="34"/>
  <c r="AM146" i="34"/>
  <c r="AF145" i="34"/>
  <c r="AD149" i="34"/>
  <c r="AG154" i="34"/>
  <c r="AI148" i="34"/>
  <c r="AU149" i="34"/>
  <c r="AV154" i="34"/>
  <c r="BD155" i="34"/>
  <c r="BH147" i="34"/>
  <c r="AX153" i="34"/>
  <c r="AT149" i="34"/>
  <c r="BF156" i="34"/>
  <c r="BA147" i="34"/>
  <c r="AV153" i="34"/>
  <c r="W155" i="34"/>
  <c r="BJ156" i="34"/>
  <c r="AW146" i="34"/>
  <c r="BK154" i="34"/>
  <c r="AJ147" i="34"/>
  <c r="BL147" i="34"/>
  <c r="BA153" i="34"/>
  <c r="AA155" i="34"/>
  <c r="BN156" i="34"/>
  <c r="AS146" i="34"/>
  <c r="BG155" i="34"/>
  <c r="AL149" i="34"/>
  <c r="AQ154" i="34"/>
  <c r="BC155" i="34"/>
  <c r="BD147" i="34"/>
  <c r="BF145" i="34"/>
  <c r="BL150" i="34"/>
  <c r="BN148" i="34"/>
  <c r="BP146" i="34"/>
  <c r="AK145" i="34"/>
  <c r="AR149" i="34"/>
  <c r="AT147" i="34"/>
  <c r="AV145" i="34"/>
  <c r="AE147" i="34"/>
  <c r="AD145" i="34"/>
  <c r="AI145" i="34"/>
  <c r="AP146" i="34"/>
  <c r="BJ150" i="34"/>
  <c r="L155" i="34"/>
  <c r="AU156" i="34"/>
  <c r="AP149" i="34"/>
  <c r="AS154" i="34"/>
  <c r="BA155" i="34"/>
  <c r="AW147" i="34"/>
  <c r="AT153" i="34"/>
  <c r="V155" i="34"/>
  <c r="BI156" i="34"/>
  <c r="AQ153" i="34"/>
  <c r="AS149" i="34"/>
  <c r="AU147" i="34"/>
  <c r="AW145" i="34"/>
  <c r="BD149" i="34"/>
  <c r="BF147" i="34"/>
  <c r="BH145" i="34"/>
  <c r="AI153" i="34"/>
  <c r="AD147" i="34"/>
  <c r="AE149" i="34"/>
  <c r="AI146" i="34"/>
  <c r="AL150" i="34"/>
  <c r="BH154" i="34"/>
  <c r="BP155" i="34"/>
  <c r="AY148" i="34"/>
  <c r="BN153" i="34"/>
  <c r="AO155" i="34"/>
  <c r="BO145" i="34"/>
  <c r="BF150" i="34"/>
  <c r="J155" i="34"/>
  <c r="AW156" i="34"/>
  <c r="AM153" i="34"/>
  <c r="AO149" i="34"/>
  <c r="AQ147" i="34"/>
  <c r="AS145" i="34"/>
  <c r="AZ149" i="34"/>
  <c r="BB147" i="34"/>
  <c r="BD145" i="34"/>
  <c r="AI149" i="34"/>
  <c r="AF146" i="34"/>
  <c r="AI147" i="34"/>
  <c r="AE146" i="34"/>
  <c r="AT150" i="34"/>
  <c r="BL154" i="34"/>
  <c r="AM156" i="34"/>
  <c r="BG148" i="34"/>
  <c r="AK154" i="34"/>
  <c r="I155" i="34"/>
  <c r="BH156" i="34"/>
  <c r="BN150" i="34"/>
  <c r="BB155" i="34"/>
  <c r="AY153" i="34"/>
  <c r="BA149" i="34"/>
  <c r="BC147" i="34"/>
  <c r="BE145" i="34"/>
  <c r="BL149" i="34"/>
  <c r="BN147" i="34"/>
  <c r="BP145" i="34"/>
  <c r="AG156" i="34"/>
  <c r="AF148" i="34"/>
  <c r="AE153" i="34"/>
  <c r="AE148" i="34"/>
  <c r="BC149" i="34"/>
  <c r="AZ154" i="34"/>
  <c r="BH155" i="34"/>
  <c r="BP147" i="34"/>
  <c r="BD153" i="34"/>
  <c r="AC155" i="34"/>
  <c r="BL156" i="34"/>
  <c r="AP150" i="34"/>
  <c r="BJ154" i="34"/>
  <c r="Y155" i="34"/>
  <c r="AX146" i="34"/>
  <c r="AP154" i="34"/>
  <c r="AK156" i="34"/>
  <c r="BP150" i="34"/>
  <c r="AK149" i="34"/>
  <c r="AM147" i="34"/>
  <c r="AO145" i="34"/>
  <c r="AV149" i="34"/>
  <c r="AX147" i="34"/>
  <c r="AZ145" i="34"/>
  <c r="AG148" i="34"/>
  <c r="AH145" i="34"/>
  <c r="AG146" i="34"/>
  <c r="AG145" i="34"/>
  <c r="BB150" i="34"/>
  <c r="BP154" i="34"/>
  <c r="AQ156" i="34"/>
  <c r="BO148" i="34"/>
  <c r="AO154" i="34"/>
  <c r="AW155" i="34"/>
  <c r="BN146" i="34"/>
  <c r="AO153" i="34"/>
  <c r="R155" i="34"/>
  <c r="BE156" i="34"/>
  <c r="BM155" i="34"/>
  <c r="BJ153" i="34"/>
  <c r="AO156" i="34"/>
  <c r="AS155" i="34"/>
  <c r="BP148" i="34"/>
  <c r="BF154" i="34"/>
  <c r="BA156" i="34"/>
  <c r="AZ150" i="34"/>
  <c r="BB148" i="34"/>
  <c r="BD146" i="34"/>
  <c r="BK150" i="34"/>
  <c r="BM148" i="34"/>
  <c r="BO146" i="34"/>
  <c r="AJ145" i="34"/>
  <c r="AH155" i="34"/>
  <c r="AF153" i="34"/>
  <c r="AG155" i="34"/>
  <c r="BE147" i="34"/>
  <c r="AW153" i="34"/>
  <c r="X155" i="34"/>
  <c r="BG156" i="34"/>
  <c r="BN149" i="34"/>
  <c r="BE154" i="34"/>
  <c r="AR148" i="34"/>
  <c r="AP155" i="34"/>
  <c r="AR156" i="34"/>
  <c r="BO149" i="34"/>
  <c r="N155" i="34"/>
  <c r="AL145" i="34"/>
  <c r="AJ150" i="34"/>
  <c r="AL148" i="34"/>
  <c r="AN146" i="34"/>
  <c r="AU150" i="34"/>
  <c r="AW148" i="34"/>
  <c r="AY146" i="34"/>
  <c r="AH150" i="34"/>
  <c r="AD153" i="34"/>
  <c r="AH146" i="34"/>
  <c r="AI150" i="34"/>
  <c r="BD148" i="34"/>
  <c r="AJ154" i="34"/>
  <c r="AR155" i="34"/>
  <c r="AT146" i="34"/>
  <c r="BM150" i="34"/>
  <c r="M155" i="34"/>
  <c r="AV156" i="34"/>
  <c r="AQ149" i="34"/>
  <c r="AT154" i="34"/>
  <c r="BF155" i="34"/>
  <c r="L123" i="34"/>
  <c r="P123" i="34"/>
  <c r="T123" i="34"/>
  <c r="X123" i="34"/>
  <c r="AB123" i="34"/>
  <c r="AF123" i="34"/>
  <c r="AJ123" i="34"/>
  <c r="AN123" i="34"/>
  <c r="AR123" i="34"/>
  <c r="AV123" i="34"/>
  <c r="AZ123" i="34"/>
  <c r="BD123" i="34"/>
  <c r="BH123" i="34"/>
  <c r="BL123" i="34"/>
  <c r="BP123" i="34"/>
  <c r="M124" i="34"/>
  <c r="Q124" i="34"/>
  <c r="U124" i="34"/>
  <c r="Y124" i="34"/>
  <c r="AC124" i="34"/>
  <c r="AG124" i="34"/>
  <c r="AK124" i="34"/>
  <c r="AO124" i="34"/>
  <c r="AS124" i="34"/>
  <c r="AW124" i="34"/>
  <c r="BA124" i="34"/>
  <c r="BE124" i="34"/>
  <c r="BI124" i="34"/>
  <c r="BM124" i="34"/>
  <c r="J125" i="34"/>
  <c r="N125" i="34"/>
  <c r="R125" i="34"/>
  <c r="V125" i="34"/>
  <c r="Z125" i="34"/>
  <c r="AD125" i="34"/>
  <c r="AH125" i="34"/>
  <c r="AL125" i="34"/>
  <c r="AP125" i="34"/>
  <c r="AT125" i="34"/>
  <c r="AX125" i="34"/>
  <c r="BB125" i="34"/>
  <c r="BF125" i="34"/>
  <c r="BJ125" i="34"/>
  <c r="BN125" i="34"/>
  <c r="K126" i="34"/>
  <c r="O126" i="34"/>
  <c r="S126" i="34"/>
  <c r="W126" i="34"/>
  <c r="AA126" i="34"/>
  <c r="AE126" i="34"/>
  <c r="AI126" i="34"/>
  <c r="AM126" i="34"/>
  <c r="AQ126" i="34"/>
  <c r="AU126" i="34"/>
  <c r="AY126" i="34"/>
  <c r="BC126" i="34"/>
  <c r="BG126" i="34"/>
  <c r="BK126" i="34"/>
  <c r="BO126" i="34"/>
  <c r="L127" i="34"/>
  <c r="P127" i="34"/>
  <c r="T127" i="34"/>
  <c r="X127" i="34"/>
  <c r="AB127" i="34"/>
  <c r="AF127" i="34"/>
  <c r="AJ127" i="34"/>
  <c r="AN127" i="34"/>
  <c r="AR127" i="34"/>
  <c r="AV127" i="34"/>
  <c r="AZ127" i="34"/>
  <c r="BD127" i="34"/>
  <c r="BH127" i="34"/>
  <c r="BL127" i="34"/>
  <c r="BP127" i="34"/>
  <c r="M128" i="34"/>
  <c r="Q128" i="34"/>
  <c r="U128" i="34"/>
  <c r="Y128" i="34"/>
  <c r="AC128" i="34"/>
  <c r="AG128" i="34"/>
  <c r="AK128" i="34"/>
  <c r="AO128" i="34"/>
  <c r="AS128" i="34"/>
  <c r="AW128" i="34"/>
  <c r="BA128" i="34"/>
  <c r="BE128" i="34"/>
  <c r="BI128" i="34"/>
  <c r="BM128" i="34"/>
  <c r="M132" i="34"/>
  <c r="Q132" i="34"/>
  <c r="U132" i="34"/>
  <c r="Y132" i="34"/>
  <c r="AC132" i="34"/>
  <c r="AG132" i="34"/>
  <c r="AK132" i="34"/>
  <c r="AO132" i="34"/>
  <c r="AS132" i="34"/>
  <c r="AW132" i="34"/>
  <c r="BA132" i="34"/>
  <c r="BE132" i="34"/>
  <c r="BI132" i="34"/>
  <c r="BM132" i="34"/>
  <c r="J133" i="34"/>
  <c r="N133" i="34"/>
  <c r="R133" i="34"/>
  <c r="V133" i="34"/>
  <c r="Z133" i="34"/>
  <c r="AD133" i="34"/>
  <c r="AH133" i="34"/>
  <c r="AL133" i="34"/>
  <c r="AP133" i="34"/>
  <c r="AT133" i="34"/>
  <c r="AX133" i="34"/>
  <c r="BB133" i="34"/>
  <c r="BF133" i="34"/>
  <c r="BJ133" i="34"/>
  <c r="BN133" i="34"/>
  <c r="K134" i="34"/>
  <c r="O134" i="34"/>
  <c r="S134" i="34"/>
  <c r="W134" i="34"/>
  <c r="AA134" i="34"/>
  <c r="AE134" i="34"/>
  <c r="AI134" i="34"/>
  <c r="AM134" i="34"/>
  <c r="H145" i="34"/>
  <c r="M123" i="34"/>
  <c r="Q123" i="34"/>
  <c r="U123" i="34"/>
  <c r="Y123" i="34"/>
  <c r="AC123" i="34"/>
  <c r="AG123" i="34"/>
  <c r="AK123" i="34"/>
  <c r="AO123" i="34"/>
  <c r="AS123" i="34"/>
  <c r="AW123" i="34"/>
  <c r="BA123" i="34"/>
  <c r="BE123" i="34"/>
  <c r="BI123" i="34"/>
  <c r="BM123" i="34"/>
  <c r="J124" i="34"/>
  <c r="N124" i="34"/>
  <c r="R124" i="34"/>
  <c r="V124" i="34"/>
  <c r="Z124" i="34"/>
  <c r="AD124" i="34"/>
  <c r="AH124" i="34"/>
  <c r="AL124" i="34"/>
  <c r="AP124" i="34"/>
  <c r="AT124" i="34"/>
  <c r="AX124" i="34"/>
  <c r="BB124" i="34"/>
  <c r="BF124" i="34"/>
  <c r="BJ124" i="34"/>
  <c r="BN124" i="34"/>
  <c r="K125" i="34"/>
  <c r="O125" i="34"/>
  <c r="S125" i="34"/>
  <c r="W125" i="34"/>
  <c r="AA125" i="34"/>
  <c r="AE125" i="34"/>
  <c r="AI125" i="34"/>
  <c r="AM125" i="34"/>
  <c r="AQ125" i="34"/>
  <c r="AU125" i="34"/>
  <c r="AY125" i="34"/>
  <c r="BC125" i="34"/>
  <c r="BG125" i="34"/>
  <c r="BK125" i="34"/>
  <c r="BO125" i="34"/>
  <c r="L126" i="34"/>
  <c r="P126" i="34"/>
  <c r="T126" i="34"/>
  <c r="X126" i="34"/>
  <c r="AB126" i="34"/>
  <c r="AF126" i="34"/>
  <c r="AJ126" i="34"/>
  <c r="AN126" i="34"/>
  <c r="AR126" i="34"/>
  <c r="AV126" i="34"/>
  <c r="AZ126" i="34"/>
  <c r="BD126" i="34"/>
  <c r="BH126" i="34"/>
  <c r="BL126" i="34"/>
  <c r="BP126" i="34"/>
  <c r="M127" i="34"/>
  <c r="Q127" i="34"/>
  <c r="U127" i="34"/>
  <c r="Y127" i="34"/>
  <c r="AC127" i="34"/>
  <c r="AG127" i="34"/>
  <c r="AK127" i="34"/>
  <c r="AO127" i="34"/>
  <c r="AS127" i="34"/>
  <c r="AW127" i="34"/>
  <c r="BA127" i="34"/>
  <c r="BE127" i="34"/>
  <c r="BI127" i="34"/>
  <c r="BM127" i="34"/>
  <c r="J128" i="34"/>
  <c r="N128" i="34"/>
  <c r="R128" i="34"/>
  <c r="V128" i="34"/>
  <c r="Z128" i="34"/>
  <c r="AD128" i="34"/>
  <c r="AH128" i="34"/>
  <c r="AL128" i="34"/>
  <c r="AP128" i="34"/>
  <c r="AT128" i="34"/>
  <c r="AX128" i="34"/>
  <c r="BB128" i="34"/>
  <c r="BF128" i="34"/>
  <c r="BJ128" i="34"/>
  <c r="BN128" i="34"/>
  <c r="J132" i="34"/>
  <c r="N132" i="34"/>
  <c r="R132" i="34"/>
  <c r="V132" i="34"/>
  <c r="Z132" i="34"/>
  <c r="AD132" i="34"/>
  <c r="AH132" i="34"/>
  <c r="AL132" i="34"/>
  <c r="AP132" i="34"/>
  <c r="AT132" i="34"/>
  <c r="AX132" i="34"/>
  <c r="BB132" i="34"/>
  <c r="BF132" i="34"/>
  <c r="BJ132" i="34"/>
  <c r="BN132" i="34"/>
  <c r="K133" i="34"/>
  <c r="O133" i="34"/>
  <c r="S133" i="34"/>
  <c r="W133" i="34"/>
  <c r="AA133" i="34"/>
  <c r="AE133" i="34"/>
  <c r="AI133" i="34"/>
  <c r="AM133" i="34"/>
  <c r="AQ133" i="34"/>
  <c r="AU133" i="34"/>
  <c r="AY133" i="34"/>
  <c r="J123" i="34"/>
  <c r="N123" i="34"/>
  <c r="R123" i="34"/>
  <c r="V123" i="34"/>
  <c r="Z123" i="34"/>
  <c r="AD123" i="34"/>
  <c r="AH123" i="34"/>
  <c r="AL123" i="34"/>
  <c r="AP123" i="34"/>
  <c r="AT123" i="34"/>
  <c r="AX123" i="34"/>
  <c r="BB123" i="34"/>
  <c r="BF123" i="34"/>
  <c r="BJ123" i="34"/>
  <c r="BN123" i="34"/>
  <c r="K124" i="34"/>
  <c r="O124" i="34"/>
  <c r="S124" i="34"/>
  <c r="W124" i="34"/>
  <c r="AA124" i="34"/>
  <c r="AE124" i="34"/>
  <c r="AI124" i="34"/>
  <c r="AM124" i="34"/>
  <c r="AQ124" i="34"/>
  <c r="AU124" i="34"/>
  <c r="AY124" i="34"/>
  <c r="BC124" i="34"/>
  <c r="BG124" i="34"/>
  <c r="BK124" i="34"/>
  <c r="BO124" i="34"/>
  <c r="L125" i="34"/>
  <c r="P125" i="34"/>
  <c r="T125" i="34"/>
  <c r="X125" i="34"/>
  <c r="AB125" i="34"/>
  <c r="AF125" i="34"/>
  <c r="AJ125" i="34"/>
  <c r="AN125" i="34"/>
  <c r="AR125" i="34"/>
  <c r="AV125" i="34"/>
  <c r="AZ125" i="34"/>
  <c r="BD125" i="34"/>
  <c r="BH125" i="34"/>
  <c r="BL125" i="34"/>
  <c r="BP125" i="34"/>
  <c r="M126" i="34"/>
  <c r="Q126" i="34"/>
  <c r="U126" i="34"/>
  <c r="Y126" i="34"/>
  <c r="AC126" i="34"/>
  <c r="AG126" i="34"/>
  <c r="AK126" i="34"/>
  <c r="AO126" i="34"/>
  <c r="AS126" i="34"/>
  <c r="AW126" i="34"/>
  <c r="BA126" i="34"/>
  <c r="BE126" i="34"/>
  <c r="BI126" i="34"/>
  <c r="BM126" i="34"/>
  <c r="J127" i="34"/>
  <c r="N127" i="34"/>
  <c r="R127" i="34"/>
  <c r="V127" i="34"/>
  <c r="Z127" i="34"/>
  <c r="AD127" i="34"/>
  <c r="AH127" i="34"/>
  <c r="AL127" i="34"/>
  <c r="AP127" i="34"/>
  <c r="AT127" i="34"/>
  <c r="AX127" i="34"/>
  <c r="BB127" i="34"/>
  <c r="BF127" i="34"/>
  <c r="BJ127" i="34"/>
  <c r="BN127" i="34"/>
  <c r="K128" i="34"/>
  <c r="O128" i="34"/>
  <c r="S128" i="34"/>
  <c r="W128" i="34"/>
  <c r="AA128" i="34"/>
  <c r="AE128" i="34"/>
  <c r="AI128" i="34"/>
  <c r="AM128" i="34"/>
  <c r="AQ128" i="34"/>
  <c r="AU128" i="34"/>
  <c r="AY128" i="34"/>
  <c r="BC128" i="34"/>
  <c r="BG128" i="34"/>
  <c r="BK128" i="34"/>
  <c r="BO128" i="34"/>
  <c r="K132" i="34"/>
  <c r="O132" i="34"/>
  <c r="S132" i="34"/>
  <c r="W132" i="34"/>
  <c r="AA132" i="34"/>
  <c r="AE132" i="34"/>
  <c r="AI132" i="34"/>
  <c r="AM132" i="34"/>
  <c r="AQ132" i="34"/>
  <c r="AU132" i="34"/>
  <c r="AY132" i="34"/>
  <c r="BC132" i="34"/>
  <c r="BG132" i="34"/>
  <c r="BK132" i="34"/>
  <c r="BO132" i="34"/>
  <c r="K123" i="34"/>
  <c r="O123" i="34"/>
  <c r="S123" i="34"/>
  <c r="W123" i="34"/>
  <c r="AA123" i="34"/>
  <c r="AE123" i="34"/>
  <c r="AI123" i="34"/>
  <c r="AM123" i="34"/>
  <c r="AQ123" i="34"/>
  <c r="AU123" i="34"/>
  <c r="AY123" i="34"/>
  <c r="BC123" i="34"/>
  <c r="BG123" i="34"/>
  <c r="BK123" i="34"/>
  <c r="BO123" i="34"/>
  <c r="L124" i="34"/>
  <c r="P124" i="34"/>
  <c r="T124" i="34"/>
  <c r="X124" i="34"/>
  <c r="AB124" i="34"/>
  <c r="AF124" i="34"/>
  <c r="AJ124" i="34"/>
  <c r="AN124" i="34"/>
  <c r="AR124" i="34"/>
  <c r="AV124" i="34"/>
  <c r="AZ124" i="34"/>
  <c r="BD124" i="34"/>
  <c r="BH124" i="34"/>
  <c r="BL124" i="34"/>
  <c r="BP124" i="34"/>
  <c r="M125" i="34"/>
  <c r="Q125" i="34"/>
  <c r="U125" i="34"/>
  <c r="Y125" i="34"/>
  <c r="AC125" i="34"/>
  <c r="AG125" i="34"/>
  <c r="AK125" i="34"/>
  <c r="AO125" i="34"/>
  <c r="AS125" i="34"/>
  <c r="AW125" i="34"/>
  <c r="BA125" i="34"/>
  <c r="BE125" i="34"/>
  <c r="BI125" i="34"/>
  <c r="BM125" i="34"/>
  <c r="J126" i="34"/>
  <c r="N126" i="34"/>
  <c r="R126" i="34"/>
  <c r="V126" i="34"/>
  <c r="Z126" i="34"/>
  <c r="AD126" i="34"/>
  <c r="AH126" i="34"/>
  <c r="AL126" i="34"/>
  <c r="AP126" i="34"/>
  <c r="AT126" i="34"/>
  <c r="AX126" i="34"/>
  <c r="BB126" i="34"/>
  <c r="BF126" i="34"/>
  <c r="BJ126" i="34"/>
  <c r="BN126" i="34"/>
  <c r="K127" i="34"/>
  <c r="O127" i="34"/>
  <c r="S127" i="34"/>
  <c r="W127" i="34"/>
  <c r="AA127" i="34"/>
  <c r="AE127" i="34"/>
  <c r="AI127" i="34"/>
  <c r="AM127" i="34"/>
  <c r="AQ127" i="34"/>
  <c r="AU127" i="34"/>
  <c r="AY127" i="34"/>
  <c r="BC127" i="34"/>
  <c r="BG127" i="34"/>
  <c r="BK127" i="34"/>
  <c r="BO127" i="34"/>
  <c r="L128" i="34"/>
  <c r="P128" i="34"/>
  <c r="T128" i="34"/>
  <c r="X128" i="34"/>
  <c r="AB128" i="34"/>
  <c r="AF128" i="34"/>
  <c r="AJ128" i="34"/>
  <c r="AN128" i="34"/>
  <c r="AR128" i="34"/>
  <c r="AV128" i="34"/>
  <c r="AZ128" i="34"/>
  <c r="BD128" i="34"/>
  <c r="BH128" i="34"/>
  <c r="BL128" i="34"/>
  <c r="BP128" i="34"/>
  <c r="I133" i="34"/>
  <c r="I129" i="34"/>
  <c r="I125" i="34"/>
  <c r="BO135" i="34"/>
  <c r="BK135" i="34"/>
  <c r="BG135" i="34"/>
  <c r="BC135" i="34"/>
  <c r="AY135" i="34"/>
  <c r="AU135" i="34"/>
  <c r="AQ135" i="34"/>
  <c r="AM135" i="34"/>
  <c r="AI135" i="34"/>
  <c r="AE135" i="34"/>
  <c r="AA135" i="34"/>
  <c r="W135" i="34"/>
  <c r="S135" i="34"/>
  <c r="O135" i="34"/>
  <c r="K135" i="34"/>
  <c r="BN134" i="34"/>
  <c r="BJ134" i="34"/>
  <c r="BF134" i="34"/>
  <c r="BB134" i="34"/>
  <c r="AX134" i="34"/>
  <c r="AT134" i="34"/>
  <c r="AP134" i="34"/>
  <c r="AK134" i="34"/>
  <c r="AF134" i="34"/>
  <c r="Z134" i="34"/>
  <c r="U134" i="34"/>
  <c r="P134" i="34"/>
  <c r="J134" i="34"/>
  <c r="BL133" i="34"/>
  <c r="BG133" i="34"/>
  <c r="BA133" i="34"/>
  <c r="AS133" i="34"/>
  <c r="AK133" i="34"/>
  <c r="AC133" i="34"/>
  <c r="U133" i="34"/>
  <c r="M133" i="34"/>
  <c r="BH132" i="34"/>
  <c r="AR132" i="34"/>
  <c r="AB132" i="34"/>
  <c r="L132" i="34"/>
  <c r="BC131" i="34"/>
  <c r="AM131" i="34"/>
  <c r="W131" i="34"/>
  <c r="H123" i="34"/>
  <c r="I132" i="34"/>
  <c r="I128" i="34"/>
  <c r="I124" i="34"/>
  <c r="BN135" i="34"/>
  <c r="BJ135" i="34"/>
  <c r="BF135" i="34"/>
  <c r="BB135" i="34"/>
  <c r="AX135" i="34"/>
  <c r="AT135" i="34"/>
  <c r="AP135" i="34"/>
  <c r="AL135" i="34"/>
  <c r="AH135" i="34"/>
  <c r="AD135" i="34"/>
  <c r="Z135" i="34"/>
  <c r="V135" i="34"/>
  <c r="R135" i="34"/>
  <c r="N135" i="34"/>
  <c r="J135" i="34"/>
  <c r="BM134" i="34"/>
  <c r="BI134" i="34"/>
  <c r="BE134" i="34"/>
  <c r="BA134" i="34"/>
  <c r="AW134" i="34"/>
  <c r="AS134" i="34"/>
  <c r="AO134" i="34"/>
  <c r="AJ134" i="34"/>
  <c r="AD134" i="34"/>
  <c r="Y134" i="34"/>
  <c r="T134" i="34"/>
  <c r="N134" i="34"/>
  <c r="BP133" i="34"/>
  <c r="BK133" i="34"/>
  <c r="BE133" i="34"/>
  <c r="AZ133" i="34"/>
  <c r="AR133" i="34"/>
  <c r="AJ133" i="34"/>
  <c r="AB133" i="34"/>
  <c r="T133" i="34"/>
  <c r="L133" i="34"/>
  <c r="BD132" i="34"/>
  <c r="AN132" i="34"/>
  <c r="X132" i="34"/>
  <c r="BO131" i="34"/>
  <c r="AY131" i="34"/>
  <c r="AI131" i="34"/>
  <c r="AV47" i="34"/>
  <c r="BC47" i="34"/>
  <c r="AM47" i="34"/>
  <c r="AX47" i="34"/>
  <c r="BP47" i="34"/>
  <c r="BD47" i="34"/>
  <c r="BI47" i="34"/>
  <c r="AS47" i="34"/>
  <c r="BK47" i="34"/>
  <c r="AJ47" i="34"/>
  <c r="AY47" i="34"/>
  <c r="BM47" i="34"/>
  <c r="BH47" i="34"/>
  <c r="BJ47" i="34"/>
  <c r="AT47" i="34"/>
  <c r="BL47" i="34"/>
  <c r="AR47" i="34"/>
  <c r="BE47" i="34"/>
  <c r="AO47" i="34"/>
  <c r="AI47" i="34"/>
  <c r="AU47" i="34"/>
  <c r="AZ47" i="34"/>
  <c r="BF47" i="34"/>
  <c r="AP47" i="34"/>
  <c r="BN47" i="34"/>
  <c r="BA47" i="34"/>
  <c r="AK47" i="34"/>
  <c r="BG47" i="34"/>
  <c r="AQ47" i="34"/>
  <c r="AN47" i="34"/>
  <c r="BB47" i="34"/>
  <c r="AL47" i="34"/>
  <c r="AW47" i="34"/>
  <c r="BO47" i="34"/>
  <c r="AI40" i="34"/>
  <c r="AJ40" i="34"/>
  <c r="AK40" i="34"/>
  <c r="J129" i="34"/>
  <c r="N129" i="34"/>
  <c r="R129" i="34"/>
  <c r="V129" i="34"/>
  <c r="Z129" i="34"/>
  <c r="AD129" i="34"/>
  <c r="AH129" i="34"/>
  <c r="AL129" i="34"/>
  <c r="AP129" i="34"/>
  <c r="AT129" i="34"/>
  <c r="AX129" i="34"/>
  <c r="BB129" i="34"/>
  <c r="BF129" i="34"/>
  <c r="BJ129" i="34"/>
  <c r="BN129" i="34"/>
  <c r="K130" i="34"/>
  <c r="O130" i="34"/>
  <c r="S130" i="34"/>
  <c r="W130" i="34"/>
  <c r="AA130" i="34"/>
  <c r="AE130" i="34"/>
  <c r="AI130" i="34"/>
  <c r="AM130" i="34"/>
  <c r="AQ130" i="34"/>
  <c r="AU130" i="34"/>
  <c r="AY130" i="34"/>
  <c r="BC130" i="34"/>
  <c r="BG130" i="34"/>
  <c r="BK130" i="34"/>
  <c r="BO130" i="34"/>
  <c r="L131" i="34"/>
  <c r="P131" i="34"/>
  <c r="T131" i="34"/>
  <c r="X131" i="34"/>
  <c r="AB131" i="34"/>
  <c r="AF131" i="34"/>
  <c r="AJ131" i="34"/>
  <c r="AN131" i="34"/>
  <c r="AR131" i="34"/>
  <c r="AV131" i="34"/>
  <c r="AZ131" i="34"/>
  <c r="BD131" i="34"/>
  <c r="BH131" i="34"/>
  <c r="BL131" i="34"/>
  <c r="BP131" i="34"/>
  <c r="K129" i="34"/>
  <c r="O129" i="34"/>
  <c r="S129" i="34"/>
  <c r="W129" i="34"/>
  <c r="AA129" i="34"/>
  <c r="AE129" i="34"/>
  <c r="AI129" i="34"/>
  <c r="AM129" i="34"/>
  <c r="AQ129" i="34"/>
  <c r="AU129" i="34"/>
  <c r="AY129" i="34"/>
  <c r="BC129" i="34"/>
  <c r="BG129" i="34"/>
  <c r="BK129" i="34"/>
  <c r="BO129" i="34"/>
  <c r="L130" i="34"/>
  <c r="P130" i="34"/>
  <c r="T130" i="34"/>
  <c r="X130" i="34"/>
  <c r="AB130" i="34"/>
  <c r="AF130" i="34"/>
  <c r="AJ130" i="34"/>
  <c r="AN130" i="34"/>
  <c r="AR130" i="34"/>
  <c r="AV130" i="34"/>
  <c r="AZ130" i="34"/>
  <c r="BD130" i="34"/>
  <c r="BH130" i="34"/>
  <c r="BL130" i="34"/>
  <c r="BP130" i="34"/>
  <c r="M131" i="34"/>
  <c r="Q131" i="34"/>
  <c r="U131" i="34"/>
  <c r="Y131" i="34"/>
  <c r="AC131" i="34"/>
  <c r="AG131" i="34"/>
  <c r="AK131" i="34"/>
  <c r="AO131" i="34"/>
  <c r="AS131" i="34"/>
  <c r="AW131" i="34"/>
  <c r="BA131" i="34"/>
  <c r="BE131" i="34"/>
  <c r="BI131" i="34"/>
  <c r="BM131" i="34"/>
  <c r="L129" i="34"/>
  <c r="P129" i="34"/>
  <c r="T129" i="34"/>
  <c r="X129" i="34"/>
  <c r="AB129" i="34"/>
  <c r="AF129" i="34"/>
  <c r="AJ129" i="34"/>
  <c r="AN129" i="34"/>
  <c r="AR129" i="34"/>
  <c r="AV129" i="34"/>
  <c r="AZ129" i="34"/>
  <c r="BD129" i="34"/>
  <c r="BH129" i="34"/>
  <c r="BL129" i="34"/>
  <c r="BP129" i="34"/>
  <c r="M130" i="34"/>
  <c r="Q130" i="34"/>
  <c r="U130" i="34"/>
  <c r="Y130" i="34"/>
  <c r="AC130" i="34"/>
  <c r="AG130" i="34"/>
  <c r="AK130" i="34"/>
  <c r="AO130" i="34"/>
  <c r="AS130" i="34"/>
  <c r="AW130" i="34"/>
  <c r="BA130" i="34"/>
  <c r="BE130" i="34"/>
  <c r="BI130" i="34"/>
  <c r="BM130" i="34"/>
  <c r="J131" i="34"/>
  <c r="N131" i="34"/>
  <c r="R131" i="34"/>
  <c r="V131" i="34"/>
  <c r="Z131" i="34"/>
  <c r="AD131" i="34"/>
  <c r="AH131" i="34"/>
  <c r="AL131" i="34"/>
  <c r="AP131" i="34"/>
  <c r="AT131" i="34"/>
  <c r="AX131" i="34"/>
  <c r="BB131" i="34"/>
  <c r="BF131" i="34"/>
  <c r="BJ131" i="34"/>
  <c r="BN131" i="34"/>
  <c r="M129" i="34"/>
  <c r="Q129" i="34"/>
  <c r="U129" i="34"/>
  <c r="Y129" i="34"/>
  <c r="AC129" i="34"/>
  <c r="AG129" i="34"/>
  <c r="AK129" i="34"/>
  <c r="AO129" i="34"/>
  <c r="AS129" i="34"/>
  <c r="AW129" i="34"/>
  <c r="BA129" i="34"/>
  <c r="BE129" i="34"/>
  <c r="BI129" i="34"/>
  <c r="BM129" i="34"/>
  <c r="J130" i="34"/>
  <c r="N130" i="34"/>
  <c r="R130" i="34"/>
  <c r="V130" i="34"/>
  <c r="Z130" i="34"/>
  <c r="AD130" i="34"/>
  <c r="AH130" i="34"/>
  <c r="AL130" i="34"/>
  <c r="AP130" i="34"/>
  <c r="AT130" i="34"/>
  <c r="AX130" i="34"/>
  <c r="BB130" i="34"/>
  <c r="BF130" i="34"/>
  <c r="BJ130" i="34"/>
  <c r="BN130" i="34"/>
  <c r="K131" i="34"/>
  <c r="I135" i="34"/>
  <c r="I131" i="34"/>
  <c r="I127" i="34"/>
  <c r="I123" i="34"/>
  <c r="BM135" i="34"/>
  <c r="BI135" i="34"/>
  <c r="BE135" i="34"/>
  <c r="BA135" i="34"/>
  <c r="AW135" i="34"/>
  <c r="AS135" i="34"/>
  <c r="AO135" i="34"/>
  <c r="AK135" i="34"/>
  <c r="AG135" i="34"/>
  <c r="AC135" i="34"/>
  <c r="Y135" i="34"/>
  <c r="U135" i="34"/>
  <c r="Q135" i="34"/>
  <c r="M135" i="34"/>
  <c r="BP134" i="34"/>
  <c r="BL134" i="34"/>
  <c r="BH134" i="34"/>
  <c r="BD134" i="34"/>
  <c r="AZ134" i="34"/>
  <c r="AV134" i="34"/>
  <c r="AR134" i="34"/>
  <c r="AN134" i="34"/>
  <c r="AH134" i="34"/>
  <c r="AC134" i="34"/>
  <c r="X134" i="34"/>
  <c r="R134" i="34"/>
  <c r="M134" i="34"/>
  <c r="BO133" i="34"/>
  <c r="BI133" i="34"/>
  <c r="BD133" i="34"/>
  <c r="AW133" i="34"/>
  <c r="AO133" i="34"/>
  <c r="AG133" i="34"/>
  <c r="Y133" i="34"/>
  <c r="Q133" i="34"/>
  <c r="BP132" i="34"/>
  <c r="AZ132" i="34"/>
  <c r="AJ132" i="34"/>
  <c r="T132" i="34"/>
  <c r="BK131" i="34"/>
  <c r="AU131" i="34"/>
  <c r="AE131" i="34"/>
  <c r="O131" i="34"/>
  <c r="I134" i="34"/>
  <c r="I130" i="34"/>
  <c r="I126" i="34"/>
  <c r="BP135" i="34"/>
  <c r="BL135" i="34"/>
  <c r="BH135" i="34"/>
  <c r="BD135" i="34"/>
  <c r="AZ135" i="34"/>
  <c r="AV135" i="34"/>
  <c r="AR135" i="34"/>
  <c r="AN135" i="34"/>
  <c r="AJ135" i="34"/>
  <c r="AF135" i="34"/>
  <c r="AB135" i="34"/>
  <c r="X135" i="34"/>
  <c r="T135" i="34"/>
  <c r="P135" i="34"/>
  <c r="L135" i="34"/>
  <c r="BO134" i="34"/>
  <c r="BK134" i="34"/>
  <c r="BG134" i="34"/>
  <c r="BC134" i="34"/>
  <c r="AY134" i="34"/>
  <c r="AU134" i="34"/>
  <c r="AQ134" i="34"/>
  <c r="AL134" i="34"/>
  <c r="AG134" i="34"/>
  <c r="AB134" i="34"/>
  <c r="V134" i="34"/>
  <c r="Q134" i="34"/>
  <c r="L134" i="34"/>
  <c r="BM133" i="34"/>
  <c r="BH133" i="34"/>
  <c r="BC133" i="34"/>
  <c r="AV133" i="34"/>
  <c r="AN133" i="34"/>
  <c r="AF133" i="34"/>
  <c r="X133" i="34"/>
  <c r="P133" i="34"/>
  <c r="BL132" i="34"/>
  <c r="AV132" i="34"/>
  <c r="AF132" i="34"/>
  <c r="P132" i="34"/>
  <c r="BG131" i="34"/>
  <c r="AQ131" i="34"/>
  <c r="AA131" i="34"/>
  <c r="AI10" i="50"/>
  <c r="AI5" i="50"/>
  <c r="AI8" i="50" s="1"/>
  <c r="AN8" i="36" s="1"/>
  <c r="AI9" i="50" s="1"/>
  <c r="AO10" i="50"/>
  <c r="AO5" i="50"/>
  <c r="AO8" i="50" s="1"/>
  <c r="AT8" i="36" s="1"/>
  <c r="AO9" i="50" s="1"/>
  <c r="AH10" i="50"/>
  <c r="AH5" i="50"/>
  <c r="AH8" i="50" s="1"/>
  <c r="AM8" i="36" s="1"/>
  <c r="AH9" i="50" s="1"/>
  <c r="AN10" i="50"/>
  <c r="AN5" i="50"/>
  <c r="AN8" i="50" s="1"/>
  <c r="AS8" i="36" s="1"/>
  <c r="AN9" i="50" s="1"/>
  <c r="AM10" i="50"/>
  <c r="AM5" i="50"/>
  <c r="AM8" i="50" s="1"/>
  <c r="AR8" i="36" s="1"/>
  <c r="AM9" i="50" s="1"/>
  <c r="M5" i="47"/>
  <c r="M4" i="57"/>
  <c r="M4" i="50"/>
  <c r="B93" i="36"/>
  <c r="E129" i="34"/>
  <c r="A91" i="36"/>
  <c r="A95" i="36"/>
  <c r="A97" i="36" s="1"/>
  <c r="B89" i="36"/>
  <c r="A89" i="36"/>
  <c r="B91" i="36"/>
  <c r="AJ11" i="57" l="1"/>
  <c r="AI9" i="57"/>
  <c r="AI11" i="57"/>
  <c r="AJ9" i="57"/>
  <c r="AJ10" i="57"/>
  <c r="AI10" i="57"/>
  <c r="AI7" i="57"/>
  <c r="BM48" i="45"/>
  <c r="F48" i="45"/>
  <c r="U48" i="45"/>
  <c r="Q48" i="45"/>
  <c r="AJ48" i="45"/>
  <c r="Y48" i="45"/>
  <c r="AF48" i="45"/>
  <c r="AT48" i="45"/>
  <c r="BK48" i="45"/>
  <c r="AR48" i="45"/>
  <c r="L48" i="45"/>
  <c r="G48" i="45"/>
  <c r="S48" i="45"/>
  <c r="P48" i="45"/>
  <c r="Z48" i="45"/>
  <c r="O48" i="45"/>
  <c r="AM48" i="45"/>
  <c r="BC48" i="45"/>
  <c r="AQ48" i="45"/>
  <c r="AC48" i="45"/>
  <c r="AY48" i="45"/>
  <c r="BA48" i="45"/>
  <c r="BI48" i="45"/>
  <c r="AL48" i="45"/>
  <c r="BH48" i="45"/>
  <c r="J48" i="45"/>
  <c r="AA48" i="45"/>
  <c r="H48" i="45"/>
  <c r="AH48" i="45"/>
  <c r="AE48" i="45"/>
  <c r="AX48" i="45"/>
  <c r="BN48" i="45"/>
  <c r="BB48" i="45"/>
  <c r="AU48" i="45"/>
  <c r="AB48" i="45"/>
  <c r="AG48" i="45"/>
  <c r="BJ48" i="45"/>
  <c r="AW48" i="45"/>
  <c r="AP48" i="45"/>
  <c r="AV48" i="45"/>
  <c r="BL48" i="45"/>
  <c r="K48" i="45"/>
  <c r="N48" i="45"/>
  <c r="R48" i="45"/>
  <c r="BF48" i="45"/>
  <c r="AI48" i="45"/>
  <c r="BD48" i="45"/>
  <c r="AD48" i="45"/>
  <c r="BG48" i="45"/>
  <c r="AS48" i="45"/>
  <c r="AN48" i="45"/>
  <c r="AZ48" i="45"/>
  <c r="AK48" i="45"/>
  <c r="AO48" i="45"/>
  <c r="BE48" i="45"/>
  <c r="X48" i="45"/>
  <c r="V48" i="45"/>
  <c r="W48" i="45"/>
  <c r="T48" i="45"/>
  <c r="AI8" i="57"/>
  <c r="AJ8" i="57"/>
  <c r="AJ7" i="57"/>
  <c r="AI51" i="57"/>
  <c r="AJ51" i="57"/>
  <c r="L5" i="47"/>
  <c r="L4" i="57"/>
  <c r="L4" i="50"/>
  <c r="AD33" i="50" l="1"/>
  <c r="AA33" i="50"/>
  <c r="Y33" i="50"/>
  <c r="AE33" i="50"/>
  <c r="AE34" i="50" s="1"/>
  <c r="AC33" i="50"/>
  <c r="AB33" i="50"/>
  <c r="Z33" i="50"/>
  <c r="AI33" i="50"/>
  <c r="AM33" i="50"/>
  <c r="AN33" i="50"/>
  <c r="AO33" i="50"/>
  <c r="AH33" i="50"/>
  <c r="AD29" i="50"/>
  <c r="AE29" i="50"/>
  <c r="AA29" i="50"/>
  <c r="Y29" i="50"/>
  <c r="Z29" i="50"/>
  <c r="AC29" i="50"/>
  <c r="AB29" i="50"/>
  <c r="AH29" i="50"/>
  <c r="AO29" i="50"/>
  <c r="AN29" i="50"/>
  <c r="AI29" i="50"/>
  <c r="AM29" i="50"/>
  <c r="Z24" i="50"/>
  <c r="Z27" i="50" s="1"/>
  <c r="AC24" i="50"/>
  <c r="AC27" i="50" s="1"/>
  <c r="AO24" i="50"/>
  <c r="AO27" i="50" s="1"/>
  <c r="AA24" i="50"/>
  <c r="AA27" i="50" s="1"/>
  <c r="AI24" i="50"/>
  <c r="AI27" i="50" s="1"/>
  <c r="AN24" i="50"/>
  <c r="AN27" i="50" s="1"/>
  <c r="AD24" i="50"/>
  <c r="AD27" i="50" s="1"/>
  <c r="AH24" i="50"/>
  <c r="AH27" i="50" s="1"/>
  <c r="AB24" i="50"/>
  <c r="AB27" i="50" s="1"/>
  <c r="AE24" i="50"/>
  <c r="AE27" i="50" s="1"/>
  <c r="AM24" i="50"/>
  <c r="AM27" i="50" s="1"/>
  <c r="Y24" i="50"/>
  <c r="AF18" i="50"/>
  <c r="AK13" i="36" s="1"/>
  <c r="AB18" i="50"/>
  <c r="AR18" i="50"/>
  <c r="BH18" i="50"/>
  <c r="AE18" i="50"/>
  <c r="AU18" i="50"/>
  <c r="BK18" i="50"/>
  <c r="AJ18" i="50"/>
  <c r="AO13" i="36" s="1"/>
  <c r="AZ18" i="50"/>
  <c r="AM18" i="50"/>
  <c r="BC18" i="50"/>
  <c r="BG18" i="50"/>
  <c r="AA18" i="50"/>
  <c r="Y18" i="50"/>
  <c r="AX18" i="50"/>
  <c r="AH18" i="50"/>
  <c r="AM13" i="36" s="1"/>
  <c r="BE18" i="50"/>
  <c r="AO18" i="50"/>
  <c r="AY18" i="50"/>
  <c r="BD18" i="50"/>
  <c r="BJ18" i="50"/>
  <c r="AT18" i="50"/>
  <c r="AD18" i="50"/>
  <c r="AI13" i="36" s="1"/>
  <c r="AD20" i="50" s="1"/>
  <c r="BA18" i="50"/>
  <c r="AK18" i="50"/>
  <c r="AQ18" i="50"/>
  <c r="AV18" i="50"/>
  <c r="BF18" i="50"/>
  <c r="AP18" i="50"/>
  <c r="AU13" i="36" s="1"/>
  <c r="Z18" i="50"/>
  <c r="AW18" i="50"/>
  <c r="AG18" i="50"/>
  <c r="AL13" i="36" s="1"/>
  <c r="AI18" i="50"/>
  <c r="AN18" i="50"/>
  <c r="BB18" i="50"/>
  <c r="AL18" i="50"/>
  <c r="AQ13" i="36" s="1"/>
  <c r="BI18" i="50"/>
  <c r="AS18" i="50"/>
  <c r="AC18" i="50"/>
  <c r="AH13" i="36" s="1"/>
  <c r="AC20" i="50" s="1"/>
  <c r="AN16" i="50"/>
  <c r="AM16" i="50"/>
  <c r="Z16" i="50"/>
  <c r="AE16" i="50"/>
  <c r="AH16" i="50"/>
  <c r="AO16" i="50"/>
  <c r="AI16" i="50"/>
  <c r="AA16" i="50"/>
  <c r="AB16" i="50"/>
  <c r="AC16" i="50"/>
  <c r="Y16" i="50"/>
  <c r="AD16" i="50"/>
  <c r="AD13" i="36"/>
  <c r="Y20" i="50" s="1"/>
  <c r="AE13" i="36"/>
  <c r="Z20" i="50" s="1"/>
  <c r="AG15" i="36"/>
  <c r="AD15" i="36"/>
  <c r="AH15" i="36"/>
  <c r="AE15" i="36"/>
  <c r="AF15" i="36"/>
  <c r="AI15" i="36"/>
  <c r="AA41" i="50"/>
  <c r="AB41" i="50"/>
  <c r="AD41" i="50"/>
  <c r="Y41" i="50"/>
  <c r="Z41" i="50"/>
  <c r="AC41" i="50"/>
  <c r="AT41" i="34"/>
  <c r="BO15" i="36"/>
  <c r="BK15" i="36"/>
  <c r="BG15" i="36"/>
  <c r="BC15" i="36"/>
  <c r="AY15" i="36"/>
  <c r="AU15" i="36"/>
  <c r="AQ15" i="36"/>
  <c r="AM15" i="36"/>
  <c r="AM46" i="34" s="1"/>
  <c r="BH15" i="36"/>
  <c r="BD15" i="36"/>
  <c r="AR15" i="36"/>
  <c r="AR46" i="34" s="1"/>
  <c r="BN15" i="36"/>
  <c r="BJ15" i="36"/>
  <c r="BF15" i="36"/>
  <c r="BB15" i="36"/>
  <c r="AX15" i="36"/>
  <c r="AT15" i="36"/>
  <c r="AT46" i="34" s="1"/>
  <c r="AP15" i="36"/>
  <c r="AL15" i="36"/>
  <c r="BP15" i="36"/>
  <c r="AZ15" i="36"/>
  <c r="AN15" i="36"/>
  <c r="AN46" i="34" s="1"/>
  <c r="BM15" i="36"/>
  <c r="BI15" i="36"/>
  <c r="BE15" i="36"/>
  <c r="BA15" i="36"/>
  <c r="AW15" i="36"/>
  <c r="AS15" i="36"/>
  <c r="AS46" i="34" s="1"/>
  <c r="AO15" i="36"/>
  <c r="AK15" i="36"/>
  <c r="BL15" i="36"/>
  <c r="AV15" i="36"/>
  <c r="AJ15" i="36"/>
  <c r="AJ46" i="34" s="1"/>
  <c r="AE11" i="50"/>
  <c r="AP13" i="36"/>
  <c r="AT13" i="36"/>
  <c r="AS13" i="36"/>
  <c r="AR13" i="36"/>
  <c r="AJ13" i="36"/>
  <c r="AN13" i="36"/>
  <c r="AE25" i="50"/>
  <c r="AE30" i="50"/>
  <c r="AM41" i="50"/>
  <c r="BC41" i="50"/>
  <c r="AN41" i="50"/>
  <c r="BD41" i="50"/>
  <c r="AW41" i="50"/>
  <c r="BA41" i="50"/>
  <c r="BB41" i="50"/>
  <c r="BF41" i="50"/>
  <c r="AU41" i="50"/>
  <c r="BK41" i="50"/>
  <c r="AV41" i="50"/>
  <c r="AG41" i="50"/>
  <c r="AK41" i="50"/>
  <c r="AQ41" i="50"/>
  <c r="BG41" i="50"/>
  <c r="AR41" i="50"/>
  <c r="BH41" i="50"/>
  <c r="BE41" i="50"/>
  <c r="BJ41" i="50"/>
  <c r="AE41" i="50"/>
  <c r="AL41" i="50"/>
  <c r="AF41" i="50"/>
  <c r="AH41" i="50"/>
  <c r="AX41" i="50"/>
  <c r="AJ41" i="50"/>
  <c r="AS41" i="50"/>
  <c r="AI41" i="50"/>
  <c r="AO41" i="50"/>
  <c r="AY41" i="50"/>
  <c r="AP41" i="50"/>
  <c r="AZ41" i="50"/>
  <c r="AT41" i="50"/>
  <c r="BI41" i="50"/>
  <c r="K5" i="47"/>
  <c r="K4" i="57"/>
  <c r="K4" i="50"/>
  <c r="AN14" i="36" l="1"/>
  <c r="AI20" i="50"/>
  <c r="AQ14" i="36"/>
  <c r="AQ45" i="34" s="1"/>
  <c r="AL20" i="50"/>
  <c r="AL14" i="36"/>
  <c r="AG20" i="50"/>
  <c r="AM14" i="36"/>
  <c r="AH20" i="50"/>
  <c r="AO14" i="36"/>
  <c r="AO45" i="34" s="1"/>
  <c r="AJ20" i="50"/>
  <c r="AR14" i="36"/>
  <c r="AR45" i="34" s="1"/>
  <c r="AM20" i="50"/>
  <c r="AT14" i="36"/>
  <c r="AT45" i="34" s="1"/>
  <c r="AO20" i="50"/>
  <c r="AJ14" i="36"/>
  <c r="AJ45" i="34" s="1"/>
  <c r="AE20" i="50"/>
  <c r="AS14" i="36"/>
  <c r="AN20" i="50"/>
  <c r="AP14" i="36"/>
  <c r="AP45" i="34" s="1"/>
  <c r="AK20" i="50"/>
  <c r="AU14" i="36"/>
  <c r="AV14" i="36" s="1"/>
  <c r="AW14" i="36" s="1"/>
  <c r="AX14" i="36" s="1"/>
  <c r="AY14" i="36" s="1"/>
  <c r="AZ14" i="36" s="1"/>
  <c r="BA14" i="36" s="1"/>
  <c r="BB14" i="36" s="1"/>
  <c r="BC14" i="36" s="1"/>
  <c r="BD14" i="36" s="1"/>
  <c r="BE14" i="36" s="1"/>
  <c r="BF14" i="36" s="1"/>
  <c r="BG14" i="36" s="1"/>
  <c r="BH14" i="36" s="1"/>
  <c r="BI14" i="36" s="1"/>
  <c r="BJ14" i="36" s="1"/>
  <c r="BK14" i="36" s="1"/>
  <c r="BL14" i="36" s="1"/>
  <c r="BM14" i="36" s="1"/>
  <c r="BN14" i="36" s="1"/>
  <c r="BO14" i="36" s="1"/>
  <c r="BP14" i="36" s="1"/>
  <c r="AP20" i="50"/>
  <c r="AK14" i="36"/>
  <c r="AK45" i="34" s="1"/>
  <c r="AF20" i="50"/>
  <c r="AV13" i="36"/>
  <c r="AQ20" i="50" s="1"/>
  <c r="AQ17" i="50"/>
  <c r="AC7" i="50"/>
  <c r="AB34" i="50"/>
  <c r="AC34" i="50"/>
  <c r="AH17" i="36"/>
  <c r="AC28" i="50" s="1"/>
  <c r="AC25" i="50"/>
  <c r="AB11" i="50"/>
  <c r="AD11" i="50"/>
  <c r="AI46" i="34"/>
  <c r="Y30" i="50"/>
  <c r="AB21" i="50"/>
  <c r="AG13" i="36"/>
  <c r="AB20" i="50" s="1"/>
  <c r="AH14" i="36"/>
  <c r="Y21" i="50"/>
  <c r="AA7" i="50"/>
  <c r="AA34" i="50"/>
  <c r="Y34" i="50"/>
  <c r="AB25" i="50"/>
  <c r="AG17" i="36"/>
  <c r="AB28" i="50" s="1"/>
  <c r="Y11" i="50"/>
  <c r="Z11" i="50"/>
  <c r="AD30" i="50"/>
  <c r="AA21" i="50"/>
  <c r="AF13" i="36"/>
  <c r="AA20" i="50" s="1"/>
  <c r="AD14" i="36"/>
  <c r="AD21" i="50"/>
  <c r="AB7" i="50"/>
  <c r="AD7" i="50"/>
  <c r="AD34" i="50"/>
  <c r="Y25" i="50"/>
  <c r="Y27" i="50"/>
  <c r="AD17" i="36" s="1"/>
  <c r="Y28" i="50" s="1"/>
  <c r="Z25" i="50"/>
  <c r="AE17" i="36"/>
  <c r="Z28" i="50" s="1"/>
  <c r="AC11" i="50"/>
  <c r="AC30" i="50"/>
  <c r="AB30" i="50"/>
  <c r="AI14" i="36"/>
  <c r="AI44" i="34"/>
  <c r="AC21" i="50"/>
  <c r="Y7" i="50"/>
  <c r="Z7" i="50"/>
  <c r="Z34" i="50"/>
  <c r="AI17" i="36"/>
  <c r="AD28" i="50" s="1"/>
  <c r="AD25" i="50"/>
  <c r="AA25" i="50"/>
  <c r="AF17" i="36"/>
  <c r="AA28" i="50" s="1"/>
  <c r="AA11" i="50"/>
  <c r="Z30" i="50"/>
  <c r="AA30" i="50"/>
  <c r="AE14" i="36"/>
  <c r="Z21" i="50"/>
  <c r="AL45" i="34"/>
  <c r="AT44" i="34"/>
  <c r="AR44" i="34"/>
  <c r="BA45" i="34"/>
  <c r="AS44" i="34"/>
  <c r="AS45" i="34"/>
  <c r="AM44" i="34"/>
  <c r="AM45" i="34"/>
  <c r="AO6" i="50"/>
  <c r="AN44" i="34"/>
  <c r="AN45" i="34"/>
  <c r="AJ44" i="34"/>
  <c r="AY45" i="34"/>
  <c r="BP45" i="34"/>
  <c r="BD45" i="34"/>
  <c r="BO45" i="34"/>
  <c r="BB45" i="34"/>
  <c r="AM41" i="34"/>
  <c r="AS41" i="34"/>
  <c r="AN41" i="34"/>
  <c r="AR41" i="34"/>
  <c r="J5" i="47"/>
  <c r="J4" i="57"/>
  <c r="J4" i="50"/>
  <c r="AE21" i="50"/>
  <c r="AE7" i="50"/>
  <c r="D12" i="55"/>
  <c r="E12" i="55"/>
  <c r="F12" i="55"/>
  <c r="G12" i="55"/>
  <c r="H12" i="55"/>
  <c r="I12" i="55"/>
  <c r="J12" i="55"/>
  <c r="K12" i="55"/>
  <c r="L12" i="55"/>
  <c r="M12" i="55"/>
  <c r="N12" i="55"/>
  <c r="C12" i="55"/>
  <c r="D6" i="55"/>
  <c r="E6" i="55"/>
  <c r="F6" i="55"/>
  <c r="G6" i="55"/>
  <c r="H6" i="55"/>
  <c r="I6" i="55"/>
  <c r="J6" i="55"/>
  <c r="K6" i="55"/>
  <c r="L6" i="55"/>
  <c r="M6" i="55"/>
  <c r="N6" i="55"/>
  <c r="C6" i="55"/>
  <c r="AA28" i="55"/>
  <c r="AB28" i="55" s="1"/>
  <c r="AC28" i="55" s="1"/>
  <c r="AD28" i="55" s="1"/>
  <c r="AE28" i="55" s="1"/>
  <c r="Z28" i="55"/>
  <c r="S11" i="55"/>
  <c r="T11" i="55"/>
  <c r="U11" i="55"/>
  <c r="V11" i="55"/>
  <c r="W11" i="55"/>
  <c r="X11" i="55"/>
  <c r="Y11" i="55"/>
  <c r="Z11" i="55"/>
  <c r="AA11" i="55"/>
  <c r="AB11" i="55"/>
  <c r="AC11" i="55"/>
  <c r="AD11" i="55"/>
  <c r="AE11" i="55"/>
  <c r="R11" i="55"/>
  <c r="D24" i="55"/>
  <c r="E24" i="55"/>
  <c r="F24" i="55"/>
  <c r="G24" i="55"/>
  <c r="H24" i="55"/>
  <c r="I24" i="55"/>
  <c r="J24" i="55"/>
  <c r="K24" i="55"/>
  <c r="L24" i="55"/>
  <c r="M24" i="55"/>
  <c r="N24" i="55"/>
  <c r="Q24" i="55"/>
  <c r="C24" i="55"/>
  <c r="D37" i="55"/>
  <c r="E37" i="55"/>
  <c r="F37" i="55"/>
  <c r="G37" i="55"/>
  <c r="H37" i="55"/>
  <c r="I37" i="55"/>
  <c r="J37" i="55"/>
  <c r="K37" i="55"/>
  <c r="L37" i="55"/>
  <c r="M37" i="55"/>
  <c r="N37" i="55"/>
  <c r="C37" i="55"/>
  <c r="D31" i="55"/>
  <c r="E31" i="55"/>
  <c r="F31" i="55"/>
  <c r="G31" i="55"/>
  <c r="H31" i="55"/>
  <c r="I31" i="55"/>
  <c r="J31" i="55"/>
  <c r="K31" i="55"/>
  <c r="L31" i="55"/>
  <c r="M31" i="55"/>
  <c r="N31" i="55"/>
  <c r="C31" i="55"/>
  <c r="D18" i="55"/>
  <c r="E18" i="55"/>
  <c r="F18" i="55"/>
  <c r="G18" i="55"/>
  <c r="H18" i="55"/>
  <c r="I18" i="55"/>
  <c r="J18" i="55"/>
  <c r="K18" i="55"/>
  <c r="L18" i="55"/>
  <c r="M18" i="55"/>
  <c r="N18" i="55"/>
  <c r="O18" i="55"/>
  <c r="P18" i="55"/>
  <c r="Q18" i="55"/>
  <c r="R18" i="55"/>
  <c r="S18" i="55"/>
  <c r="C18" i="55"/>
  <c r="D38" i="55"/>
  <c r="E38" i="55"/>
  <c r="F38" i="55"/>
  <c r="G38" i="55"/>
  <c r="H38" i="55"/>
  <c r="I38" i="55"/>
  <c r="J38" i="55"/>
  <c r="K38" i="55"/>
  <c r="L38" i="55"/>
  <c r="M38" i="55"/>
  <c r="N38" i="55"/>
  <c r="O38" i="55"/>
  <c r="P38" i="55"/>
  <c r="Q38" i="55"/>
  <c r="R38" i="55"/>
  <c r="S38" i="55"/>
  <c r="T38" i="55"/>
  <c r="C38" i="55"/>
  <c r="D32" i="55"/>
  <c r="E32" i="55"/>
  <c r="F32" i="55"/>
  <c r="G32" i="55"/>
  <c r="H32" i="55"/>
  <c r="I32" i="55"/>
  <c r="J32" i="55"/>
  <c r="K32" i="55"/>
  <c r="L32" i="55"/>
  <c r="M32" i="55"/>
  <c r="N32" i="55"/>
  <c r="O32" i="55"/>
  <c r="P32" i="55"/>
  <c r="Q32" i="55"/>
  <c r="R32" i="55"/>
  <c r="S32" i="55"/>
  <c r="T32" i="55"/>
  <c r="U32" i="55"/>
  <c r="C32" i="55"/>
  <c r="D25" i="55"/>
  <c r="E25" i="55"/>
  <c r="F25" i="55"/>
  <c r="G25" i="55"/>
  <c r="H25" i="55"/>
  <c r="I25" i="55"/>
  <c r="J25" i="55"/>
  <c r="K25" i="55"/>
  <c r="L25" i="55"/>
  <c r="M25" i="55"/>
  <c r="N25" i="55"/>
  <c r="O25" i="55"/>
  <c r="P25" i="55"/>
  <c r="Q25" i="55"/>
  <c r="R25" i="55"/>
  <c r="S25" i="55"/>
  <c r="T25" i="55"/>
  <c r="U25" i="55"/>
  <c r="C25" i="55"/>
  <c r="D19" i="55"/>
  <c r="E19" i="55"/>
  <c r="F19" i="55"/>
  <c r="G19" i="55"/>
  <c r="H19" i="55"/>
  <c r="I19" i="55"/>
  <c r="J19" i="55"/>
  <c r="K19" i="55"/>
  <c r="L19" i="55"/>
  <c r="M19" i="55"/>
  <c r="N19" i="55"/>
  <c r="O19" i="55"/>
  <c r="P19" i="55"/>
  <c r="Q19" i="55"/>
  <c r="R19" i="55"/>
  <c r="S19" i="55"/>
  <c r="T19" i="55"/>
  <c r="C19" i="55"/>
  <c r="D13" i="55"/>
  <c r="E13" i="55"/>
  <c r="F13" i="55"/>
  <c r="G13" i="55"/>
  <c r="H13" i="55"/>
  <c r="I13" i="55"/>
  <c r="J13" i="55"/>
  <c r="K13" i="55"/>
  <c r="L13" i="55"/>
  <c r="M13" i="55"/>
  <c r="N13" i="55"/>
  <c r="O13" i="55"/>
  <c r="P13" i="55"/>
  <c r="Q13" i="55"/>
  <c r="R13" i="55"/>
  <c r="S13" i="55"/>
  <c r="T13" i="55"/>
  <c r="U13" i="55"/>
  <c r="C13" i="55"/>
  <c r="D7" i="55"/>
  <c r="E7" i="55"/>
  <c r="F7" i="55"/>
  <c r="G7" i="55"/>
  <c r="H7" i="55"/>
  <c r="I7" i="55"/>
  <c r="J7" i="55"/>
  <c r="K7" i="55"/>
  <c r="L7" i="55"/>
  <c r="M7" i="55"/>
  <c r="N7" i="55"/>
  <c r="O7" i="55"/>
  <c r="P7" i="55"/>
  <c r="Q7" i="55"/>
  <c r="R7" i="55"/>
  <c r="S7" i="55"/>
  <c r="T7" i="55"/>
  <c r="U7" i="55"/>
  <c r="C7" i="55"/>
  <c r="BM45" i="34" l="1"/>
  <c r="AV45" i="34"/>
  <c r="BH45" i="34"/>
  <c r="AZ45" i="34"/>
  <c r="BG45" i="34"/>
  <c r="BI45" i="34"/>
  <c r="AX45" i="34"/>
  <c r="BK45" i="34"/>
  <c r="BN45" i="34"/>
  <c r="BF45" i="34"/>
  <c r="BC45" i="34"/>
  <c r="BL45" i="34"/>
  <c r="BJ45" i="34"/>
  <c r="BE45" i="34"/>
  <c r="AW45" i="34"/>
  <c r="AU45" i="34"/>
  <c r="I36" i="46"/>
  <c r="AR20" i="50" s="1"/>
  <c r="J36" i="46"/>
  <c r="O24" i="55"/>
  <c r="S24" i="55"/>
  <c r="R24" i="55"/>
  <c r="P24" i="55"/>
  <c r="AI18" i="36"/>
  <c r="AI48" i="34"/>
  <c r="AF14" i="36"/>
  <c r="AG18" i="36"/>
  <c r="AH18" i="36"/>
  <c r="AF18" i="36"/>
  <c r="AD18" i="36"/>
  <c r="AI39" i="34"/>
  <c r="AI45" i="34"/>
  <c r="AG14" i="36"/>
  <c r="AE18" i="36"/>
  <c r="AI41" i="34"/>
  <c r="I5" i="47"/>
  <c r="I4" i="57"/>
  <c r="I4" i="50"/>
  <c r="D30" i="50"/>
  <c r="E30" i="50"/>
  <c r="F30" i="50"/>
  <c r="G30" i="50"/>
  <c r="H30" i="50"/>
  <c r="I30" i="50"/>
  <c r="J30" i="50"/>
  <c r="K30" i="50"/>
  <c r="L30" i="50"/>
  <c r="M30" i="50"/>
  <c r="N30" i="50"/>
  <c r="O30" i="50"/>
  <c r="P30" i="50"/>
  <c r="Q30" i="50"/>
  <c r="R30" i="50"/>
  <c r="S30" i="50"/>
  <c r="T30" i="50"/>
  <c r="C30" i="50"/>
  <c r="D34" i="50"/>
  <c r="E34" i="50"/>
  <c r="F34" i="50"/>
  <c r="G34" i="50"/>
  <c r="H34" i="50"/>
  <c r="I34" i="50"/>
  <c r="J34" i="50"/>
  <c r="K34" i="50"/>
  <c r="L34" i="50"/>
  <c r="M34" i="50"/>
  <c r="N34" i="50"/>
  <c r="O34" i="50"/>
  <c r="P34" i="50"/>
  <c r="Q34" i="50"/>
  <c r="R34" i="50"/>
  <c r="S34" i="50"/>
  <c r="T34" i="50"/>
  <c r="C34" i="50"/>
  <c r="D25" i="50"/>
  <c r="E25" i="50"/>
  <c r="F25" i="50"/>
  <c r="G25" i="50"/>
  <c r="H25" i="50"/>
  <c r="I25" i="50"/>
  <c r="J25" i="50"/>
  <c r="K25" i="50"/>
  <c r="L25" i="50"/>
  <c r="M25" i="50"/>
  <c r="N25" i="50"/>
  <c r="O25" i="50"/>
  <c r="P25" i="50"/>
  <c r="Q25" i="50"/>
  <c r="R25" i="50"/>
  <c r="S25" i="50"/>
  <c r="T25" i="50"/>
  <c r="C25" i="50"/>
  <c r="D21" i="50"/>
  <c r="E21" i="50"/>
  <c r="F21" i="50"/>
  <c r="G21" i="50"/>
  <c r="H21" i="50"/>
  <c r="I21" i="50"/>
  <c r="J21" i="50"/>
  <c r="K21" i="50"/>
  <c r="L21" i="50"/>
  <c r="M21" i="50"/>
  <c r="N21" i="50"/>
  <c r="O21" i="50"/>
  <c r="P21" i="50"/>
  <c r="Q21" i="50"/>
  <c r="R21" i="50"/>
  <c r="S21" i="50"/>
  <c r="T21" i="50"/>
  <c r="C21" i="50"/>
  <c r="D11" i="50"/>
  <c r="E11" i="50"/>
  <c r="F11" i="50"/>
  <c r="G11" i="50"/>
  <c r="H11" i="50"/>
  <c r="I11" i="50"/>
  <c r="J11" i="50"/>
  <c r="K11" i="50"/>
  <c r="L11" i="50"/>
  <c r="M11" i="50"/>
  <c r="N11" i="50"/>
  <c r="O11" i="50"/>
  <c r="P11" i="50"/>
  <c r="Q11" i="50"/>
  <c r="R11" i="50"/>
  <c r="S11" i="50"/>
  <c r="T11" i="50"/>
  <c r="C11" i="50"/>
  <c r="D7" i="50"/>
  <c r="E7" i="50"/>
  <c r="F7" i="50"/>
  <c r="G7" i="50"/>
  <c r="H7" i="50"/>
  <c r="I7" i="50"/>
  <c r="J7" i="50"/>
  <c r="K7" i="50"/>
  <c r="L7" i="50"/>
  <c r="M7" i="50"/>
  <c r="N7" i="50"/>
  <c r="O7" i="50"/>
  <c r="P7" i="50"/>
  <c r="Q7" i="50"/>
  <c r="R7" i="50"/>
  <c r="S7" i="50"/>
  <c r="T7" i="50"/>
  <c r="C7" i="50"/>
  <c r="AW13" i="36" l="1"/>
  <c r="AS20" i="50"/>
  <c r="AI49" i="34"/>
  <c r="H5" i="47"/>
  <c r="H4" i="57"/>
  <c r="H4" i="50"/>
  <c r="U38" i="55"/>
  <c r="AT20" i="50" l="1"/>
  <c r="AX13" i="36"/>
  <c r="G4" i="57"/>
  <c r="G5" i="47"/>
  <c r="G4" i="50"/>
  <c r="AU20" i="50" l="1"/>
  <c r="AY13" i="36"/>
  <c r="F5" i="47"/>
  <c r="F4" i="57"/>
  <c r="F4" i="50"/>
  <c r="U19" i="55"/>
  <c r="AV20" i="50" l="1"/>
  <c r="AZ13" i="36"/>
  <c r="E5" i="47"/>
  <c r="E4" i="57"/>
  <c r="E4" i="50"/>
  <c r="A40" i="46"/>
  <c r="A41" i="46" s="1"/>
  <c r="A42" i="46" s="1"/>
  <c r="A43" i="46" s="1"/>
  <c r="A44" i="46" s="1"/>
  <c r="A45" i="46" s="1"/>
  <c r="A46" i="46" s="1"/>
  <c r="A47" i="46" s="1"/>
  <c r="A48" i="46" s="1"/>
  <c r="A49" i="46" s="1"/>
  <c r="A50" i="46" s="1"/>
  <c r="A51" i="46" s="1"/>
  <c r="A52" i="46" s="1"/>
  <c r="A53" i="46" s="1"/>
  <c r="A54" i="46" s="1"/>
  <c r="A55" i="46" s="1"/>
  <c r="A56" i="46" s="1"/>
  <c r="A57" i="46" s="1"/>
  <c r="A58" i="46" s="1"/>
  <c r="A59" i="46" s="1"/>
  <c r="A60" i="46" s="1"/>
  <c r="A61" i="46" s="1"/>
  <c r="A62" i="46" s="1"/>
  <c r="A63" i="46" s="1"/>
  <c r="A64" i="46" s="1"/>
  <c r="A65" i="46" s="1"/>
  <c r="A66" i="46" s="1"/>
  <c r="A67" i="46" s="1"/>
  <c r="A68" i="46" s="1"/>
  <c r="A69" i="46" s="1"/>
  <c r="A70" i="46" s="1"/>
  <c r="A71" i="46" s="1"/>
  <c r="A72" i="46" s="1"/>
  <c r="A73" i="46" s="1"/>
  <c r="A74" i="46" s="1"/>
  <c r="A75" i="46" s="1"/>
  <c r="A76" i="46" s="1"/>
  <c r="A77" i="46" s="1"/>
  <c r="A78" i="46" s="1"/>
  <c r="A79" i="46" s="1"/>
  <c r="A80" i="46" s="1"/>
  <c r="A81" i="46" s="1"/>
  <c r="A82" i="46" s="1"/>
  <c r="A83" i="46" s="1"/>
  <c r="A84" i="46" s="1"/>
  <c r="A85" i="46" s="1"/>
  <c r="A86" i="46" s="1"/>
  <c r="A87" i="46" s="1"/>
  <c r="A88" i="46" s="1"/>
  <c r="A89" i="46" s="1"/>
  <c r="A90" i="46" s="1"/>
  <c r="A91" i="46" s="1"/>
  <c r="A92" i="46" s="1"/>
  <c r="A93" i="46" s="1"/>
  <c r="A94" i="46" s="1"/>
  <c r="A95" i="46" s="1"/>
  <c r="A96" i="46" s="1"/>
  <c r="A97" i="46" s="1"/>
  <c r="A98" i="46" s="1"/>
  <c r="A99" i="46" s="1"/>
  <c r="A100" i="46" s="1"/>
  <c r="A101" i="46" s="1"/>
  <c r="A102" i="46" s="1"/>
  <c r="A103" i="46" s="1"/>
  <c r="A104" i="46" s="1"/>
  <c r="A105" i="46" s="1"/>
  <c r="A106" i="46" s="1"/>
  <c r="A107" i="46" s="1"/>
  <c r="B40" i="46"/>
  <c r="B41" i="46" s="1"/>
  <c r="B42" i="46" s="1"/>
  <c r="B43" i="46" s="1"/>
  <c r="B44" i="46" s="1"/>
  <c r="B45" i="46" s="1"/>
  <c r="B46" i="46" s="1"/>
  <c r="B47" i="46" s="1"/>
  <c r="B48" i="46" s="1"/>
  <c r="B49" i="46" s="1"/>
  <c r="B50" i="46" s="1"/>
  <c r="B51" i="46" s="1"/>
  <c r="B52" i="46" s="1"/>
  <c r="B53" i="46" s="1"/>
  <c r="B54" i="46" s="1"/>
  <c r="B55" i="46" s="1"/>
  <c r="B56" i="46" s="1"/>
  <c r="B57" i="46" s="1"/>
  <c r="B58" i="46" s="1"/>
  <c r="B59" i="46" s="1"/>
  <c r="B60" i="46" s="1"/>
  <c r="B61" i="46" s="1"/>
  <c r="B62" i="46" s="1"/>
  <c r="B63" i="46" s="1"/>
  <c r="B64" i="46" s="1"/>
  <c r="B65" i="46" s="1"/>
  <c r="B66" i="46" s="1"/>
  <c r="B67" i="46" s="1"/>
  <c r="B68" i="46" s="1"/>
  <c r="B69" i="46" s="1"/>
  <c r="B70" i="46" s="1"/>
  <c r="B71" i="46" s="1"/>
  <c r="B72" i="46" s="1"/>
  <c r="B73" i="46" s="1"/>
  <c r="B74" i="46" s="1"/>
  <c r="B75" i="46" s="1"/>
  <c r="B76" i="46" s="1"/>
  <c r="B77" i="46" s="1"/>
  <c r="B78" i="46" s="1"/>
  <c r="B79" i="46" s="1"/>
  <c r="B80" i="46" s="1"/>
  <c r="B81" i="46" s="1"/>
  <c r="B82" i="46" s="1"/>
  <c r="B83" i="46" s="1"/>
  <c r="B84" i="46" s="1"/>
  <c r="B85" i="46" s="1"/>
  <c r="B86" i="46" s="1"/>
  <c r="B87" i="46" s="1"/>
  <c r="B88" i="46" s="1"/>
  <c r="B89" i="46" s="1"/>
  <c r="B90" i="46" s="1"/>
  <c r="B91" i="46" s="1"/>
  <c r="B92" i="46" s="1"/>
  <c r="B93" i="46" s="1"/>
  <c r="B94" i="46" s="1"/>
  <c r="B95" i="46" s="1"/>
  <c r="B96" i="46" s="1"/>
  <c r="B97" i="46" s="1"/>
  <c r="B98" i="46" s="1"/>
  <c r="B99" i="46" s="1"/>
  <c r="B100" i="46" s="1"/>
  <c r="B101" i="46" s="1"/>
  <c r="B102" i="46" s="1"/>
  <c r="B103" i="46" s="1"/>
  <c r="B104" i="46" s="1"/>
  <c r="B105" i="46" s="1"/>
  <c r="B106" i="46" s="1"/>
  <c r="B107" i="46" s="1"/>
  <c r="H40" i="46"/>
  <c r="C41" i="46"/>
  <c r="C42" i="46" s="1"/>
  <c r="C43" i="46" s="1"/>
  <c r="F41" i="46"/>
  <c r="F42" i="46" s="1"/>
  <c r="F43" i="46" s="1"/>
  <c r="F44" i="46" s="1"/>
  <c r="F45" i="46" s="1"/>
  <c r="F46" i="46" s="1"/>
  <c r="F47" i="46" s="1"/>
  <c r="F48" i="46" s="1"/>
  <c r="F49" i="46" s="1"/>
  <c r="F50" i="46" s="1"/>
  <c r="F51" i="46" s="1"/>
  <c r="F52" i="46" s="1"/>
  <c r="F53" i="46" s="1"/>
  <c r="F54" i="46" s="1"/>
  <c r="F55" i="46" s="1"/>
  <c r="F56" i="46" s="1"/>
  <c r="F57" i="46" s="1"/>
  <c r="H41" i="46"/>
  <c r="H42" i="46"/>
  <c r="H43" i="46"/>
  <c r="H44" i="46"/>
  <c r="H45" i="46"/>
  <c r="H46" i="46"/>
  <c r="H47" i="46"/>
  <c r="H48" i="46"/>
  <c r="H49" i="46"/>
  <c r="H50" i="46"/>
  <c r="H51" i="46"/>
  <c r="H52" i="46"/>
  <c r="H53" i="46"/>
  <c r="H54" i="46"/>
  <c r="H55" i="46"/>
  <c r="H56" i="46"/>
  <c r="H57" i="46"/>
  <c r="F92" i="46"/>
  <c r="F93" i="46" s="1"/>
  <c r="F94" i="46" s="1"/>
  <c r="F95" i="46" s="1"/>
  <c r="F96" i="46" s="1"/>
  <c r="F97" i="46" s="1"/>
  <c r="F98" i="46" s="1"/>
  <c r="F99" i="46" s="1"/>
  <c r="F100" i="46" s="1"/>
  <c r="F101" i="46" s="1"/>
  <c r="F102" i="46" s="1"/>
  <c r="F103" i="46" s="1"/>
  <c r="F104" i="46" s="1"/>
  <c r="F105" i="46" s="1"/>
  <c r="F106" i="46" s="1"/>
  <c r="F107" i="46" s="1"/>
  <c r="C39" i="46"/>
  <c r="B39" i="46"/>
  <c r="A39" i="46"/>
  <c r="C22" i="46"/>
  <c r="C21" i="46"/>
  <c r="C31" i="46" s="1"/>
  <c r="C20" i="46"/>
  <c r="C19" i="46"/>
  <c r="C29" i="46" s="1"/>
  <c r="C35" i="46" s="1"/>
  <c r="A18" i="46"/>
  <c r="D18" i="46"/>
  <c r="C18" i="46"/>
  <c r="AW20" i="50" l="1"/>
  <c r="BA13" i="36"/>
  <c r="C24" i="46"/>
  <c r="C30" i="46"/>
  <c r="C36" i="46" s="1"/>
  <c r="A19" i="46"/>
  <c r="A27" i="46"/>
  <c r="C23" i="46"/>
  <c r="C33" i="46" s="1"/>
  <c r="C32" i="46"/>
  <c r="AE75" i="36"/>
  <c r="AI59" i="36"/>
  <c r="AH75" i="36"/>
  <c r="AD59" i="36"/>
  <c r="AE59" i="36"/>
  <c r="AI75" i="36"/>
  <c r="AH59" i="36"/>
  <c r="AD75" i="36"/>
  <c r="AF59" i="36"/>
  <c r="AG59" i="36"/>
  <c r="AF75" i="36"/>
  <c r="AG75" i="36"/>
  <c r="AH74" i="36"/>
  <c r="AD74" i="36"/>
  <c r="AE58" i="36"/>
  <c r="AE74" i="36"/>
  <c r="AI58" i="36"/>
  <c r="AH58" i="36"/>
  <c r="AD58" i="36"/>
  <c r="AI74" i="36"/>
  <c r="AF74" i="36"/>
  <c r="AG58" i="36"/>
  <c r="AF58" i="36"/>
  <c r="AG74" i="36"/>
  <c r="AI54" i="36"/>
  <c r="AF70" i="36"/>
  <c r="AE54" i="36"/>
  <c r="AD54" i="36"/>
  <c r="AH54" i="36"/>
  <c r="AG70" i="36"/>
  <c r="AH70" i="36"/>
  <c r="AI70" i="36"/>
  <c r="AF54" i="36"/>
  <c r="AE70" i="36"/>
  <c r="AG54" i="36"/>
  <c r="AD70" i="36"/>
  <c r="AF61" i="36"/>
  <c r="AD77" i="36"/>
  <c r="AH77" i="36"/>
  <c r="AG61" i="36"/>
  <c r="AE77" i="36"/>
  <c r="AI77" i="36"/>
  <c r="AI61" i="36"/>
  <c r="AG77" i="36"/>
  <c r="AD61" i="36"/>
  <c r="AH61" i="36"/>
  <c r="AF77" i="36"/>
  <c r="AE61" i="36"/>
  <c r="AI69" i="36"/>
  <c r="AD69" i="36"/>
  <c r="AI53" i="36"/>
  <c r="AF53" i="36"/>
  <c r="AD53" i="36"/>
  <c r="AG53" i="36"/>
  <c r="AF69" i="36"/>
  <c r="AH53" i="36"/>
  <c r="AE53" i="36"/>
  <c r="AG69" i="36"/>
  <c r="AH69" i="36"/>
  <c r="AE69" i="36"/>
  <c r="AD63" i="36"/>
  <c r="AH79" i="36"/>
  <c r="AF63" i="36"/>
  <c r="AF79" i="36"/>
  <c r="AE63" i="36"/>
  <c r="AI63" i="36"/>
  <c r="AE79" i="36"/>
  <c r="AG63" i="36"/>
  <c r="AI79" i="36"/>
  <c r="AG79" i="36"/>
  <c r="AD79" i="36"/>
  <c r="AH63" i="36"/>
  <c r="AG71" i="36"/>
  <c r="AI55" i="36"/>
  <c r="AH55" i="36"/>
  <c r="AI71" i="36"/>
  <c r="AE71" i="36"/>
  <c r="AD55" i="36"/>
  <c r="AF55" i="36"/>
  <c r="AE55" i="36"/>
  <c r="AG55" i="36"/>
  <c r="AD71" i="36"/>
  <c r="AF71" i="36"/>
  <c r="AH71" i="36"/>
  <c r="AI78" i="36"/>
  <c r="AF62" i="36"/>
  <c r="AF78" i="36"/>
  <c r="AD62" i="36"/>
  <c r="AE62" i="36"/>
  <c r="AG78" i="36"/>
  <c r="AH62" i="36"/>
  <c r="AD78" i="36"/>
  <c r="AE78" i="36"/>
  <c r="AI62" i="36"/>
  <c r="AG62" i="36"/>
  <c r="AH78" i="36"/>
  <c r="AF76" i="36"/>
  <c r="AE76" i="36"/>
  <c r="AD60" i="36"/>
  <c r="AG76" i="36"/>
  <c r="AI60" i="36"/>
  <c r="AD76" i="36"/>
  <c r="AG60" i="36"/>
  <c r="AH60" i="36"/>
  <c r="AI76" i="36"/>
  <c r="AF60" i="36"/>
  <c r="AE60" i="36"/>
  <c r="AH76" i="36"/>
  <c r="D5" i="47"/>
  <c r="D4" i="57"/>
  <c r="D4" i="50"/>
  <c r="C44" i="46"/>
  <c r="AX20" i="50" l="1"/>
  <c r="BB13" i="36"/>
  <c r="A20" i="46"/>
  <c r="A28" i="46"/>
  <c r="C4" i="57"/>
  <c r="C4" i="50"/>
  <c r="C45" i="46"/>
  <c r="AY20" i="50" l="1"/>
  <c r="BC13" i="36"/>
  <c r="A21" i="46"/>
  <c r="A29" i="46"/>
  <c r="C46" i="46"/>
  <c r="AZ20" i="50" l="1"/>
  <c r="BD13" i="36"/>
  <c r="A22" i="46"/>
  <c r="A30" i="46"/>
  <c r="C47" i="46"/>
  <c r="BA20" i="50" l="1"/>
  <c r="BE13" i="36"/>
  <c r="A23" i="46"/>
  <c r="A31" i="46"/>
  <c r="C48" i="46"/>
  <c r="BF13" i="36" l="1"/>
  <c r="BB20" i="50"/>
  <c r="A24" i="46"/>
  <c r="A32" i="46"/>
  <c r="C49" i="46"/>
  <c r="BC20" i="50" l="1"/>
  <c r="BG13" i="36"/>
  <c r="A33" i="46"/>
  <c r="A25" i="46"/>
  <c r="C50" i="46"/>
  <c r="BD20" i="50" l="1"/>
  <c r="BH13" i="36"/>
  <c r="C51" i="46"/>
  <c r="BE20" i="50" l="1"/>
  <c r="BI13" i="36"/>
  <c r="C52" i="46"/>
  <c r="BF20" i="50" l="1"/>
  <c r="BJ13" i="36"/>
  <c r="C53" i="46"/>
  <c r="BG20" i="50" l="1"/>
  <c r="BK13" i="36"/>
  <c r="C54" i="46"/>
  <c r="BH20" i="50" l="1"/>
  <c r="BL13" i="36"/>
  <c r="C55" i="46"/>
  <c r="BI20" i="50" l="1"/>
  <c r="BM13" i="36"/>
  <c r="C56" i="46"/>
  <c r="BJ20" i="50" l="1"/>
  <c r="BN13" i="36"/>
  <c r="C57" i="46"/>
  <c r="BK20" i="50" l="1"/>
  <c r="BP13" i="36" s="1"/>
  <c r="BO13" i="36"/>
  <c r="D61" i="45"/>
  <c r="D62" i="45"/>
  <c r="D63" i="45"/>
  <c r="D65" i="45"/>
  <c r="AG4" i="50"/>
  <c r="AJ4" i="50"/>
  <c r="AK4" i="50"/>
  <c r="AL4" i="50"/>
  <c r="AP4" i="50"/>
  <c r="AQ4" i="50"/>
  <c r="AR4" i="50"/>
  <c r="AS4" i="50"/>
  <c r="AT4" i="50"/>
  <c r="AU4" i="50"/>
  <c r="AV4" i="50"/>
  <c r="AW4" i="50"/>
  <c r="AX4" i="50"/>
  <c r="AY4" i="50"/>
  <c r="AZ4" i="50"/>
  <c r="BA4" i="50"/>
  <c r="BB4" i="50"/>
  <c r="BC4" i="50"/>
  <c r="BD4" i="50"/>
  <c r="BE4" i="50"/>
  <c r="BF4" i="50"/>
  <c r="BG4" i="50"/>
  <c r="BH4" i="50"/>
  <c r="BI4" i="50"/>
  <c r="BJ4" i="50"/>
  <c r="BK4" i="50"/>
  <c r="AF4" i="50"/>
  <c r="BE29" i="50" l="1"/>
  <c r="BE33" i="50"/>
  <c r="AW29" i="50"/>
  <c r="AW33" i="50"/>
  <c r="AS33" i="50"/>
  <c r="AS29" i="50"/>
  <c r="AL29" i="50"/>
  <c r="AL33" i="50"/>
  <c r="BA33" i="50"/>
  <c r="BA29" i="50"/>
  <c r="BD29" i="50"/>
  <c r="BD33" i="50"/>
  <c r="AZ33" i="50"/>
  <c r="AZ29" i="50"/>
  <c r="AV33" i="50"/>
  <c r="AV29" i="50"/>
  <c r="AR33" i="50"/>
  <c r="AR29" i="50"/>
  <c r="AK33" i="50"/>
  <c r="AK29" i="50"/>
  <c r="AF33" i="50"/>
  <c r="AF29" i="50"/>
  <c r="BK29" i="50"/>
  <c r="BK33" i="50"/>
  <c r="BC33" i="50"/>
  <c r="BC29" i="50"/>
  <c r="AY29" i="50"/>
  <c r="AY33" i="50"/>
  <c r="AQ33" i="50"/>
  <c r="AQ29" i="50"/>
  <c r="AJ33" i="50"/>
  <c r="AJ29" i="50"/>
  <c r="BI33" i="50"/>
  <c r="BI29" i="50"/>
  <c r="BH33" i="50"/>
  <c r="BH29" i="50"/>
  <c r="BG33" i="50"/>
  <c r="BG29" i="50"/>
  <c r="AU29" i="50"/>
  <c r="AU33" i="50"/>
  <c r="BJ33" i="50"/>
  <c r="BJ29" i="50"/>
  <c r="BF29" i="50"/>
  <c r="BF33" i="50"/>
  <c r="BB29" i="50"/>
  <c r="BB33" i="50"/>
  <c r="AX33" i="50"/>
  <c r="AX29" i="50"/>
  <c r="AT29" i="50"/>
  <c r="AT33" i="50"/>
  <c r="AP33" i="50"/>
  <c r="AP29" i="50"/>
  <c r="AG29" i="50"/>
  <c r="AG33" i="50"/>
  <c r="AL10" i="50"/>
  <c r="AL5" i="50"/>
  <c r="AL16" i="50"/>
  <c r="AL24" i="50"/>
  <c r="AL27" i="50" s="1"/>
  <c r="BE10" i="50"/>
  <c r="BE5" i="50"/>
  <c r="BE24" i="50"/>
  <c r="BE27" i="50" s="1"/>
  <c r="BE16" i="50"/>
  <c r="AW10" i="50"/>
  <c r="AW5" i="50"/>
  <c r="AW24" i="50"/>
  <c r="AW27" i="50" s="1"/>
  <c r="AW16" i="50"/>
  <c r="AF10" i="50"/>
  <c r="AF5" i="50"/>
  <c r="AF24" i="50"/>
  <c r="AF27" i="50" s="1"/>
  <c r="AF16" i="50"/>
  <c r="BH10" i="50"/>
  <c r="BH5" i="50"/>
  <c r="BH16" i="50"/>
  <c r="BH24" i="50"/>
  <c r="BH27" i="50" s="1"/>
  <c r="BD10" i="50"/>
  <c r="BD5" i="50"/>
  <c r="BD16" i="50"/>
  <c r="BD24" i="50"/>
  <c r="BD27" i="50" s="1"/>
  <c r="AZ10" i="50"/>
  <c r="AZ5" i="50"/>
  <c r="AZ24" i="50"/>
  <c r="AZ27" i="50" s="1"/>
  <c r="AZ16" i="50"/>
  <c r="AV10" i="50"/>
  <c r="AV5" i="50"/>
  <c r="AV24" i="50"/>
  <c r="AV27" i="50" s="1"/>
  <c r="AV16" i="50"/>
  <c r="AR10" i="50"/>
  <c r="AR5" i="50"/>
  <c r="AR24" i="50"/>
  <c r="AR27" i="50" s="1"/>
  <c r="AR16" i="50"/>
  <c r="AK10" i="50"/>
  <c r="AK5" i="50"/>
  <c r="AK24" i="50"/>
  <c r="AK27" i="50" s="1"/>
  <c r="AK16" i="50"/>
  <c r="BA10" i="50"/>
  <c r="BA5" i="50"/>
  <c r="BA16" i="50"/>
  <c r="BA24" i="50"/>
  <c r="BA27" i="50" s="1"/>
  <c r="BG10" i="50"/>
  <c r="BG5" i="50"/>
  <c r="BG24" i="50"/>
  <c r="BG27" i="50" s="1"/>
  <c r="BG16" i="50"/>
  <c r="AY10" i="50"/>
  <c r="AY5" i="50"/>
  <c r="AY24" i="50"/>
  <c r="AY27" i="50" s="1"/>
  <c r="AY16" i="50"/>
  <c r="AU10" i="50"/>
  <c r="AU5" i="50"/>
  <c r="AU24" i="50"/>
  <c r="AU27" i="50" s="1"/>
  <c r="AU16" i="50"/>
  <c r="AQ10" i="50"/>
  <c r="AQ5" i="50"/>
  <c r="AQ24" i="50"/>
  <c r="AQ27" i="50" s="1"/>
  <c r="AQ16" i="50"/>
  <c r="AJ10" i="50"/>
  <c r="AJ5" i="50"/>
  <c r="AJ16" i="50"/>
  <c r="AJ24" i="50"/>
  <c r="AJ27" i="50" s="1"/>
  <c r="BI5" i="50"/>
  <c r="BI10" i="50"/>
  <c r="BI24" i="50"/>
  <c r="BI27" i="50" s="1"/>
  <c r="BI16" i="50"/>
  <c r="AS5" i="50"/>
  <c r="AS10" i="50"/>
  <c r="AS24" i="50"/>
  <c r="AS27" i="50" s="1"/>
  <c r="AS16" i="50"/>
  <c r="BK10" i="50"/>
  <c r="BK5" i="50"/>
  <c r="BK16" i="50"/>
  <c r="BK24" i="50"/>
  <c r="BK27" i="50" s="1"/>
  <c r="BC10" i="50"/>
  <c r="BC5" i="50"/>
  <c r="BC24" i="50"/>
  <c r="BC27" i="50" s="1"/>
  <c r="BC16" i="50"/>
  <c r="BJ10" i="50"/>
  <c r="BJ5" i="50"/>
  <c r="BJ24" i="50"/>
  <c r="BJ27" i="50" s="1"/>
  <c r="BJ16" i="50"/>
  <c r="BF5" i="50"/>
  <c r="BF10" i="50"/>
  <c r="BF16" i="50"/>
  <c r="BF24" i="50"/>
  <c r="BF27" i="50" s="1"/>
  <c r="BB5" i="50"/>
  <c r="BB10" i="50"/>
  <c r="BB16" i="50"/>
  <c r="BB24" i="50"/>
  <c r="BB27" i="50" s="1"/>
  <c r="AX10" i="50"/>
  <c r="AX5" i="50"/>
  <c r="AX16" i="50"/>
  <c r="AX24" i="50"/>
  <c r="AX27" i="50" s="1"/>
  <c r="AT10" i="50"/>
  <c r="AT5" i="50"/>
  <c r="AT24" i="50"/>
  <c r="AT27" i="50" s="1"/>
  <c r="AT16" i="50"/>
  <c r="AP5" i="50"/>
  <c r="AP10" i="50"/>
  <c r="AP16" i="50"/>
  <c r="AP24" i="50"/>
  <c r="AP27" i="50" s="1"/>
  <c r="AG10" i="50"/>
  <c r="AG5" i="50"/>
  <c r="AG24" i="50"/>
  <c r="AG27" i="50" s="1"/>
  <c r="AG16" i="50"/>
  <c r="AK44" i="34"/>
  <c r="AK46" i="34"/>
  <c r="BM44" i="34"/>
  <c r="BM46" i="34"/>
  <c r="BI44" i="34"/>
  <c r="BI46" i="34"/>
  <c r="BE44" i="34"/>
  <c r="BE46" i="34"/>
  <c r="BA44" i="34"/>
  <c r="BA46" i="34"/>
  <c r="AW44" i="34"/>
  <c r="AW46" i="34"/>
  <c r="AP44" i="34"/>
  <c r="AP46" i="34"/>
  <c r="BP44" i="34"/>
  <c r="BP46" i="34"/>
  <c r="BL44" i="34"/>
  <c r="BL46" i="34"/>
  <c r="BH44" i="34"/>
  <c r="BH46" i="34"/>
  <c r="BD44" i="34"/>
  <c r="BD46" i="34"/>
  <c r="AZ44" i="34"/>
  <c r="AZ46" i="34"/>
  <c r="AV44" i="34"/>
  <c r="AV46" i="34"/>
  <c r="AO44" i="34"/>
  <c r="AO46" i="34"/>
  <c r="BO44" i="34"/>
  <c r="BO46" i="34"/>
  <c r="BK44" i="34"/>
  <c r="BK46" i="34"/>
  <c r="BG44" i="34"/>
  <c r="BG46" i="34"/>
  <c r="BC44" i="34"/>
  <c r="BC46" i="34"/>
  <c r="AY44" i="34"/>
  <c r="AY46" i="34"/>
  <c r="AU44" i="34"/>
  <c r="AU46" i="34"/>
  <c r="AL44" i="34"/>
  <c r="AL46" i="34"/>
  <c r="BN44" i="34"/>
  <c r="BN46" i="34"/>
  <c r="BJ44" i="34"/>
  <c r="BJ46" i="34"/>
  <c r="BF44" i="34"/>
  <c r="BF46" i="34"/>
  <c r="BB44" i="34"/>
  <c r="BB46" i="34"/>
  <c r="AX44" i="34"/>
  <c r="AX46" i="34"/>
  <c r="AQ44" i="34"/>
  <c r="AQ46" i="34"/>
  <c r="AG8" i="50" l="1"/>
  <c r="AL8" i="36" s="1"/>
  <c r="AG9" i="50" s="1"/>
  <c r="AT8" i="50"/>
  <c r="AY41" i="34"/>
  <c r="AX8" i="50"/>
  <c r="BJ8" i="50"/>
  <c r="BO41" i="34"/>
  <c r="BC8" i="50"/>
  <c r="BK8" i="50"/>
  <c r="BP41" i="34"/>
  <c r="AJ8" i="50"/>
  <c r="AO8" i="36" s="1"/>
  <c r="AJ9" i="50" s="1"/>
  <c r="AQ2" i="50"/>
  <c r="AQ8" i="50"/>
  <c r="AU8" i="50"/>
  <c r="AY8" i="50"/>
  <c r="BG8" i="50"/>
  <c r="BL41" i="34"/>
  <c r="BA8" i="50"/>
  <c r="AK8" i="50"/>
  <c r="AP8" i="36" s="1"/>
  <c r="AK9" i="50" s="1"/>
  <c r="AR8" i="50"/>
  <c r="AV8" i="50"/>
  <c r="BA41" i="34"/>
  <c r="AZ8" i="50"/>
  <c r="BD8" i="50"/>
  <c r="BI41" i="34"/>
  <c r="BH8" i="50"/>
  <c r="AF8" i="50"/>
  <c r="AK8" i="36" s="1"/>
  <c r="AF9" i="50" s="1"/>
  <c r="AK41" i="34"/>
  <c r="AW8" i="50"/>
  <c r="BE8" i="50"/>
  <c r="BJ41" i="34"/>
  <c r="AL8" i="50"/>
  <c r="AQ8" i="36" s="1"/>
  <c r="AL9" i="50" s="1"/>
  <c r="AQ41" i="34"/>
  <c r="AP8" i="50"/>
  <c r="AU8" i="36" s="1"/>
  <c r="AP9" i="50" s="1"/>
  <c r="AU41" i="34"/>
  <c r="BB8" i="50"/>
  <c r="BF8" i="50"/>
  <c r="BK41" i="34"/>
  <c r="AS8" i="50"/>
  <c r="BI8" i="50"/>
  <c r="BN41" i="34"/>
  <c r="AZ41" i="34"/>
  <c r="BM41" i="34"/>
  <c r="BB41" i="34"/>
  <c r="AL41" i="34"/>
  <c r="AV41" i="34"/>
  <c r="BD41" i="34"/>
  <c r="AW41" i="34"/>
  <c r="BE41" i="34"/>
  <c r="BF41" i="34"/>
  <c r="AO41" i="34"/>
  <c r="BH41" i="34"/>
  <c r="AP41" i="34"/>
  <c r="AX41" i="34"/>
  <c r="BC41" i="34"/>
  <c r="BG41" i="34"/>
  <c r="E36" i="45"/>
  <c r="E37" i="45" s="1"/>
  <c r="E38" i="45" s="1"/>
  <c r="E39" i="45" s="1"/>
  <c r="E40" i="45" s="1"/>
  <c r="AE14" i="57" l="1"/>
  <c r="AE15" i="57" s="1"/>
  <c r="AF15" i="57" s="1"/>
  <c r="AG15" i="57" s="1"/>
  <c r="AV8" i="36"/>
  <c r="AQ9" i="50" s="1"/>
  <c r="AF14" i="57"/>
  <c r="AG14" i="57"/>
  <c r="AQ6" i="50"/>
  <c r="E29" i="45"/>
  <c r="E30" i="45" s="1"/>
  <c r="E31" i="45" s="1"/>
  <c r="E32" i="45" s="1"/>
  <c r="E33" i="45" s="1"/>
  <c r="J34" i="46" l="1"/>
  <c r="I34" i="46"/>
  <c r="AR9" i="50" s="1"/>
  <c r="AS9" i="50" s="1"/>
  <c r="AT9" i="50" s="1"/>
  <c r="AU9" i="50" s="1"/>
  <c r="AV9" i="50" s="1"/>
  <c r="AW9" i="50" s="1"/>
  <c r="AX9" i="50" s="1"/>
  <c r="AY9" i="50" s="1"/>
  <c r="AZ9" i="50" s="1"/>
  <c r="BA9" i="50" s="1"/>
  <c r="BB9" i="50" s="1"/>
  <c r="BC9" i="50" s="1"/>
  <c r="BD9" i="50" s="1"/>
  <c r="BE9" i="50" s="1"/>
  <c r="BF9" i="50" s="1"/>
  <c r="BG9" i="50" s="1"/>
  <c r="BH9" i="50" s="1"/>
  <c r="BI9" i="50" s="1"/>
  <c r="BJ9" i="50" s="1"/>
  <c r="BK9" i="50" s="1"/>
  <c r="BA13" i="55"/>
  <c r="BA32" i="55"/>
  <c r="AW13" i="55"/>
  <c r="AW32" i="55"/>
  <c r="AS13" i="55"/>
  <c r="AS32" i="55"/>
  <c r="AO13" i="55"/>
  <c r="AO32" i="55"/>
  <c r="AK13" i="55"/>
  <c r="AK32" i="55"/>
  <c r="AG13" i="55"/>
  <c r="AG32" i="55"/>
  <c r="AC13" i="55"/>
  <c r="AC32" i="55"/>
  <c r="Y32" i="55"/>
  <c r="AV32" i="55"/>
  <c r="AV13" i="55"/>
  <c r="AR32" i="55"/>
  <c r="AR13" i="55"/>
  <c r="AN32" i="55"/>
  <c r="AN13" i="55"/>
  <c r="AJ32" i="55"/>
  <c r="AJ13" i="55"/>
  <c r="AF32" i="55"/>
  <c r="AF13" i="55"/>
  <c r="AB32" i="55"/>
  <c r="AB13" i="55"/>
  <c r="X32" i="55"/>
  <c r="AY13" i="55"/>
  <c r="AY32" i="55"/>
  <c r="AU13" i="55"/>
  <c r="AU32" i="55"/>
  <c r="AQ13" i="55"/>
  <c r="AQ32" i="55"/>
  <c r="AM13" i="55"/>
  <c r="AM32" i="55"/>
  <c r="AI13" i="55"/>
  <c r="AI32" i="55"/>
  <c r="AE32" i="55"/>
  <c r="AA13" i="55"/>
  <c r="AA32" i="55"/>
  <c r="W13" i="55"/>
  <c r="W32" i="55"/>
  <c r="AZ32" i="55"/>
  <c r="AZ13" i="55"/>
  <c r="AX13" i="55"/>
  <c r="AX32" i="55"/>
  <c r="AT13" i="55"/>
  <c r="AT32" i="55"/>
  <c r="AP13" i="55"/>
  <c r="AP32" i="55"/>
  <c r="AL13" i="55"/>
  <c r="AL32" i="55"/>
  <c r="AH13" i="55"/>
  <c r="AH32" i="55"/>
  <c r="AD13" i="55"/>
  <c r="AD32" i="55"/>
  <c r="Z13" i="55"/>
  <c r="Z32" i="55"/>
  <c r="V19" i="55"/>
  <c r="V32" i="55"/>
  <c r="AE13" i="55" l="1"/>
  <c r="Y13" i="55"/>
  <c r="X13" i="55"/>
  <c r="V13" i="55"/>
  <c r="AO7" i="55"/>
  <c r="AQ7" i="55"/>
  <c r="AF7" i="55"/>
  <c r="AV7" i="55"/>
  <c r="AC7" i="55"/>
  <c r="AS7" i="55"/>
  <c r="AT7" i="55"/>
  <c r="AZ7" i="55"/>
  <c r="AM7" i="55"/>
  <c r="AB7" i="55"/>
  <c r="AR7" i="55"/>
  <c r="V7" i="55"/>
  <c r="AH7" i="55"/>
  <c r="AX7" i="55"/>
  <c r="AA7" i="55"/>
  <c r="AL7" i="55"/>
  <c r="AE7" i="55"/>
  <c r="AU7" i="55"/>
  <c r="X7" i="55"/>
  <c r="AJ7" i="55"/>
  <c r="AG7" i="55"/>
  <c r="AW7" i="55"/>
  <c r="AD7" i="55"/>
  <c r="Z7" i="55"/>
  <c r="AP7" i="55"/>
  <c r="W7" i="55"/>
  <c r="AI7" i="55"/>
  <c r="AY7" i="55"/>
  <c r="AN7" i="55"/>
  <c r="Y7" i="55"/>
  <c r="AK7" i="55"/>
  <c r="BA7" i="55"/>
  <c r="AH38" i="55"/>
  <c r="AX38" i="55"/>
  <c r="AA38" i="55"/>
  <c r="AQ38" i="55"/>
  <c r="X38" i="55"/>
  <c r="AN38" i="55"/>
  <c r="Y38" i="55"/>
  <c r="AO38" i="55"/>
  <c r="V38" i="55"/>
  <c r="AL38" i="55"/>
  <c r="AZ38" i="55"/>
  <c r="AE38" i="55"/>
  <c r="AU38" i="55"/>
  <c r="AB38" i="55"/>
  <c r="AR38" i="55"/>
  <c r="AC38" i="55"/>
  <c r="AS38" i="55"/>
  <c r="Z38" i="55"/>
  <c r="AP38" i="55"/>
  <c r="AI38" i="55"/>
  <c r="AY38" i="55"/>
  <c r="AF38" i="55"/>
  <c r="AV38" i="55"/>
  <c r="AG38" i="55"/>
  <c r="AW38" i="55"/>
  <c r="AD38" i="55"/>
  <c r="AT38" i="55"/>
  <c r="W38" i="55"/>
  <c r="AM38" i="55"/>
  <c r="AJ38" i="55"/>
  <c r="AK38" i="55"/>
  <c r="BA38" i="55"/>
  <c r="Z19" i="55"/>
  <c r="AE19" i="55"/>
  <c r="AM19" i="55"/>
  <c r="AU19" i="55"/>
  <c r="X19" i="55"/>
  <c r="AG19" i="55"/>
  <c r="AO19" i="55"/>
  <c r="AW19" i="55"/>
  <c r="AD19" i="55"/>
  <c r="AT19" i="55"/>
  <c r="AZ19" i="55"/>
  <c r="AF19" i="55"/>
  <c r="AN19" i="55"/>
  <c r="AV19" i="55"/>
  <c r="AA19" i="55"/>
  <c r="AI19" i="55"/>
  <c r="AQ19" i="55"/>
  <c r="AY19" i="55"/>
  <c r="AC19" i="55"/>
  <c r="AK19" i="55"/>
  <c r="AS19" i="55"/>
  <c r="BA19" i="55"/>
  <c r="AP19" i="55"/>
  <c r="AX19" i="55"/>
  <c r="W19" i="55"/>
  <c r="AB19" i="55"/>
  <c r="AJ19" i="55"/>
  <c r="AR19" i="55"/>
  <c r="Y19" i="55"/>
  <c r="AL25" i="55"/>
  <c r="AR25" i="55"/>
  <c r="AL19" i="55"/>
  <c r="AA25" i="55"/>
  <c r="AI25" i="55"/>
  <c r="AQ25" i="55"/>
  <c r="AY25" i="55"/>
  <c r="X25" i="55"/>
  <c r="AD25" i="55"/>
  <c r="AT25" i="55"/>
  <c r="AB25" i="55"/>
  <c r="AJ25" i="55"/>
  <c r="AG25" i="55"/>
  <c r="AW25" i="55"/>
  <c r="Z25" i="55"/>
  <c r="AH25" i="55"/>
  <c r="AP25" i="55"/>
  <c r="AX25" i="55"/>
  <c r="AZ25" i="55"/>
  <c r="W25" i="55"/>
  <c r="AF25" i="55"/>
  <c r="AN25" i="55"/>
  <c r="AV25" i="55"/>
  <c r="AC25" i="55"/>
  <c r="AK25" i="55"/>
  <c r="AS25" i="55"/>
  <c r="BA25" i="55"/>
  <c r="AO25" i="55"/>
  <c r="V25" i="55"/>
  <c r="AH19" i="55"/>
  <c r="AE25" i="55"/>
  <c r="AM25" i="55"/>
  <c r="AU25" i="55"/>
  <c r="Y25" i="55"/>
  <c r="AJ34" i="50"/>
  <c r="AR34" i="50"/>
  <c r="AF21" i="50"/>
  <c r="AN21" i="50"/>
  <c r="AR25" i="50"/>
  <c r="BD21" i="50"/>
  <c r="AF11" i="50"/>
  <c r="AF30" i="50"/>
  <c r="AF7" i="50"/>
  <c r="AJ21" i="50"/>
  <c r="AN25" i="50"/>
  <c r="AR21" i="50"/>
  <c r="AV25" i="50"/>
  <c r="AZ21" i="50"/>
  <c r="BD25" i="50"/>
  <c r="BH21" i="50"/>
  <c r="AK34" i="50"/>
  <c r="AO11" i="50"/>
  <c r="AO30" i="50"/>
  <c r="AO7" i="50"/>
  <c r="AS34" i="50"/>
  <c r="AW11" i="50"/>
  <c r="AW30" i="50"/>
  <c r="AW7" i="50"/>
  <c r="BA34" i="50"/>
  <c r="BE11" i="50"/>
  <c r="BE30" i="50"/>
  <c r="BE7" i="50"/>
  <c r="BI34" i="50"/>
  <c r="AH34" i="50"/>
  <c r="AH7" i="50"/>
  <c r="AL25" i="50"/>
  <c r="AL11" i="50"/>
  <c r="AL21" i="50"/>
  <c r="AT25" i="50"/>
  <c r="AT11" i="50"/>
  <c r="AT21" i="50"/>
  <c r="BB25" i="50"/>
  <c r="BB11" i="50"/>
  <c r="BB21" i="50"/>
  <c r="AI11" i="50"/>
  <c r="AI30" i="50"/>
  <c r="AQ34" i="50"/>
  <c r="AQ25" i="50"/>
  <c r="AQ7" i="50"/>
  <c r="AY34" i="50"/>
  <c r="AY25" i="50"/>
  <c r="AY7" i="50"/>
  <c r="BG34" i="50"/>
  <c r="BG25" i="50"/>
  <c r="BG7" i="50"/>
  <c r="AN7" i="50"/>
  <c r="AV11" i="50"/>
  <c r="AV30" i="50"/>
  <c r="AV7" i="50"/>
  <c r="AZ34" i="50"/>
  <c r="BD11" i="50"/>
  <c r="BD30" i="50"/>
  <c r="BD7" i="50"/>
  <c r="BH34" i="50"/>
  <c r="BJ34" i="50"/>
  <c r="BJ7" i="50"/>
  <c r="AG34" i="50"/>
  <c r="AG21" i="50"/>
  <c r="AK25" i="50"/>
  <c r="AO21" i="50"/>
  <c r="AS25" i="50"/>
  <c r="AW21" i="50"/>
  <c r="BA25" i="50"/>
  <c r="BE21" i="50"/>
  <c r="BI25" i="50"/>
  <c r="AH25" i="50"/>
  <c r="AH11" i="50"/>
  <c r="AL30" i="50"/>
  <c r="AP34" i="50"/>
  <c r="AP7" i="50"/>
  <c r="AT30" i="50"/>
  <c r="AX34" i="50"/>
  <c r="AX7" i="50"/>
  <c r="BB30" i="50"/>
  <c r="BF34" i="50"/>
  <c r="BF7" i="50"/>
  <c r="AI21" i="50"/>
  <c r="AQ11" i="50"/>
  <c r="AQ30" i="50"/>
  <c r="AQ21" i="50"/>
  <c r="AY11" i="50"/>
  <c r="AY30" i="50"/>
  <c r="AY21" i="50"/>
  <c r="BG11" i="50"/>
  <c r="BG30" i="50"/>
  <c r="BG21" i="50"/>
  <c r="AN11" i="50"/>
  <c r="AZ25" i="50"/>
  <c r="BJ25" i="50"/>
  <c r="BJ11" i="50"/>
  <c r="BJ21" i="50"/>
  <c r="AG25" i="50"/>
  <c r="AK11" i="50"/>
  <c r="AK30" i="50"/>
  <c r="AK7" i="50"/>
  <c r="AO34" i="50"/>
  <c r="AS11" i="50"/>
  <c r="AS30" i="50"/>
  <c r="AS7" i="50"/>
  <c r="AW34" i="50"/>
  <c r="BA11" i="50"/>
  <c r="BA30" i="50"/>
  <c r="BA7" i="50"/>
  <c r="BE34" i="50"/>
  <c r="BI11" i="50"/>
  <c r="BI30" i="50"/>
  <c r="BI7" i="50"/>
  <c r="AH30" i="50"/>
  <c r="AH21" i="50"/>
  <c r="AP25" i="50"/>
  <c r="AP11" i="50"/>
  <c r="AP21" i="50"/>
  <c r="AX25" i="50"/>
  <c r="AX11" i="50"/>
  <c r="AX21" i="50"/>
  <c r="BF25" i="50"/>
  <c r="BF11" i="50"/>
  <c r="BF21" i="50"/>
  <c r="AM34" i="50"/>
  <c r="AM25" i="50"/>
  <c r="AM7" i="50"/>
  <c r="AU34" i="50"/>
  <c r="AU25" i="50"/>
  <c r="AU7" i="50"/>
  <c r="BC34" i="50"/>
  <c r="BC25" i="50"/>
  <c r="BC7" i="50"/>
  <c r="BK34" i="50"/>
  <c r="BK25" i="50"/>
  <c r="BK7" i="50"/>
  <c r="AN30" i="50"/>
  <c r="AF34" i="50"/>
  <c r="AJ25" i="50"/>
  <c r="AV21" i="50"/>
  <c r="BH25" i="50"/>
  <c r="AF25" i="50"/>
  <c r="AJ11" i="50"/>
  <c r="AJ30" i="50"/>
  <c r="AJ7" i="50"/>
  <c r="AN34" i="50"/>
  <c r="AR11" i="50"/>
  <c r="AR30" i="50"/>
  <c r="AR7" i="50"/>
  <c r="AV34" i="50"/>
  <c r="AZ11" i="50"/>
  <c r="AZ30" i="50"/>
  <c r="AZ7" i="50"/>
  <c r="BD34" i="50"/>
  <c r="BH11" i="50"/>
  <c r="BH30" i="50"/>
  <c r="BH7" i="50"/>
  <c r="BJ30" i="50"/>
  <c r="AG11" i="50"/>
  <c r="AG30" i="50"/>
  <c r="AG7" i="50"/>
  <c r="AK21" i="50"/>
  <c r="AO25" i="50"/>
  <c r="AS21" i="50"/>
  <c r="AW25" i="50"/>
  <c r="BA21" i="50"/>
  <c r="BE25" i="50"/>
  <c r="BI21" i="50"/>
  <c r="AL34" i="50"/>
  <c r="AL7" i="50"/>
  <c r="AP30" i="50"/>
  <c r="AT34" i="50"/>
  <c r="AT7" i="50"/>
  <c r="AX30" i="50"/>
  <c r="BB34" i="50"/>
  <c r="BB7" i="50"/>
  <c r="BF30" i="50"/>
  <c r="AI34" i="50"/>
  <c r="AI25" i="50"/>
  <c r="AI7" i="50"/>
  <c r="AM11" i="50"/>
  <c r="AM30" i="50"/>
  <c r="AM21" i="50"/>
  <c r="AU11" i="50"/>
  <c r="AU30" i="50"/>
  <c r="AU21" i="50"/>
  <c r="BC11" i="50"/>
  <c r="BC30" i="50"/>
  <c r="BC21" i="50"/>
  <c r="BK11" i="50"/>
  <c r="BK30" i="50"/>
  <c r="BK21" i="50"/>
  <c r="B52" i="45" l="1"/>
  <c r="B67" i="45" s="1"/>
  <c r="B49" i="45"/>
  <c r="B66" i="45" s="1"/>
  <c r="B43" i="45"/>
  <c r="B65" i="45" s="1"/>
  <c r="E194" i="33"/>
  <c r="H39" i="46"/>
  <c r="E82" i="36"/>
  <c r="C83" i="36"/>
  <c r="C84" i="36" s="1"/>
  <c r="C85" i="36" s="1"/>
  <c r="E85" i="36" s="1"/>
  <c r="C173" i="34"/>
  <c r="C174" i="34" s="1"/>
  <c r="C175" i="34" s="1"/>
  <c r="C176" i="34" s="1"/>
  <c r="C177" i="34" s="1"/>
  <c r="C178" i="34" s="1"/>
  <c r="C179" i="34" s="1"/>
  <c r="C180" i="34" s="1"/>
  <c r="C181" i="34" s="1"/>
  <c r="C182" i="34" s="1"/>
  <c r="C183" i="34" s="1"/>
  <c r="C184" i="34" s="1"/>
  <c r="C185" i="34" s="1"/>
  <c r="C186" i="34" s="1"/>
  <c r="C187" i="34" s="1"/>
  <c r="C188" i="34" s="1"/>
  <c r="F206" i="33"/>
  <c r="F207" i="33" s="1"/>
  <c r="F208" i="33" s="1"/>
  <c r="F209" i="33" s="1"/>
  <c r="F210" i="33" s="1"/>
  <c r="F211" i="33" s="1"/>
  <c r="F212" i="33" s="1"/>
  <c r="F213" i="33" s="1"/>
  <c r="F214" i="33" s="1"/>
  <c r="F215" i="33" s="1"/>
  <c r="F216" i="33" s="1"/>
  <c r="F217" i="33" s="1"/>
  <c r="F218" i="33" s="1"/>
  <c r="F219" i="33" s="1"/>
  <c r="F220" i="33" s="1"/>
  <c r="F221" i="33" s="1"/>
  <c r="F205" i="33"/>
  <c r="F204" i="33"/>
  <c r="E204" i="33"/>
  <c r="C205" i="33"/>
  <c r="E205" i="33" s="1"/>
  <c r="E203" i="33"/>
  <c r="A203" i="33"/>
  <c r="A204" i="33" s="1"/>
  <c r="A205" i="33" s="1"/>
  <c r="A206" i="33" s="1"/>
  <c r="A207" i="33" s="1"/>
  <c r="A208" i="33" s="1"/>
  <c r="A209" i="33" s="1"/>
  <c r="A210" i="33" s="1"/>
  <c r="A211" i="33" s="1"/>
  <c r="A212" i="33" s="1"/>
  <c r="A213" i="33" s="1"/>
  <c r="A214" i="33" s="1"/>
  <c r="A215" i="33" s="1"/>
  <c r="A216" i="33" s="1"/>
  <c r="A217" i="33" s="1"/>
  <c r="A218" i="33" s="1"/>
  <c r="A219" i="33" s="1"/>
  <c r="A220" i="33" s="1"/>
  <c r="A221" i="33" s="1"/>
  <c r="B203" i="33"/>
  <c r="B204" i="33" s="1"/>
  <c r="B205" i="33" s="1"/>
  <c r="B206" i="33" s="1"/>
  <c r="B207" i="33" s="1"/>
  <c r="B208" i="33" s="1"/>
  <c r="B209" i="33" s="1"/>
  <c r="B210" i="33" s="1"/>
  <c r="B211" i="33" s="1"/>
  <c r="B212" i="33" s="1"/>
  <c r="B213" i="33" s="1"/>
  <c r="B214" i="33" s="1"/>
  <c r="B215" i="33" s="1"/>
  <c r="B216" i="33" s="1"/>
  <c r="B217" i="33" s="1"/>
  <c r="B218" i="33" s="1"/>
  <c r="B219" i="33" s="1"/>
  <c r="B220" i="33" s="1"/>
  <c r="B221" i="33" s="1"/>
  <c r="C157" i="34"/>
  <c r="C158" i="34" s="1"/>
  <c r="C159" i="34" s="1"/>
  <c r="C160" i="34" s="1"/>
  <c r="C161" i="34" s="1"/>
  <c r="C162" i="34" s="1"/>
  <c r="C163" i="34" s="1"/>
  <c r="C164" i="34" s="1"/>
  <c r="C165" i="34" s="1"/>
  <c r="C166" i="34" s="1"/>
  <c r="C167" i="34" s="1"/>
  <c r="C168" i="34" s="1"/>
  <c r="C169" i="34" s="1"/>
  <c r="C170" i="34" s="1"/>
  <c r="C171" i="34" s="1"/>
  <c r="C172" i="34" s="1"/>
  <c r="B157" i="34"/>
  <c r="B158" i="34" s="1"/>
  <c r="B159" i="34" s="1"/>
  <c r="B160" i="34" s="1"/>
  <c r="B161" i="34" s="1"/>
  <c r="B162" i="34" s="1"/>
  <c r="B163" i="34" s="1"/>
  <c r="B164" i="34" s="1"/>
  <c r="B165" i="34" s="1"/>
  <c r="B166" i="34" s="1"/>
  <c r="B167" i="34" s="1"/>
  <c r="B168" i="34" s="1"/>
  <c r="B169" i="34" s="1"/>
  <c r="B170" i="34" s="1"/>
  <c r="B171" i="34" s="1"/>
  <c r="B172" i="34" s="1"/>
  <c r="B173" i="34" s="1"/>
  <c r="B174" i="34" s="1"/>
  <c r="B175" i="34" s="1"/>
  <c r="B176" i="34" s="1"/>
  <c r="B177" i="34" s="1"/>
  <c r="B178" i="34" s="1"/>
  <c r="B179" i="34" s="1"/>
  <c r="B180" i="34" s="1"/>
  <c r="B181" i="34" s="1"/>
  <c r="B182" i="34" s="1"/>
  <c r="B183" i="34" s="1"/>
  <c r="B184" i="34" s="1"/>
  <c r="B185" i="34" s="1"/>
  <c r="B186" i="34" s="1"/>
  <c r="B187" i="34" s="1"/>
  <c r="B188" i="34" s="1"/>
  <c r="D141" i="34"/>
  <c r="D142" i="34"/>
  <c r="D143" i="34"/>
  <c r="D140" i="34"/>
  <c r="C140" i="34"/>
  <c r="C136" i="34"/>
  <c r="E136" i="34" s="1"/>
  <c r="B136" i="34"/>
  <c r="B137" i="34" s="1"/>
  <c r="B138" i="34" s="1"/>
  <c r="B139" i="34" s="1"/>
  <c r="B140" i="34" s="1"/>
  <c r="B141" i="34" s="1"/>
  <c r="B142" i="34" s="1"/>
  <c r="B143" i="34" s="1"/>
  <c r="B144" i="34" s="1"/>
  <c r="E200" i="33"/>
  <c r="C201" i="33"/>
  <c r="E201" i="33" s="1"/>
  <c r="G198" i="33"/>
  <c r="G199" i="33" s="1"/>
  <c r="G197" i="33"/>
  <c r="F197" i="33"/>
  <c r="F198" i="33" s="1"/>
  <c r="F199" i="33" s="1"/>
  <c r="F200" i="33" s="1"/>
  <c r="F201" i="33" s="1"/>
  <c r="E199" i="33"/>
  <c r="E198" i="33"/>
  <c r="E197" i="33"/>
  <c r="E196" i="33"/>
  <c r="B196" i="33"/>
  <c r="B197" i="33" s="1"/>
  <c r="B198" i="33" s="1"/>
  <c r="B199" i="33" s="1"/>
  <c r="B200" i="33" s="1"/>
  <c r="B201" i="33" s="1"/>
  <c r="A196" i="33"/>
  <c r="A197" i="33" s="1"/>
  <c r="A198" i="33" s="1"/>
  <c r="A199" i="33" s="1"/>
  <c r="A200" i="33" s="1"/>
  <c r="A201" i="33" s="1"/>
  <c r="C54" i="45"/>
  <c r="C53" i="45"/>
  <c r="B53" i="45"/>
  <c r="B54" i="45" s="1"/>
  <c r="C51" i="45"/>
  <c r="C50" i="45"/>
  <c r="B50" i="45"/>
  <c r="B51" i="45" s="1"/>
  <c r="C46" i="45"/>
  <c r="C47" i="45"/>
  <c r="C48" i="45"/>
  <c r="E45" i="45"/>
  <c r="E46" i="45" s="1"/>
  <c r="E47" i="45" s="1"/>
  <c r="E48" i="45" s="1"/>
  <c r="E50" i="45" s="1"/>
  <c r="E51" i="45" s="1"/>
  <c r="D45" i="45"/>
  <c r="D46" i="45" s="1"/>
  <c r="D47" i="45" s="1"/>
  <c r="D48" i="45" s="1"/>
  <c r="D50" i="45" s="1"/>
  <c r="D51" i="45" s="1"/>
  <c r="C45" i="45"/>
  <c r="C44" i="45"/>
  <c r="B44" i="45"/>
  <c r="B45" i="45" s="1"/>
  <c r="B46" i="45" s="1"/>
  <c r="B47" i="45" s="1"/>
  <c r="B48" i="45" s="1"/>
  <c r="E42" i="45"/>
  <c r="D42" i="45"/>
  <c r="D64" i="45" s="1"/>
  <c r="B42" i="45"/>
  <c r="B64" i="45" s="1"/>
  <c r="B41" i="45"/>
  <c r="B63" i="45" s="1"/>
  <c r="G89" i="34"/>
  <c r="G91" i="34" s="1"/>
  <c r="G92" i="34" s="1"/>
  <c r="G93" i="34" s="1"/>
  <c r="G94" i="34" s="1"/>
  <c r="G95" i="34" s="1"/>
  <c r="G96" i="34" s="1"/>
  <c r="G97" i="34" s="1"/>
  <c r="G98" i="34" s="1"/>
  <c r="G99" i="34" s="1"/>
  <c r="G100" i="34" s="1"/>
  <c r="G101" i="34" s="1"/>
  <c r="G102" i="34" s="1"/>
  <c r="G103" i="34" s="1"/>
  <c r="G104" i="34" s="1"/>
  <c r="G105" i="34" s="1"/>
  <c r="G106" i="34" s="1"/>
  <c r="G107" i="34" s="1"/>
  <c r="G108" i="34" s="1"/>
  <c r="G109" i="34" s="1"/>
  <c r="G110" i="34" s="1"/>
  <c r="G111" i="34" s="1"/>
  <c r="G112" i="34" s="1"/>
  <c r="G113" i="34" s="1"/>
  <c r="G114" i="34" s="1"/>
  <c r="G115" i="34" s="1"/>
  <c r="G116" i="34" s="1"/>
  <c r="G117" i="34" s="1"/>
  <c r="G118" i="34" s="1"/>
  <c r="G119" i="34" s="1"/>
  <c r="G120" i="34" s="1"/>
  <c r="G121" i="34" s="1"/>
  <c r="G122" i="34" s="1"/>
  <c r="F89" i="34"/>
  <c r="F90" i="34" s="1"/>
  <c r="C92" i="34"/>
  <c r="C93" i="34" s="1"/>
  <c r="C94" i="34" s="1"/>
  <c r="C95" i="34" s="1"/>
  <c r="C96" i="34" s="1"/>
  <c r="C97" i="34" s="1"/>
  <c r="C98" i="34" s="1"/>
  <c r="C99" i="34" s="1"/>
  <c r="C100" i="34" s="1"/>
  <c r="C101" i="34" s="1"/>
  <c r="C102" i="34" s="1"/>
  <c r="C103" i="34" s="1"/>
  <c r="C104" i="34" s="1"/>
  <c r="C105" i="34" s="1"/>
  <c r="C106" i="34" s="1"/>
  <c r="B88" i="34"/>
  <c r="B89" i="34" s="1"/>
  <c r="B91" i="34" s="1"/>
  <c r="B92" i="34" s="1"/>
  <c r="B93" i="34" s="1"/>
  <c r="B94" i="34" s="1"/>
  <c r="B95" i="34" s="1"/>
  <c r="B96" i="34" s="1"/>
  <c r="B97" i="34" s="1"/>
  <c r="B98" i="34" s="1"/>
  <c r="B99" i="34" s="1"/>
  <c r="B100" i="34" s="1"/>
  <c r="B101" i="34" s="1"/>
  <c r="B102" i="34" s="1"/>
  <c r="B103" i="34" s="1"/>
  <c r="B104" i="34" s="1"/>
  <c r="B105" i="34" s="1"/>
  <c r="B106" i="34" s="1"/>
  <c r="B107" i="34" s="1"/>
  <c r="B108" i="34" s="1"/>
  <c r="B109" i="34" s="1"/>
  <c r="B110" i="34" s="1"/>
  <c r="B111" i="34" s="1"/>
  <c r="B112" i="34" s="1"/>
  <c r="B113" i="34" s="1"/>
  <c r="B114" i="34" s="1"/>
  <c r="B115" i="34" s="1"/>
  <c r="B116" i="34" s="1"/>
  <c r="B117" i="34" s="1"/>
  <c r="B118" i="34" s="1"/>
  <c r="B119" i="34" s="1"/>
  <c r="B120" i="34" s="1"/>
  <c r="B121" i="34" s="1"/>
  <c r="B122" i="34" s="1"/>
  <c r="B123" i="34" s="1"/>
  <c r="B124" i="34" s="1"/>
  <c r="B125" i="34" s="1"/>
  <c r="B126" i="34" s="1"/>
  <c r="B127" i="34" s="1"/>
  <c r="B128" i="34" s="1"/>
  <c r="B129" i="34" s="1"/>
  <c r="B130" i="34" s="1"/>
  <c r="B131" i="34" s="1"/>
  <c r="B132" i="34" s="1"/>
  <c r="B133" i="34" s="1"/>
  <c r="B134" i="34" s="1"/>
  <c r="B135" i="34" s="1"/>
  <c r="E188" i="33"/>
  <c r="D189" i="33"/>
  <c r="D190" i="33" s="1"/>
  <c r="F51" i="36"/>
  <c r="F52" i="36" s="1"/>
  <c r="F53" i="36" s="1"/>
  <c r="F54" i="36" s="1"/>
  <c r="F55" i="36" s="1"/>
  <c r="F56" i="36" s="1"/>
  <c r="F57" i="36" s="1"/>
  <c r="F58" i="36" s="1"/>
  <c r="F59" i="36" s="1"/>
  <c r="F60" i="36" s="1"/>
  <c r="F61" i="36" s="1"/>
  <c r="F62" i="36" s="1"/>
  <c r="F63" i="36" s="1"/>
  <c r="F64" i="36" s="1"/>
  <c r="F65" i="36" s="1"/>
  <c r="F66" i="36" s="1"/>
  <c r="F67" i="36" s="1"/>
  <c r="F68" i="36" s="1"/>
  <c r="F69" i="36" s="1"/>
  <c r="F70" i="36" s="1"/>
  <c r="F71" i="36" s="1"/>
  <c r="F72" i="36" s="1"/>
  <c r="F73" i="36" s="1"/>
  <c r="F74" i="36" s="1"/>
  <c r="F75" i="36" s="1"/>
  <c r="F76" i="36" s="1"/>
  <c r="F77" i="36" s="1"/>
  <c r="F78" i="36" s="1"/>
  <c r="F79" i="36" s="1"/>
  <c r="F80" i="36" s="1"/>
  <c r="F81" i="36" s="1"/>
  <c r="F82" i="36" s="1"/>
  <c r="F83" i="36" s="1"/>
  <c r="F84" i="36" s="1"/>
  <c r="F85" i="36" s="1"/>
  <c r="B50" i="36"/>
  <c r="B51" i="36" s="1"/>
  <c r="B52" i="36" s="1"/>
  <c r="B53" i="36" s="1"/>
  <c r="B54" i="36" s="1"/>
  <c r="B55" i="36" s="1"/>
  <c r="B56" i="36" s="1"/>
  <c r="B57" i="36" s="1"/>
  <c r="B58" i="36" s="1"/>
  <c r="B59" i="36" s="1"/>
  <c r="B60" i="36" s="1"/>
  <c r="B61" i="36" s="1"/>
  <c r="B62" i="36" s="1"/>
  <c r="B63" i="36" s="1"/>
  <c r="B64" i="36" s="1"/>
  <c r="B65" i="36" s="1"/>
  <c r="B66" i="36" s="1"/>
  <c r="B67" i="36" s="1"/>
  <c r="B68" i="36" s="1"/>
  <c r="B69" i="36" s="1"/>
  <c r="B70" i="36" s="1"/>
  <c r="B71" i="36" s="1"/>
  <c r="B72" i="36" s="1"/>
  <c r="B73" i="36" s="1"/>
  <c r="B74" i="36" s="1"/>
  <c r="B75" i="36" s="1"/>
  <c r="B76" i="36" s="1"/>
  <c r="B77" i="36" s="1"/>
  <c r="B78" i="36" s="1"/>
  <c r="B79" i="36" s="1"/>
  <c r="B80" i="36" s="1"/>
  <c r="B81" i="36" s="1"/>
  <c r="B82" i="36" s="1"/>
  <c r="B83" i="36" s="1"/>
  <c r="B84" i="36" s="1"/>
  <c r="B85" i="36" s="1"/>
  <c r="A50" i="36"/>
  <c r="A51" i="36" s="1"/>
  <c r="A52" i="36" s="1"/>
  <c r="A53" i="36" s="1"/>
  <c r="A54" i="36" s="1"/>
  <c r="A55" i="36" s="1"/>
  <c r="A56" i="36" s="1"/>
  <c r="A57" i="36" s="1"/>
  <c r="A58" i="36" s="1"/>
  <c r="A59" i="36" s="1"/>
  <c r="A60" i="36" s="1"/>
  <c r="A61" i="36" s="1"/>
  <c r="A62" i="36" s="1"/>
  <c r="A63" i="36" s="1"/>
  <c r="A64" i="36" s="1"/>
  <c r="A65" i="36" s="1"/>
  <c r="A66" i="36" s="1"/>
  <c r="A67" i="36" s="1"/>
  <c r="A68" i="36" s="1"/>
  <c r="A69" i="36" s="1"/>
  <c r="A70" i="36" s="1"/>
  <c r="A71" i="36" s="1"/>
  <c r="A72" i="36" s="1"/>
  <c r="A73" i="36" s="1"/>
  <c r="A74" i="36" s="1"/>
  <c r="A75" i="36" s="1"/>
  <c r="A76" i="36" s="1"/>
  <c r="A77" i="36" s="1"/>
  <c r="A78" i="36" s="1"/>
  <c r="A79" i="36" s="1"/>
  <c r="A80" i="36" s="1"/>
  <c r="A81" i="36" s="1"/>
  <c r="A82" i="36" s="1"/>
  <c r="A83" i="36" s="1"/>
  <c r="A84" i="36" s="1"/>
  <c r="A85" i="36" s="1"/>
  <c r="C166" i="33"/>
  <c r="C167" i="33" s="1"/>
  <c r="C165" i="33"/>
  <c r="D165" i="33"/>
  <c r="D177" i="33" s="1"/>
  <c r="E177" i="33" s="1"/>
  <c r="D166" i="33"/>
  <c r="D178" i="33" s="1"/>
  <c r="E178" i="33" s="1"/>
  <c r="D167" i="33"/>
  <c r="D179" i="33" s="1"/>
  <c r="E179" i="33" s="1"/>
  <c r="D168" i="33"/>
  <c r="D180" i="33" s="1"/>
  <c r="E180" i="33" s="1"/>
  <c r="D169" i="33"/>
  <c r="D181" i="33" s="1"/>
  <c r="E181" i="33" s="1"/>
  <c r="D170" i="33"/>
  <c r="D182" i="33" s="1"/>
  <c r="E182" i="33" s="1"/>
  <c r="D171" i="33"/>
  <c r="D183" i="33" s="1"/>
  <c r="E183" i="33" s="1"/>
  <c r="D172" i="33"/>
  <c r="D184" i="33" s="1"/>
  <c r="E184" i="33" s="1"/>
  <c r="D173" i="33"/>
  <c r="D185" i="33" s="1"/>
  <c r="E185" i="33" s="1"/>
  <c r="D174" i="33"/>
  <c r="D186" i="33" s="1"/>
  <c r="E186" i="33" s="1"/>
  <c r="D175" i="33"/>
  <c r="D187" i="33" s="1"/>
  <c r="E187" i="33" s="1"/>
  <c r="F164" i="33"/>
  <c r="F176" i="33" s="1"/>
  <c r="F188" i="33" s="1"/>
  <c r="G164" i="33"/>
  <c r="G176" i="33" s="1"/>
  <c r="D164" i="33"/>
  <c r="E164" i="33" s="1"/>
  <c r="H163" i="33"/>
  <c r="H162" i="33"/>
  <c r="H161" i="33"/>
  <c r="H160" i="33"/>
  <c r="H159" i="33"/>
  <c r="H158" i="33"/>
  <c r="H157" i="33"/>
  <c r="H156" i="33"/>
  <c r="H155" i="33"/>
  <c r="H154" i="33"/>
  <c r="H153" i="33"/>
  <c r="G154" i="33"/>
  <c r="G166" i="33" s="1"/>
  <c r="G178" i="33" s="1"/>
  <c r="G153" i="33"/>
  <c r="G165" i="33" s="1"/>
  <c r="G177" i="33" s="1"/>
  <c r="F153" i="33"/>
  <c r="F165" i="33" s="1"/>
  <c r="F177" i="33" s="1"/>
  <c r="F189" i="33" s="1"/>
  <c r="E153" i="33"/>
  <c r="E152" i="33"/>
  <c r="C153" i="33"/>
  <c r="C154" i="33" s="1"/>
  <c r="C155" i="33" s="1"/>
  <c r="C156" i="33" s="1"/>
  <c r="C157" i="33" s="1"/>
  <c r="C158" i="33" s="1"/>
  <c r="C159" i="33" s="1"/>
  <c r="C160" i="33" s="1"/>
  <c r="C161" i="33" s="1"/>
  <c r="C162" i="33" s="1"/>
  <c r="C163" i="33" s="1"/>
  <c r="E163" i="33" s="1"/>
  <c r="H152" i="33"/>
  <c r="B152" i="33"/>
  <c r="B153" i="33" s="1"/>
  <c r="B154" i="33" s="1"/>
  <c r="B155" i="33" s="1"/>
  <c r="B156" i="33" s="1"/>
  <c r="B157" i="33" s="1"/>
  <c r="B158" i="33" s="1"/>
  <c r="B159" i="33" s="1"/>
  <c r="B160" i="33" s="1"/>
  <c r="B161" i="33" s="1"/>
  <c r="B162" i="33" s="1"/>
  <c r="B163" i="33" s="1"/>
  <c r="B164" i="33" s="1"/>
  <c r="B165" i="33" s="1"/>
  <c r="B166" i="33" s="1"/>
  <c r="B167" i="33" s="1"/>
  <c r="B168" i="33" s="1"/>
  <c r="B169" i="33" s="1"/>
  <c r="B170" i="33" s="1"/>
  <c r="B171" i="33" s="1"/>
  <c r="B172" i="33" s="1"/>
  <c r="B173" i="33" s="1"/>
  <c r="B174" i="33" s="1"/>
  <c r="B175" i="33" s="1"/>
  <c r="B176" i="33" s="1"/>
  <c r="B177" i="33" s="1"/>
  <c r="B178" i="33" s="1"/>
  <c r="B179" i="33" s="1"/>
  <c r="B180" i="33" s="1"/>
  <c r="B181" i="33" s="1"/>
  <c r="B182" i="33" s="1"/>
  <c r="B183" i="33" s="1"/>
  <c r="B184" i="33" s="1"/>
  <c r="B185" i="33" s="1"/>
  <c r="B186" i="33" s="1"/>
  <c r="B187" i="33" s="1"/>
  <c r="B188" i="33" s="1"/>
  <c r="B189" i="33" s="1"/>
  <c r="B190" i="33" s="1"/>
  <c r="B191" i="33" s="1"/>
  <c r="B192" i="33" s="1"/>
  <c r="B193" i="33" s="1"/>
  <c r="B194" i="33" s="1"/>
  <c r="E47" i="36"/>
  <c r="E48" i="36"/>
  <c r="B45" i="36"/>
  <c r="A45" i="36"/>
  <c r="A46" i="36" s="1"/>
  <c r="B87" i="34"/>
  <c r="B150" i="33"/>
  <c r="E46" i="36"/>
  <c r="B46" i="36"/>
  <c r="B47" i="36"/>
  <c r="B48" i="36" s="1"/>
  <c r="AK83" i="36"/>
  <c r="AL83" i="36"/>
  <c r="AM83" i="36"/>
  <c r="AN83" i="36"/>
  <c r="AO83" i="36"/>
  <c r="AP83" i="36"/>
  <c r="AQ83" i="36"/>
  <c r="AR83" i="36"/>
  <c r="AS83" i="36"/>
  <c r="AT83" i="36"/>
  <c r="AU83" i="36"/>
  <c r="AV83" i="36"/>
  <c r="AW83" i="36"/>
  <c r="AX83" i="36"/>
  <c r="AY83" i="36"/>
  <c r="AZ83" i="36"/>
  <c r="BA83" i="36"/>
  <c r="BB83" i="36"/>
  <c r="BC83" i="36"/>
  <c r="BD83" i="36"/>
  <c r="BE83" i="36"/>
  <c r="BF83" i="36"/>
  <c r="BG83" i="36"/>
  <c r="BH83" i="36"/>
  <c r="BI83" i="36"/>
  <c r="BJ83" i="36"/>
  <c r="BK83" i="36"/>
  <c r="BL83" i="36"/>
  <c r="BM83" i="36"/>
  <c r="BN83" i="36"/>
  <c r="BO83" i="36"/>
  <c r="BP83" i="36"/>
  <c r="B86" i="34"/>
  <c r="B149" i="33"/>
  <c r="A149" i="33"/>
  <c r="A150" i="33" s="1"/>
  <c r="A152" i="33" s="1"/>
  <c r="A153" i="33" s="1"/>
  <c r="A154" i="33" s="1"/>
  <c r="A155" i="33" s="1"/>
  <c r="A156" i="33" s="1"/>
  <c r="A157" i="33" s="1"/>
  <c r="A158" i="33" s="1"/>
  <c r="A159" i="33" s="1"/>
  <c r="A160" i="33" s="1"/>
  <c r="A161" i="33" s="1"/>
  <c r="A162" i="33" s="1"/>
  <c r="A163" i="33" s="1"/>
  <c r="A164" i="33" s="1"/>
  <c r="A165" i="33" s="1"/>
  <c r="A166" i="33" s="1"/>
  <c r="A167" i="33" s="1"/>
  <c r="A168" i="33" s="1"/>
  <c r="A169" i="33" s="1"/>
  <c r="A170" i="33" s="1"/>
  <c r="A171" i="33" s="1"/>
  <c r="A172" i="33" s="1"/>
  <c r="A173" i="33" s="1"/>
  <c r="A174" i="33" s="1"/>
  <c r="A175" i="33" s="1"/>
  <c r="A176" i="33" s="1"/>
  <c r="A177" i="33" s="1"/>
  <c r="A178" i="33" s="1"/>
  <c r="A179" i="33" s="1"/>
  <c r="A180" i="33" s="1"/>
  <c r="A181" i="33" s="1"/>
  <c r="A182" i="33" s="1"/>
  <c r="A183" i="33" s="1"/>
  <c r="A184" i="33" s="1"/>
  <c r="A185" i="33" s="1"/>
  <c r="A186" i="33" s="1"/>
  <c r="A187" i="33" s="1"/>
  <c r="A188" i="33" s="1"/>
  <c r="A189" i="33" s="1"/>
  <c r="A190" i="33" s="1"/>
  <c r="A191" i="33" s="1"/>
  <c r="A192" i="33" s="1"/>
  <c r="A193" i="33" s="1"/>
  <c r="A194" i="33" s="1"/>
  <c r="E45" i="36"/>
  <c r="A41" i="36"/>
  <c r="A42" i="36" s="1"/>
  <c r="A43" i="36" s="1"/>
  <c r="G136" i="34" l="1"/>
  <c r="G137" i="34" s="1"/>
  <c r="G138" i="34" s="1"/>
  <c r="G139" i="34" s="1"/>
  <c r="G140" i="34" s="1"/>
  <c r="G141" i="34" s="1"/>
  <c r="G142" i="34" s="1"/>
  <c r="G143" i="34" s="1"/>
  <c r="G144" i="34" s="1"/>
  <c r="G145" i="34" s="1"/>
  <c r="G123" i="34"/>
  <c r="G124" i="34" s="1"/>
  <c r="G125" i="34" s="1"/>
  <c r="G126" i="34" s="1"/>
  <c r="G127" i="34" s="1"/>
  <c r="G128" i="34" s="1"/>
  <c r="G129" i="34" s="1"/>
  <c r="G130" i="34" s="1"/>
  <c r="G131" i="34" s="1"/>
  <c r="G132" i="34" s="1"/>
  <c r="G133" i="34" s="1"/>
  <c r="G134" i="34" s="1"/>
  <c r="G135" i="34" s="1"/>
  <c r="F91" i="34"/>
  <c r="F92" i="34" s="1"/>
  <c r="F93" i="34" s="1"/>
  <c r="F94" i="34" s="1"/>
  <c r="F95" i="34" s="1"/>
  <c r="F96" i="34" s="1"/>
  <c r="F97" i="34" s="1"/>
  <c r="F98" i="34" s="1"/>
  <c r="F99" i="34" s="1"/>
  <c r="F100" i="34" s="1"/>
  <c r="F101" i="34" s="1"/>
  <c r="F102" i="34" s="1"/>
  <c r="F103" i="34" s="1"/>
  <c r="F104" i="34" s="1"/>
  <c r="F105" i="34" s="1"/>
  <c r="F106" i="34" s="1"/>
  <c r="F107" i="34" s="1"/>
  <c r="F108" i="34" s="1"/>
  <c r="F109" i="34" s="1"/>
  <c r="F110" i="34" s="1"/>
  <c r="F111" i="34" s="1"/>
  <c r="F112" i="34" s="1"/>
  <c r="F113" i="34" s="1"/>
  <c r="F114" i="34" s="1"/>
  <c r="F115" i="34" s="1"/>
  <c r="F116" i="34" s="1"/>
  <c r="F117" i="34" s="1"/>
  <c r="F118" i="34" s="1"/>
  <c r="F119" i="34" s="1"/>
  <c r="F120" i="34" s="1"/>
  <c r="F121" i="34" s="1"/>
  <c r="F122" i="34" s="1"/>
  <c r="F136" i="34" s="1"/>
  <c r="F137" i="34" s="1"/>
  <c r="F138" i="34" s="1"/>
  <c r="F139" i="34" s="1"/>
  <c r="F140" i="34" s="1"/>
  <c r="F141" i="34" s="1"/>
  <c r="F142" i="34" s="1"/>
  <c r="F143" i="34" s="1"/>
  <c r="F144" i="34" s="1"/>
  <c r="F145" i="34" s="1"/>
  <c r="E140" i="34"/>
  <c r="G90" i="34"/>
  <c r="B90" i="34"/>
  <c r="D176" i="33"/>
  <c r="E176" i="33" s="1"/>
  <c r="E165" i="33"/>
  <c r="E166" i="33"/>
  <c r="I85" i="36"/>
  <c r="M85" i="36"/>
  <c r="Q85" i="36"/>
  <c r="U85" i="36"/>
  <c r="Y85" i="36"/>
  <c r="AC85" i="36"/>
  <c r="H85" i="36"/>
  <c r="O85" i="36"/>
  <c r="AA85" i="36"/>
  <c r="P85" i="36"/>
  <c r="J85" i="36"/>
  <c r="N85" i="36"/>
  <c r="R85" i="36"/>
  <c r="V85" i="36"/>
  <c r="Z85" i="36"/>
  <c r="K85" i="36"/>
  <c r="S85" i="36"/>
  <c r="W85" i="36"/>
  <c r="L85" i="36"/>
  <c r="T85" i="36"/>
  <c r="X85" i="36"/>
  <c r="AB85" i="36"/>
  <c r="D53" i="45"/>
  <c r="D54" i="45" s="1"/>
  <c r="D52" i="45"/>
  <c r="D67" i="45" s="1"/>
  <c r="E53" i="45"/>
  <c r="E54" i="45" s="1"/>
  <c r="E52" i="45"/>
  <c r="E84" i="36"/>
  <c r="E49" i="45"/>
  <c r="D49" i="45"/>
  <c r="D66" i="45" s="1"/>
  <c r="C137" i="34"/>
  <c r="E137" i="34" s="1"/>
  <c r="C141" i="34"/>
  <c r="E83" i="36"/>
  <c r="D191" i="33"/>
  <c r="E190" i="33"/>
  <c r="C168" i="33"/>
  <c r="C169" i="33" s="1"/>
  <c r="E167" i="33"/>
  <c r="E160" i="33"/>
  <c r="E156" i="33"/>
  <c r="F154" i="33"/>
  <c r="E189" i="33"/>
  <c r="E159" i="33"/>
  <c r="E155" i="33"/>
  <c r="E161" i="33"/>
  <c r="E157" i="33"/>
  <c r="E162" i="33"/>
  <c r="E158" i="33"/>
  <c r="E154" i="33"/>
  <c r="G155" i="33"/>
  <c r="A47" i="36"/>
  <c r="A48" i="36" s="1"/>
  <c r="E168" i="33"/>
  <c r="G146" i="34" l="1"/>
  <c r="G147" i="34" s="1"/>
  <c r="G148" i="34" s="1"/>
  <c r="G149" i="34" s="1"/>
  <c r="G150" i="34" s="1"/>
  <c r="G151" i="34" s="1"/>
  <c r="G152" i="34" s="1"/>
  <c r="G153" i="34" s="1"/>
  <c r="G154" i="34" s="1"/>
  <c r="G155" i="34" s="1"/>
  <c r="G156" i="34" s="1"/>
  <c r="G157" i="34" s="1"/>
  <c r="G158" i="34" s="1"/>
  <c r="G159" i="34" s="1"/>
  <c r="G160" i="34" s="1"/>
  <c r="G161" i="34" s="1"/>
  <c r="G162" i="34" s="1"/>
  <c r="G163" i="34" s="1"/>
  <c r="G164" i="34" s="1"/>
  <c r="G165" i="34" s="1"/>
  <c r="G166" i="34" s="1"/>
  <c r="G167" i="34" s="1"/>
  <c r="G168" i="34" s="1"/>
  <c r="G169" i="34" s="1"/>
  <c r="G170" i="34" s="1"/>
  <c r="G171" i="34" s="1"/>
  <c r="G172" i="34" s="1"/>
  <c r="G173" i="34" s="1"/>
  <c r="G174" i="34" s="1"/>
  <c r="G175" i="34" s="1"/>
  <c r="G176" i="34" s="1"/>
  <c r="G177" i="34" s="1"/>
  <c r="G178" i="34" s="1"/>
  <c r="G179" i="34" s="1"/>
  <c r="G180" i="34" s="1"/>
  <c r="G181" i="34" s="1"/>
  <c r="G182" i="34" s="1"/>
  <c r="G183" i="34" s="1"/>
  <c r="G184" i="34" s="1"/>
  <c r="G185" i="34" s="1"/>
  <c r="G186" i="34" s="1"/>
  <c r="G187" i="34" s="1"/>
  <c r="G188" i="34" s="1"/>
  <c r="F146" i="34"/>
  <c r="F147" i="34" s="1"/>
  <c r="F148" i="34" s="1"/>
  <c r="F149" i="34" s="1"/>
  <c r="F150" i="34" s="1"/>
  <c r="F151" i="34" s="1"/>
  <c r="F152" i="34" s="1"/>
  <c r="F153" i="34" s="1"/>
  <c r="F154" i="34" s="1"/>
  <c r="F155" i="34" s="1"/>
  <c r="F156" i="34" s="1"/>
  <c r="F157" i="34" s="1"/>
  <c r="F158" i="34" s="1"/>
  <c r="F159" i="34" s="1"/>
  <c r="F160" i="34" s="1"/>
  <c r="F161" i="34" s="1"/>
  <c r="F162" i="34" s="1"/>
  <c r="F163" i="34" s="1"/>
  <c r="F164" i="34" s="1"/>
  <c r="F165" i="34" s="1"/>
  <c r="F166" i="34" s="1"/>
  <c r="F167" i="34" s="1"/>
  <c r="F168" i="34" s="1"/>
  <c r="F169" i="34" s="1"/>
  <c r="F170" i="34" s="1"/>
  <c r="F171" i="34" s="1"/>
  <c r="F172" i="34" s="1"/>
  <c r="F173" i="34" s="1"/>
  <c r="F174" i="34" s="1"/>
  <c r="F175" i="34" s="1"/>
  <c r="F176" i="34" s="1"/>
  <c r="F177" i="34" s="1"/>
  <c r="F178" i="34" s="1"/>
  <c r="F179" i="34" s="1"/>
  <c r="F180" i="34" s="1"/>
  <c r="F181" i="34" s="1"/>
  <c r="F182" i="34" s="1"/>
  <c r="F183" i="34" s="1"/>
  <c r="F184" i="34" s="1"/>
  <c r="F185" i="34" s="1"/>
  <c r="F186" i="34" s="1"/>
  <c r="F187" i="34" s="1"/>
  <c r="F188" i="34" s="1"/>
  <c r="C138" i="34"/>
  <c r="E138" i="34" s="1"/>
  <c r="E141" i="34"/>
  <c r="C142" i="34"/>
  <c r="G156" i="33"/>
  <c r="G167" i="33"/>
  <c r="G179" i="33" s="1"/>
  <c r="F155" i="33"/>
  <c r="F166" i="33"/>
  <c r="F178" i="33" s="1"/>
  <c r="F190" i="33" s="1"/>
  <c r="D192" i="33"/>
  <c r="E191" i="33"/>
  <c r="E169" i="33"/>
  <c r="C170" i="33"/>
  <c r="C139" i="34" l="1"/>
  <c r="E139" i="34" s="1"/>
  <c r="C143" i="34"/>
  <c r="E142" i="34"/>
  <c r="F156" i="33"/>
  <c r="F167" i="33"/>
  <c r="F179" i="33" s="1"/>
  <c r="F191" i="33" s="1"/>
  <c r="D193" i="33"/>
  <c r="E193" i="33" s="1"/>
  <c r="E192" i="33"/>
  <c r="G157" i="33"/>
  <c r="G168" i="33"/>
  <c r="G180" i="33" s="1"/>
  <c r="C171" i="33"/>
  <c r="E170" i="33"/>
  <c r="C144" i="34" l="1"/>
  <c r="C145" i="34" s="1"/>
  <c r="C146" i="34" s="1"/>
  <c r="E143" i="34"/>
  <c r="G158" i="33"/>
  <c r="G169" i="33"/>
  <c r="G181" i="33" s="1"/>
  <c r="F157" i="33"/>
  <c r="F168" i="33"/>
  <c r="F180" i="33" s="1"/>
  <c r="F192" i="33" s="1"/>
  <c r="E171" i="33"/>
  <c r="C172" i="33"/>
  <c r="C147" i="34" l="1"/>
  <c r="E146" i="34"/>
  <c r="E145" i="34"/>
  <c r="E144" i="34"/>
  <c r="F158" i="33"/>
  <c r="F169" i="33"/>
  <c r="F181" i="33" s="1"/>
  <c r="F193" i="33" s="1"/>
  <c r="G159" i="33"/>
  <c r="G170" i="33"/>
  <c r="G182" i="33" s="1"/>
  <c r="E172" i="33"/>
  <c r="C173" i="33"/>
  <c r="C148" i="34" l="1"/>
  <c r="E147" i="34"/>
  <c r="G160" i="33"/>
  <c r="G171" i="33"/>
  <c r="G183" i="33" s="1"/>
  <c r="F159" i="33"/>
  <c r="F170" i="33"/>
  <c r="F182" i="33" s="1"/>
  <c r="F194" i="33" s="1"/>
  <c r="C174" i="33"/>
  <c r="E173" i="33"/>
  <c r="C149" i="34" l="1"/>
  <c r="E148" i="34"/>
  <c r="F160" i="33"/>
  <c r="F171" i="33"/>
  <c r="F183" i="33" s="1"/>
  <c r="G161" i="33"/>
  <c r="G172" i="33"/>
  <c r="G184" i="33" s="1"/>
  <c r="C175" i="33"/>
  <c r="E175" i="33" s="1"/>
  <c r="E174" i="33"/>
  <c r="C150" i="34" l="1"/>
  <c r="E149" i="34"/>
  <c r="G162" i="33"/>
  <c r="G173" i="33"/>
  <c r="G185" i="33" s="1"/>
  <c r="F161" i="33"/>
  <c r="F172" i="33"/>
  <c r="F184" i="33" s="1"/>
  <c r="C151" i="34" l="1"/>
  <c r="E150" i="34"/>
  <c r="F162" i="33"/>
  <c r="F173" i="33"/>
  <c r="F185" i="33" s="1"/>
  <c r="G163" i="33"/>
  <c r="G175" i="33" s="1"/>
  <c r="G187" i="33" s="1"/>
  <c r="G174" i="33"/>
  <c r="G186" i="33" s="1"/>
  <c r="C152" i="34" l="1"/>
  <c r="E151" i="34"/>
  <c r="F163" i="33"/>
  <c r="F175" i="33" s="1"/>
  <c r="F187" i="33" s="1"/>
  <c r="F174" i="33"/>
  <c r="F186" i="33" s="1"/>
  <c r="C153" i="34" l="1"/>
  <c r="E152" i="34"/>
  <c r="C154" i="34" l="1"/>
  <c r="E153" i="34"/>
  <c r="G71" i="34"/>
  <c r="G72" i="34" s="1"/>
  <c r="G73" i="34" s="1"/>
  <c r="G74" i="34" s="1"/>
  <c r="G75" i="34" s="1"/>
  <c r="G76" i="34" s="1"/>
  <c r="G77" i="34" s="1"/>
  <c r="G78" i="34" s="1"/>
  <c r="G79" i="34" s="1"/>
  <c r="G80" i="34" s="1"/>
  <c r="G81" i="34" s="1"/>
  <c r="G82" i="34" s="1"/>
  <c r="G83" i="34" s="1"/>
  <c r="G84" i="34" s="1"/>
  <c r="G85" i="34" s="1"/>
  <c r="F71" i="34"/>
  <c r="F72" i="34" s="1"/>
  <c r="F73" i="34" s="1"/>
  <c r="F74" i="34" s="1"/>
  <c r="F75" i="34" s="1"/>
  <c r="F76" i="34" s="1"/>
  <c r="F77" i="34" s="1"/>
  <c r="F78" i="34" s="1"/>
  <c r="F79" i="34" s="1"/>
  <c r="F80" i="34" s="1"/>
  <c r="F81" i="34" s="1"/>
  <c r="F82" i="34" s="1"/>
  <c r="F83" i="34" s="1"/>
  <c r="F84" i="34" s="1"/>
  <c r="F85" i="34" s="1"/>
  <c r="B70" i="34"/>
  <c r="B71" i="34" s="1"/>
  <c r="B72" i="34" s="1"/>
  <c r="B73" i="34" s="1"/>
  <c r="B74" i="34" s="1"/>
  <c r="B75" i="34" s="1"/>
  <c r="B76" i="34" s="1"/>
  <c r="B77" i="34" s="1"/>
  <c r="B78" i="34" s="1"/>
  <c r="B79" i="34" s="1"/>
  <c r="B80" i="34" s="1"/>
  <c r="B81" i="34" s="1"/>
  <c r="B82" i="34" s="1"/>
  <c r="B83" i="34" s="1"/>
  <c r="B84" i="34" s="1"/>
  <c r="B85" i="34" s="1"/>
  <c r="C69" i="34"/>
  <c r="C85" i="34" s="1"/>
  <c r="C67" i="34"/>
  <c r="C68" i="34" s="1"/>
  <c r="C84" i="34" s="1"/>
  <c r="C66" i="34"/>
  <c r="C82" i="34" s="1"/>
  <c r="C63" i="34"/>
  <c r="C79" i="34" s="1"/>
  <c r="C58" i="34"/>
  <c r="C59" i="34" s="1"/>
  <c r="C155" i="34" l="1"/>
  <c r="E154" i="34"/>
  <c r="C83" i="34"/>
  <c r="C75" i="34"/>
  <c r="C60" i="34"/>
  <c r="C61" i="34" s="1"/>
  <c r="C62" i="34" s="1"/>
  <c r="C78" i="34" s="1"/>
  <c r="C74" i="34"/>
  <c r="C64" i="34"/>
  <c r="C156" i="34" l="1"/>
  <c r="E156" i="34" s="1"/>
  <c r="E155" i="34"/>
  <c r="C76" i="34"/>
  <c r="C77" i="34"/>
  <c r="C65" i="34"/>
  <c r="C81" i="34" s="1"/>
  <c r="C80" i="34"/>
  <c r="B34" i="45"/>
  <c r="B62" i="45" s="1"/>
  <c r="B27" i="45"/>
  <c r="B61" i="45" s="1"/>
  <c r="A27" i="45"/>
  <c r="A61" i="45" s="1"/>
  <c r="D36" i="45"/>
  <c r="D37" i="45" s="1"/>
  <c r="D38" i="45" s="1"/>
  <c r="D39" i="45" s="1"/>
  <c r="D40" i="45" s="1"/>
  <c r="C36" i="45"/>
  <c r="C37" i="45"/>
  <c r="C38" i="45"/>
  <c r="C39" i="45"/>
  <c r="C40" i="45"/>
  <c r="C35" i="45"/>
  <c r="B35" i="45"/>
  <c r="B36" i="45" s="1"/>
  <c r="B37" i="45" s="1"/>
  <c r="B38" i="45" s="1"/>
  <c r="B39" i="45" s="1"/>
  <c r="B40" i="45" s="1"/>
  <c r="D29" i="45"/>
  <c r="D30" i="45" s="1"/>
  <c r="D31" i="45" s="1"/>
  <c r="D32" i="45" s="1"/>
  <c r="D33" i="45" s="1"/>
  <c r="C29" i="45"/>
  <c r="C30" i="45"/>
  <c r="C31" i="45"/>
  <c r="C32" i="45"/>
  <c r="C33" i="45"/>
  <c r="C28" i="45"/>
  <c r="B28" i="45"/>
  <c r="B29" i="45" s="1"/>
  <c r="B30" i="45" s="1"/>
  <c r="B31" i="45" s="1"/>
  <c r="B32" i="45" s="1"/>
  <c r="B33" i="45" s="1"/>
  <c r="A28" i="45"/>
  <c r="A29" i="45" s="1"/>
  <c r="A30" i="45" s="1"/>
  <c r="A31" i="45" s="1"/>
  <c r="A32" i="45" s="1"/>
  <c r="A33" i="45" s="1"/>
  <c r="A35" i="45" s="1"/>
  <c r="A36" i="45" s="1"/>
  <c r="A37" i="45" s="1"/>
  <c r="A38" i="45" s="1"/>
  <c r="A39" i="45" s="1"/>
  <c r="A40" i="45" s="1"/>
  <c r="A41" i="45" s="1"/>
  <c r="G55" i="34"/>
  <c r="G56" i="34" s="1"/>
  <c r="G57" i="34" s="1"/>
  <c r="G58" i="34" s="1"/>
  <c r="G59" i="34" s="1"/>
  <c r="G60" i="34" s="1"/>
  <c r="G61" i="34" s="1"/>
  <c r="G62" i="34" s="1"/>
  <c r="G63" i="34" s="1"/>
  <c r="G64" i="34" s="1"/>
  <c r="G65" i="34" s="1"/>
  <c r="G66" i="34" s="1"/>
  <c r="G67" i="34" s="1"/>
  <c r="G68" i="34" s="1"/>
  <c r="G69" i="34" s="1"/>
  <c r="F55" i="34"/>
  <c r="F56" i="34" s="1"/>
  <c r="F57" i="34" s="1"/>
  <c r="F58" i="34" s="1"/>
  <c r="F59" i="34" s="1"/>
  <c r="F60" i="34" s="1"/>
  <c r="F61" i="34" s="1"/>
  <c r="F62" i="34" s="1"/>
  <c r="F63" i="34" s="1"/>
  <c r="F64" i="34" s="1"/>
  <c r="F65" i="34" s="1"/>
  <c r="F66" i="34" s="1"/>
  <c r="F67" i="34" s="1"/>
  <c r="F68" i="34" s="1"/>
  <c r="F69" i="34" s="1"/>
  <c r="C54" i="34"/>
  <c r="B54" i="34"/>
  <c r="B55" i="34" s="1"/>
  <c r="B56" i="34" s="1"/>
  <c r="B57" i="34" s="1"/>
  <c r="B58" i="34" s="1"/>
  <c r="B59" i="34" s="1"/>
  <c r="B60" i="34" s="1"/>
  <c r="B61" i="34" s="1"/>
  <c r="B62" i="34" s="1"/>
  <c r="B63" i="34" s="1"/>
  <c r="B64" i="34" s="1"/>
  <c r="B65" i="34" s="1"/>
  <c r="B66" i="34" s="1"/>
  <c r="B67" i="34" s="1"/>
  <c r="B68" i="34" s="1"/>
  <c r="B69" i="34" s="1"/>
  <c r="A54" i="34"/>
  <c r="A55" i="34" s="1"/>
  <c r="A56" i="34" s="1"/>
  <c r="A57" i="34" s="1"/>
  <c r="A58" i="34" s="1"/>
  <c r="A59" i="34" s="1"/>
  <c r="A60" i="34" s="1"/>
  <c r="A61" i="34" s="1"/>
  <c r="A62" i="34" s="1"/>
  <c r="A63" i="34" s="1"/>
  <c r="A64" i="34" s="1"/>
  <c r="A65" i="34" s="1"/>
  <c r="A66" i="34" s="1"/>
  <c r="A67" i="34" s="1"/>
  <c r="A68" i="34" s="1"/>
  <c r="A69" i="34" s="1"/>
  <c r="A70" i="34" s="1"/>
  <c r="A71" i="34" s="1"/>
  <c r="A72" i="34" s="1"/>
  <c r="A73" i="34" s="1"/>
  <c r="A74" i="34" s="1"/>
  <c r="A75" i="34" s="1"/>
  <c r="A76" i="34" s="1"/>
  <c r="A77" i="34" s="1"/>
  <c r="A78" i="34" s="1"/>
  <c r="A79" i="34" s="1"/>
  <c r="A80" i="34" s="1"/>
  <c r="A81" i="34" s="1"/>
  <c r="A82" i="34" s="1"/>
  <c r="A83" i="34" s="1"/>
  <c r="A84" i="34" s="1"/>
  <c r="A85" i="34" s="1"/>
  <c r="A86" i="34" s="1"/>
  <c r="A87" i="34" s="1"/>
  <c r="A88" i="34" s="1"/>
  <c r="A89" i="34" s="1"/>
  <c r="A91" i="34" l="1"/>
  <c r="A92" i="34" s="1"/>
  <c r="A93" i="34" s="1"/>
  <c r="A94" i="34" s="1"/>
  <c r="A95" i="34" s="1"/>
  <c r="A96" i="34" s="1"/>
  <c r="A97" i="34" s="1"/>
  <c r="A98" i="34" s="1"/>
  <c r="A99" i="34" s="1"/>
  <c r="A100" i="34" s="1"/>
  <c r="A101" i="34" s="1"/>
  <c r="A102" i="34" s="1"/>
  <c r="A103" i="34" s="1"/>
  <c r="A104" i="34" s="1"/>
  <c r="A105" i="34" s="1"/>
  <c r="A106" i="34" s="1"/>
  <c r="A107" i="34" s="1"/>
  <c r="A108" i="34" s="1"/>
  <c r="A109" i="34" s="1"/>
  <c r="A110" i="34" s="1"/>
  <c r="A111" i="34" s="1"/>
  <c r="A112" i="34" s="1"/>
  <c r="A113" i="34" s="1"/>
  <c r="A114" i="34" s="1"/>
  <c r="A115" i="34" s="1"/>
  <c r="A116" i="34" s="1"/>
  <c r="A117" i="34" s="1"/>
  <c r="A118" i="34" s="1"/>
  <c r="A119" i="34" s="1"/>
  <c r="A120" i="34" s="1"/>
  <c r="A121" i="34" s="1"/>
  <c r="A122" i="34" s="1"/>
  <c r="A90" i="34"/>
  <c r="A42" i="45"/>
  <c r="A64" i="45" s="1"/>
  <c r="A63" i="45"/>
  <c r="C70" i="34"/>
  <c r="C55" i="34"/>
  <c r="A34" i="45"/>
  <c r="A62" i="45" s="1"/>
  <c r="F133" i="33"/>
  <c r="F134" i="33" s="1"/>
  <c r="F135" i="33" s="1"/>
  <c r="F136" i="33" s="1"/>
  <c r="F137" i="33" s="1"/>
  <c r="F138" i="33" s="1"/>
  <c r="F139" i="33" s="1"/>
  <c r="F140" i="33" s="1"/>
  <c r="F141" i="33" s="1"/>
  <c r="F142" i="33" s="1"/>
  <c r="F144" i="33" s="1"/>
  <c r="F145" i="33" s="1"/>
  <c r="F146" i="33" s="1"/>
  <c r="F147" i="33" s="1"/>
  <c r="F143" i="33" s="1"/>
  <c r="F117" i="33"/>
  <c r="F118" i="33" s="1"/>
  <c r="F119" i="33" s="1"/>
  <c r="F120" i="33" s="1"/>
  <c r="F121" i="33" s="1"/>
  <c r="F122" i="33" s="1"/>
  <c r="F123" i="33" s="1"/>
  <c r="F124" i="33" s="1"/>
  <c r="F125" i="33" s="1"/>
  <c r="F126" i="33" s="1"/>
  <c r="F128" i="33" s="1"/>
  <c r="F129" i="33" s="1"/>
  <c r="F130" i="33" s="1"/>
  <c r="F131" i="33" s="1"/>
  <c r="F127" i="33" s="1"/>
  <c r="E117" i="33"/>
  <c r="E118" i="33" s="1"/>
  <c r="E119" i="33" s="1"/>
  <c r="E120" i="33" s="1"/>
  <c r="E121" i="33" s="1"/>
  <c r="E122" i="33" s="1"/>
  <c r="E123" i="33" s="1"/>
  <c r="E124" i="33" s="1"/>
  <c r="E125" i="33" s="1"/>
  <c r="E126" i="33" s="1"/>
  <c r="E128" i="33" s="1"/>
  <c r="E129" i="33" s="1"/>
  <c r="E130" i="33" s="1"/>
  <c r="E131" i="33" s="1"/>
  <c r="E127" i="33" s="1"/>
  <c r="E132" i="33" s="1"/>
  <c r="E133" i="33" s="1"/>
  <c r="E134" i="33" s="1"/>
  <c r="E135" i="33" s="1"/>
  <c r="E136" i="33" s="1"/>
  <c r="E137" i="33" s="1"/>
  <c r="E138" i="33" s="1"/>
  <c r="E139" i="33" s="1"/>
  <c r="E140" i="33" s="1"/>
  <c r="E141" i="33" s="1"/>
  <c r="E142" i="33" s="1"/>
  <c r="E144" i="33" s="1"/>
  <c r="E145" i="33" s="1"/>
  <c r="E146" i="33" s="1"/>
  <c r="E147" i="33" s="1"/>
  <c r="E143" i="33" s="1"/>
  <c r="E85" i="33"/>
  <c r="E86" i="33" s="1"/>
  <c r="E87" i="33" s="1"/>
  <c r="E88" i="33" s="1"/>
  <c r="E89" i="33" s="1"/>
  <c r="E90" i="33" s="1"/>
  <c r="E91" i="33" s="1"/>
  <c r="E92" i="33" s="1"/>
  <c r="E93" i="33" s="1"/>
  <c r="E94" i="33" s="1"/>
  <c r="E96" i="33" s="1"/>
  <c r="E97" i="33" s="1"/>
  <c r="E98" i="33" s="1"/>
  <c r="E99" i="33" s="1"/>
  <c r="E95" i="33" s="1"/>
  <c r="E101" i="33" s="1"/>
  <c r="E102" i="33" s="1"/>
  <c r="E103" i="33" s="1"/>
  <c r="E104" i="33" s="1"/>
  <c r="E105" i="33" s="1"/>
  <c r="E106" i="33" s="1"/>
  <c r="E107" i="33" s="1"/>
  <c r="E108" i="33" s="1"/>
  <c r="E109" i="33" s="1"/>
  <c r="E110" i="33" s="1"/>
  <c r="E112" i="33" s="1"/>
  <c r="E113" i="33" s="1"/>
  <c r="E114" i="33" s="1"/>
  <c r="E115" i="33" s="1"/>
  <c r="E111" i="33" s="1"/>
  <c r="B100" i="33"/>
  <c r="B101" i="33" s="1"/>
  <c r="B102" i="33" s="1"/>
  <c r="B103" i="33" s="1"/>
  <c r="B104" i="33" s="1"/>
  <c r="B105" i="33" s="1"/>
  <c r="B106" i="33" s="1"/>
  <c r="B107" i="33" s="1"/>
  <c r="B108" i="33" s="1"/>
  <c r="B109" i="33" s="1"/>
  <c r="B110" i="33" s="1"/>
  <c r="B112" i="33" s="1"/>
  <c r="B113" i="33" s="1"/>
  <c r="B114" i="33" s="1"/>
  <c r="B115" i="33" s="1"/>
  <c r="D95" i="33"/>
  <c r="D85" i="33"/>
  <c r="D86" i="33"/>
  <c r="D87" i="33"/>
  <c r="D88" i="33"/>
  <c r="D89" i="33"/>
  <c r="D90" i="33"/>
  <c r="D91" i="33"/>
  <c r="D92" i="33"/>
  <c r="D93" i="33"/>
  <c r="D94" i="33"/>
  <c r="D96" i="33"/>
  <c r="D97" i="33"/>
  <c r="D98" i="33"/>
  <c r="D99" i="33"/>
  <c r="D84" i="33"/>
  <c r="B84" i="33"/>
  <c r="B85" i="33" s="1"/>
  <c r="B86" i="33" s="1"/>
  <c r="B87" i="33" s="1"/>
  <c r="B88" i="33" s="1"/>
  <c r="B89" i="33" s="1"/>
  <c r="B90" i="33" s="1"/>
  <c r="B91" i="33" s="1"/>
  <c r="B92" i="33" s="1"/>
  <c r="B93" i="33" s="1"/>
  <c r="B94" i="33" s="1"/>
  <c r="B96" i="33" s="1"/>
  <c r="B97" i="33" s="1"/>
  <c r="B98" i="33" s="1"/>
  <c r="B99" i="33" s="1"/>
  <c r="B95" i="33" s="1"/>
  <c r="A84" i="33"/>
  <c r="A85" i="33" s="1"/>
  <c r="A86" i="33" s="1"/>
  <c r="A87" i="33" s="1"/>
  <c r="A88" i="33" s="1"/>
  <c r="A89" i="33" s="1"/>
  <c r="A90" i="33" s="1"/>
  <c r="A91" i="33" s="1"/>
  <c r="A92" i="33" s="1"/>
  <c r="A93" i="33" s="1"/>
  <c r="A94" i="33" s="1"/>
  <c r="A96" i="33" s="1"/>
  <c r="A97" i="33" s="1"/>
  <c r="A98" i="33" s="1"/>
  <c r="A99" i="33" s="1"/>
  <c r="A95" i="33" s="1"/>
  <c r="A100" i="33" s="1"/>
  <c r="A101" i="33" s="1"/>
  <c r="A102" i="33" s="1"/>
  <c r="A103" i="33" s="1"/>
  <c r="A104" i="33" s="1"/>
  <c r="A105" i="33" s="1"/>
  <c r="A106" i="33" s="1"/>
  <c r="A107" i="33" s="1"/>
  <c r="A108" i="33" s="1"/>
  <c r="A109" i="33" s="1"/>
  <c r="A110" i="33" s="1"/>
  <c r="A112" i="33" s="1"/>
  <c r="A113" i="33" s="1"/>
  <c r="A114" i="33" s="1"/>
  <c r="A115" i="33" s="1"/>
  <c r="B73" i="33"/>
  <c r="B74" i="33" s="1"/>
  <c r="B75" i="33" s="1"/>
  <c r="B76" i="33" s="1"/>
  <c r="B77" i="33" s="1"/>
  <c r="B78" i="33" s="1"/>
  <c r="B79" i="33" s="1"/>
  <c r="B80" i="33" s="1"/>
  <c r="B81" i="33" s="1"/>
  <c r="A73" i="33"/>
  <c r="A74" i="33" s="1"/>
  <c r="A75" i="33" s="1"/>
  <c r="A76" i="33" s="1"/>
  <c r="A77" i="33" s="1"/>
  <c r="A78" i="33" s="1"/>
  <c r="A79" i="33" s="1"/>
  <c r="A80" i="33" s="1"/>
  <c r="A81" i="33" s="1"/>
  <c r="A136" i="34" l="1"/>
  <c r="A137" i="34" s="1"/>
  <c r="A138" i="34" s="1"/>
  <c r="A139" i="34" s="1"/>
  <c r="A140" i="34" s="1"/>
  <c r="A141" i="34" s="1"/>
  <c r="A142" i="34" s="1"/>
  <c r="A143" i="34" s="1"/>
  <c r="A144" i="34" s="1"/>
  <c r="A145" i="34" s="1"/>
  <c r="A146" i="34" s="1"/>
  <c r="A147" i="34" s="1"/>
  <c r="A148" i="34" s="1"/>
  <c r="A149" i="34" s="1"/>
  <c r="A150" i="34" s="1"/>
  <c r="A151" i="34" s="1"/>
  <c r="A152" i="34" s="1"/>
  <c r="A153" i="34" s="1"/>
  <c r="A154" i="34" s="1"/>
  <c r="A155" i="34" s="1"/>
  <c r="A156" i="34" s="1"/>
  <c r="A123" i="34"/>
  <c r="A124" i="34" s="1"/>
  <c r="A125" i="34" s="1"/>
  <c r="A126" i="34" s="1"/>
  <c r="A127" i="34" s="1"/>
  <c r="A128" i="34" s="1"/>
  <c r="A129" i="34" s="1"/>
  <c r="A130" i="34" s="1"/>
  <c r="A131" i="34" s="1"/>
  <c r="A132" i="34" s="1"/>
  <c r="A133" i="34" s="1"/>
  <c r="A134" i="34" s="1"/>
  <c r="A135" i="34" s="1"/>
  <c r="A44" i="45"/>
  <c r="A45" i="45" s="1"/>
  <c r="A46" i="45" s="1"/>
  <c r="A47" i="45" s="1"/>
  <c r="A48" i="45" s="1"/>
  <c r="A50" i="45" s="1"/>
  <c r="A51" i="45" s="1"/>
  <c r="A43" i="45"/>
  <c r="A65" i="45" s="1"/>
  <c r="A111" i="33"/>
  <c r="A116" i="33"/>
  <c r="A117" i="33" s="1"/>
  <c r="A118" i="33" s="1"/>
  <c r="A119" i="33" s="1"/>
  <c r="A120" i="33" s="1"/>
  <c r="A121" i="33" s="1"/>
  <c r="A122" i="33" s="1"/>
  <c r="A123" i="33" s="1"/>
  <c r="A124" i="33" s="1"/>
  <c r="A125" i="33" s="1"/>
  <c r="A126" i="33" s="1"/>
  <c r="A127" i="33" s="1"/>
  <c r="A128" i="33" s="1"/>
  <c r="A129" i="33" s="1"/>
  <c r="A130" i="33" s="1"/>
  <c r="A131" i="33" s="1"/>
  <c r="A132" i="33" s="1"/>
  <c r="A133" i="33" s="1"/>
  <c r="A134" i="33" s="1"/>
  <c r="A135" i="33" s="1"/>
  <c r="A136" i="33" s="1"/>
  <c r="A137" i="33" s="1"/>
  <c r="A138" i="33" s="1"/>
  <c r="A139" i="33" s="1"/>
  <c r="A140" i="33" s="1"/>
  <c r="A141" i="33" s="1"/>
  <c r="A142" i="33" s="1"/>
  <c r="A143" i="33" s="1"/>
  <c r="A144" i="33" s="1"/>
  <c r="A145" i="33" s="1"/>
  <c r="A146" i="33" s="1"/>
  <c r="A147" i="33" s="1"/>
  <c r="B111" i="33"/>
  <c r="B116" i="33"/>
  <c r="B117" i="33" s="1"/>
  <c r="B118" i="33" s="1"/>
  <c r="B119" i="33" s="1"/>
  <c r="B120" i="33" s="1"/>
  <c r="B121" i="33" s="1"/>
  <c r="B122" i="33" s="1"/>
  <c r="B123" i="33" s="1"/>
  <c r="B124" i="33" s="1"/>
  <c r="B125" i="33" s="1"/>
  <c r="B126" i="33" s="1"/>
  <c r="B127" i="33" s="1"/>
  <c r="B128" i="33" s="1"/>
  <c r="B129" i="33" s="1"/>
  <c r="B130" i="33" s="1"/>
  <c r="B131" i="33" s="1"/>
  <c r="B132" i="33" s="1"/>
  <c r="B133" i="33" s="1"/>
  <c r="B134" i="33" s="1"/>
  <c r="B135" i="33" s="1"/>
  <c r="B136" i="33" s="1"/>
  <c r="B137" i="33" s="1"/>
  <c r="B138" i="33" s="1"/>
  <c r="B139" i="33" s="1"/>
  <c r="B140" i="33" s="1"/>
  <c r="B141" i="33" s="1"/>
  <c r="B142" i="33" s="1"/>
  <c r="B143" i="33" s="1"/>
  <c r="B144" i="33" s="1"/>
  <c r="B145" i="33" s="1"/>
  <c r="B146" i="33" s="1"/>
  <c r="B147" i="33" s="1"/>
  <c r="C71" i="34"/>
  <c r="C56" i="34"/>
  <c r="D104" i="33"/>
  <c r="D58" i="34"/>
  <c r="D114" i="33"/>
  <c r="D68" i="34"/>
  <c r="D105" i="33"/>
  <c r="D59" i="34"/>
  <c r="D113" i="33"/>
  <c r="D67" i="34"/>
  <c r="D108" i="33"/>
  <c r="D62" i="34"/>
  <c r="D111" i="33"/>
  <c r="D65" i="34"/>
  <c r="D100" i="33"/>
  <c r="D54" i="34"/>
  <c r="D112" i="33"/>
  <c r="D66" i="34"/>
  <c r="D107" i="33"/>
  <c r="D61" i="34"/>
  <c r="D103" i="33"/>
  <c r="D57" i="34"/>
  <c r="D109" i="33"/>
  <c r="D63" i="34"/>
  <c r="D101" i="33"/>
  <c r="D55" i="34"/>
  <c r="D115" i="33"/>
  <c r="D69" i="34"/>
  <c r="D110" i="33"/>
  <c r="D64" i="34"/>
  <c r="D106" i="33"/>
  <c r="D60" i="34"/>
  <c r="D102" i="33"/>
  <c r="D56" i="34"/>
  <c r="A49" i="45" l="1"/>
  <c r="A66" i="45" s="1"/>
  <c r="A53" i="45"/>
  <c r="A54" i="45" s="1"/>
  <c r="A52" i="45"/>
  <c r="A67" i="45" s="1"/>
  <c r="C57" i="34"/>
  <c r="C72" i="34"/>
  <c r="D118" i="33"/>
  <c r="D134" i="33" s="1"/>
  <c r="D72" i="34"/>
  <c r="D126" i="33"/>
  <c r="D142" i="33" s="1"/>
  <c r="D80" i="34"/>
  <c r="D117" i="33"/>
  <c r="D133" i="33" s="1"/>
  <c r="D71" i="34"/>
  <c r="D119" i="33"/>
  <c r="D135" i="33" s="1"/>
  <c r="D73" i="34"/>
  <c r="D128" i="33"/>
  <c r="D144" i="33" s="1"/>
  <c r="D82" i="34"/>
  <c r="D127" i="33"/>
  <c r="D143" i="33" s="1"/>
  <c r="D81" i="34"/>
  <c r="D129" i="33"/>
  <c r="D145" i="33" s="1"/>
  <c r="D83" i="34"/>
  <c r="D130" i="33"/>
  <c r="D146" i="33" s="1"/>
  <c r="D84" i="34"/>
  <c r="D122" i="33"/>
  <c r="D138" i="33" s="1"/>
  <c r="D76" i="34"/>
  <c r="D131" i="33"/>
  <c r="D147" i="33" s="1"/>
  <c r="D85" i="34"/>
  <c r="D125" i="33"/>
  <c r="D141" i="33" s="1"/>
  <c r="D79" i="34"/>
  <c r="D123" i="33"/>
  <c r="D139" i="33" s="1"/>
  <c r="D77" i="34"/>
  <c r="D116" i="33"/>
  <c r="AJ54" i="34" s="1"/>
  <c r="D70" i="34"/>
  <c r="D124" i="33"/>
  <c r="D140" i="33" s="1"/>
  <c r="D78" i="34"/>
  <c r="D121" i="33"/>
  <c r="D137" i="33" s="1"/>
  <c r="D75" i="34"/>
  <c r="D120" i="33"/>
  <c r="D136" i="33" s="1"/>
  <c r="D74" i="34"/>
  <c r="R61" i="34" l="1"/>
  <c r="H64" i="34"/>
  <c r="AD68" i="34"/>
  <c r="AH55" i="34"/>
  <c r="AG58" i="34"/>
  <c r="O62" i="34"/>
  <c r="S61" i="34"/>
  <c r="AH60" i="34"/>
  <c r="H67" i="34"/>
  <c r="M64" i="34"/>
  <c r="L69" i="34"/>
  <c r="J33" i="45" s="1"/>
  <c r="S68" i="34"/>
  <c r="V58" i="34"/>
  <c r="X54" i="34"/>
  <c r="Z63" i="34"/>
  <c r="K60" i="34"/>
  <c r="Q67" i="34"/>
  <c r="D132" i="33"/>
  <c r="AC64" i="34"/>
  <c r="O57" i="34"/>
  <c r="AF57" i="34"/>
  <c r="AG67" i="34"/>
  <c r="O67" i="34"/>
  <c r="U60" i="34"/>
  <c r="W60" i="34"/>
  <c r="AB69" i="34"/>
  <c r="U63" i="34"/>
  <c r="AB63" i="34"/>
  <c r="AI61" i="34"/>
  <c r="Q61" i="34"/>
  <c r="O54" i="34"/>
  <c r="Q54" i="34"/>
  <c r="AE62" i="34"/>
  <c r="U59" i="34"/>
  <c r="K59" i="34"/>
  <c r="H58" i="34"/>
  <c r="X58" i="34"/>
  <c r="U55" i="34"/>
  <c r="I55" i="34"/>
  <c r="H66" i="34"/>
  <c r="F31" i="45" s="1"/>
  <c r="AB66" i="34"/>
  <c r="U68" i="34"/>
  <c r="O68" i="34"/>
  <c r="P64" i="34"/>
  <c r="AI64" i="34"/>
  <c r="AE57" i="34"/>
  <c r="Q57" i="34"/>
  <c r="AF67" i="34"/>
  <c r="AE67" i="34"/>
  <c r="I60" i="34"/>
  <c r="S69" i="34"/>
  <c r="Q33" i="45" s="1"/>
  <c r="M69" i="34"/>
  <c r="K33" i="45" s="1"/>
  <c r="J63" i="34"/>
  <c r="W63" i="34"/>
  <c r="H61" i="34"/>
  <c r="AG61" i="34"/>
  <c r="AE54" i="34"/>
  <c r="V62" i="34"/>
  <c r="L62" i="34"/>
  <c r="J59" i="34"/>
  <c r="AA59" i="34"/>
  <c r="O58" i="34"/>
  <c r="Q58" i="34"/>
  <c r="J55" i="34"/>
  <c r="W55" i="34"/>
  <c r="O66" i="34"/>
  <c r="M31" i="45" s="1"/>
  <c r="Y66" i="34"/>
  <c r="W31" i="45" s="1"/>
  <c r="I68" i="34"/>
  <c r="AF64" i="34"/>
  <c r="Z64" i="34"/>
  <c r="Z57" i="34"/>
  <c r="AG57" i="34"/>
  <c r="V67" i="34"/>
  <c r="T60" i="34"/>
  <c r="R60" i="34"/>
  <c r="AI69" i="34"/>
  <c r="AC69" i="34"/>
  <c r="I63" i="34"/>
  <c r="T63" i="34"/>
  <c r="X61" i="34"/>
  <c r="V54" i="34"/>
  <c r="AG54" i="34"/>
  <c r="H62" i="34"/>
  <c r="AB62" i="34"/>
  <c r="R59" i="34"/>
  <c r="AB59" i="34"/>
  <c r="AE58" i="34"/>
  <c r="R55" i="34"/>
  <c r="L55" i="34"/>
  <c r="AE66" i="34"/>
  <c r="T68" i="34"/>
  <c r="N68" i="34"/>
  <c r="V66" i="34"/>
  <c r="T31" i="45" s="1"/>
  <c r="Y62" i="34"/>
  <c r="L66" i="34"/>
  <c r="AH59" i="34"/>
  <c r="H54" i="34"/>
  <c r="AH69" i="34"/>
  <c r="P57" i="34"/>
  <c r="K77" i="34"/>
  <c r="AA77" i="34"/>
  <c r="V77" i="34"/>
  <c r="L77" i="34"/>
  <c r="AF77" i="34"/>
  <c r="R77" i="34"/>
  <c r="M77" i="34"/>
  <c r="AG77" i="34"/>
  <c r="Z77" i="34"/>
  <c r="R84" i="34"/>
  <c r="Z84" i="34"/>
  <c r="U84" i="34"/>
  <c r="K84" i="34"/>
  <c r="AE84" i="34"/>
  <c r="AG84" i="34"/>
  <c r="L84" i="34"/>
  <c r="AB84" i="34"/>
  <c r="AF84" i="34"/>
  <c r="M84" i="34"/>
  <c r="J31" i="45"/>
  <c r="AG65" i="34"/>
  <c r="AF65" i="34"/>
  <c r="J65" i="34"/>
  <c r="AI56" i="34"/>
  <c r="V56" i="34"/>
  <c r="Y56" i="34"/>
  <c r="X56" i="34"/>
  <c r="H68" i="34"/>
  <c r="Z68" i="34"/>
  <c r="AI68" i="34"/>
  <c r="AG68" i="34"/>
  <c r="Q68" i="34"/>
  <c r="AF68" i="34"/>
  <c r="P68" i="34"/>
  <c r="Q66" i="34"/>
  <c r="X66" i="34"/>
  <c r="AC66" i="34"/>
  <c r="AA66" i="34"/>
  <c r="K66" i="34"/>
  <c r="AH66" i="34"/>
  <c r="R66" i="34"/>
  <c r="AI55" i="34"/>
  <c r="S55" i="34"/>
  <c r="AF55" i="34"/>
  <c r="AD55" i="34"/>
  <c r="N55" i="34"/>
  <c r="AG55" i="34"/>
  <c r="Q55" i="34"/>
  <c r="J58" i="34"/>
  <c r="T58" i="34"/>
  <c r="U58" i="34"/>
  <c r="AA58" i="34"/>
  <c r="K58" i="34"/>
  <c r="AH58" i="34"/>
  <c r="R58" i="34"/>
  <c r="P59" i="34"/>
  <c r="W59" i="34"/>
  <c r="AF59" i="34"/>
  <c r="AD59" i="34"/>
  <c r="N59" i="34"/>
  <c r="AG59" i="34"/>
  <c r="Q59" i="34"/>
  <c r="M62" i="34"/>
  <c r="X62" i="34"/>
  <c r="U62" i="34"/>
  <c r="AA62" i="34"/>
  <c r="K62" i="34"/>
  <c r="AH62" i="34"/>
  <c r="R62" i="34"/>
  <c r="J54" i="34"/>
  <c r="T54" i="34"/>
  <c r="U54" i="34"/>
  <c r="AA54" i="34"/>
  <c r="K54" i="34"/>
  <c r="AH54" i="34"/>
  <c r="R54" i="34"/>
  <c r="AC61" i="34"/>
  <c r="M61" i="34"/>
  <c r="N61" i="34"/>
  <c r="T61" i="34"/>
  <c r="AH61" i="34"/>
  <c r="AE61" i="34"/>
  <c r="O61" i="34"/>
  <c r="AI63" i="34"/>
  <c r="S63" i="34"/>
  <c r="L63" i="34"/>
  <c r="V63" i="34"/>
  <c r="X63" i="34"/>
  <c r="AG63" i="34"/>
  <c r="Q63" i="34"/>
  <c r="AD69" i="34"/>
  <c r="Y69" i="34"/>
  <c r="H69" i="34"/>
  <c r="X69" i="34"/>
  <c r="Z69" i="34"/>
  <c r="AE69" i="34"/>
  <c r="O69" i="34"/>
  <c r="O60" i="34"/>
  <c r="AD60" i="34"/>
  <c r="N60" i="34"/>
  <c r="AG60" i="34"/>
  <c r="Q60" i="34"/>
  <c r="AF60" i="34"/>
  <c r="P60" i="34"/>
  <c r="AA67" i="34"/>
  <c r="K67" i="34"/>
  <c r="AH67" i="34"/>
  <c r="R67" i="34"/>
  <c r="X67" i="34"/>
  <c r="AC67" i="34"/>
  <c r="M67" i="34"/>
  <c r="AC57" i="34"/>
  <c r="M57" i="34"/>
  <c r="AB57" i="34"/>
  <c r="L57" i="34"/>
  <c r="N57" i="34"/>
  <c r="AA57" i="34"/>
  <c r="K57" i="34"/>
  <c r="J64" i="34"/>
  <c r="V64" i="34"/>
  <c r="O64" i="34"/>
  <c r="Y64" i="34"/>
  <c r="AE64" i="34"/>
  <c r="AB64" i="34"/>
  <c r="L64" i="34"/>
  <c r="I65" i="34"/>
  <c r="AC65" i="34"/>
  <c r="M65" i="34"/>
  <c r="AB65" i="34"/>
  <c r="L65" i="34"/>
  <c r="AI65" i="34"/>
  <c r="S65" i="34"/>
  <c r="W56" i="34"/>
  <c r="AH56" i="34"/>
  <c r="R56" i="34"/>
  <c r="I56" i="34"/>
  <c r="U56" i="34"/>
  <c r="O56" i="34"/>
  <c r="T56" i="34"/>
  <c r="L74" i="34"/>
  <c r="P74" i="34"/>
  <c r="T74" i="34"/>
  <c r="AB74" i="34"/>
  <c r="AF74" i="34"/>
  <c r="H74" i="34"/>
  <c r="AA74" i="34"/>
  <c r="I74" i="34"/>
  <c r="M74" i="34"/>
  <c r="U74" i="34"/>
  <c r="Y74" i="34"/>
  <c r="AC74" i="34"/>
  <c r="S74" i="34"/>
  <c r="AI74" i="34"/>
  <c r="J74" i="34"/>
  <c r="R74" i="34"/>
  <c r="V74" i="34"/>
  <c r="Z74" i="34"/>
  <c r="AH74" i="34"/>
  <c r="K74" i="34"/>
  <c r="W74" i="34"/>
  <c r="K85" i="34"/>
  <c r="O85" i="34"/>
  <c r="S85" i="34"/>
  <c r="AA85" i="34"/>
  <c r="AE85" i="34"/>
  <c r="AI85" i="34"/>
  <c r="Z85" i="34"/>
  <c r="AH85" i="34"/>
  <c r="L85" i="34"/>
  <c r="T85" i="34"/>
  <c r="X85" i="34"/>
  <c r="AB85" i="34"/>
  <c r="R85" i="34"/>
  <c r="AD85" i="34"/>
  <c r="H85" i="34"/>
  <c r="M85" i="34"/>
  <c r="Q85" i="34"/>
  <c r="U85" i="34"/>
  <c r="AC85" i="34"/>
  <c r="AG85" i="34"/>
  <c r="J85" i="34"/>
  <c r="K73" i="34"/>
  <c r="O73" i="34"/>
  <c r="S73" i="34"/>
  <c r="AA73" i="34"/>
  <c r="AE73" i="34"/>
  <c r="AI73" i="34"/>
  <c r="V73" i="34"/>
  <c r="AD73" i="34"/>
  <c r="L73" i="34"/>
  <c r="T73" i="34"/>
  <c r="X73" i="34"/>
  <c r="AB73" i="34"/>
  <c r="R73" i="34"/>
  <c r="AH73" i="34"/>
  <c r="I73" i="34"/>
  <c r="Q73" i="34"/>
  <c r="U73" i="34"/>
  <c r="Y73" i="34"/>
  <c r="AG73" i="34"/>
  <c r="N73" i="34"/>
  <c r="Z73" i="34"/>
  <c r="H65" i="34"/>
  <c r="Q65" i="34"/>
  <c r="P65" i="34"/>
  <c r="W65" i="34"/>
  <c r="J56" i="34"/>
  <c r="S56" i="34"/>
  <c r="AA56" i="34"/>
  <c r="M75" i="34"/>
  <c r="Q75" i="34"/>
  <c r="U75" i="34"/>
  <c r="AC75" i="34"/>
  <c r="AG75" i="34"/>
  <c r="L75" i="34"/>
  <c r="J75" i="34"/>
  <c r="N75" i="34"/>
  <c r="R75" i="34"/>
  <c r="Z75" i="34"/>
  <c r="AD75" i="34"/>
  <c r="AH75" i="34"/>
  <c r="T75" i="34"/>
  <c r="AF75" i="34"/>
  <c r="K75" i="34"/>
  <c r="S75" i="34"/>
  <c r="W75" i="34"/>
  <c r="AA75" i="34"/>
  <c r="AI75" i="34"/>
  <c r="P75" i="34"/>
  <c r="AB75" i="34"/>
  <c r="P70" i="34"/>
  <c r="T70" i="34"/>
  <c r="X70" i="34"/>
  <c r="AF70" i="34"/>
  <c r="H70" i="34"/>
  <c r="K70" i="34"/>
  <c r="AA70" i="34"/>
  <c r="AI70" i="34"/>
  <c r="I70" i="34"/>
  <c r="Q70" i="34"/>
  <c r="U70" i="34"/>
  <c r="Y70" i="34"/>
  <c r="AG70" i="34"/>
  <c r="J70" i="34"/>
  <c r="N70" i="34"/>
  <c r="V70" i="34"/>
  <c r="Z70" i="34"/>
  <c r="AD70" i="34"/>
  <c r="O70" i="34"/>
  <c r="W70" i="34"/>
  <c r="AE70" i="34"/>
  <c r="M79" i="34"/>
  <c r="Q79" i="34"/>
  <c r="U79" i="34"/>
  <c r="AC79" i="34"/>
  <c r="AG79" i="34"/>
  <c r="T79" i="34"/>
  <c r="J79" i="34"/>
  <c r="N79" i="34"/>
  <c r="R79" i="34"/>
  <c r="Z79" i="34"/>
  <c r="AD79" i="34"/>
  <c r="AH79" i="34"/>
  <c r="P79" i="34"/>
  <c r="AB79" i="34"/>
  <c r="K79" i="34"/>
  <c r="S79" i="34"/>
  <c r="W79" i="34"/>
  <c r="AA79" i="34"/>
  <c r="AI79" i="34"/>
  <c r="L79" i="34"/>
  <c r="X79" i="34"/>
  <c r="N76" i="34"/>
  <c r="R76" i="34"/>
  <c r="V76" i="34"/>
  <c r="AD76" i="34"/>
  <c r="AH76" i="34"/>
  <c r="M76" i="34"/>
  <c r="K76" i="34"/>
  <c r="O76" i="34"/>
  <c r="S76" i="34"/>
  <c r="AA76" i="34"/>
  <c r="AE76" i="34"/>
  <c r="AI76" i="34"/>
  <c r="AG76" i="34"/>
  <c r="L76" i="34"/>
  <c r="P76" i="34"/>
  <c r="X76" i="34"/>
  <c r="AB76" i="34"/>
  <c r="AF76" i="34"/>
  <c r="I76" i="34"/>
  <c r="U76" i="34"/>
  <c r="AC76" i="34"/>
  <c r="M83" i="34"/>
  <c r="Q83" i="34"/>
  <c r="U83" i="34"/>
  <c r="AC83" i="34"/>
  <c r="AG83" i="34"/>
  <c r="P83" i="34"/>
  <c r="J83" i="34"/>
  <c r="N83" i="34"/>
  <c r="R83" i="34"/>
  <c r="Z83" i="34"/>
  <c r="AD83" i="34"/>
  <c r="AH83" i="34"/>
  <c r="T83" i="34"/>
  <c r="AF83" i="34"/>
  <c r="K83" i="34"/>
  <c r="S83" i="34"/>
  <c r="W83" i="34"/>
  <c r="AA83" i="34"/>
  <c r="AI83" i="34"/>
  <c r="L83" i="34"/>
  <c r="X83" i="34"/>
  <c r="P82" i="34"/>
  <c r="T82" i="34"/>
  <c r="X82" i="34"/>
  <c r="AF82" i="34"/>
  <c r="H82" i="34"/>
  <c r="S82" i="34"/>
  <c r="I82" i="34"/>
  <c r="M82" i="34"/>
  <c r="Q82" i="34"/>
  <c r="Y82" i="34"/>
  <c r="AC82" i="34"/>
  <c r="AG82" i="34"/>
  <c r="W82" i="34"/>
  <c r="AI82" i="34"/>
  <c r="J82" i="34"/>
  <c r="R82" i="34"/>
  <c r="V82" i="34"/>
  <c r="Z82" i="34"/>
  <c r="AH82" i="34"/>
  <c r="O82" i="34"/>
  <c r="AA82" i="34"/>
  <c r="M71" i="34"/>
  <c r="Q71" i="34"/>
  <c r="U71" i="34"/>
  <c r="AC71" i="34"/>
  <c r="AG71" i="34"/>
  <c r="P71" i="34"/>
  <c r="AF71" i="34"/>
  <c r="J71" i="34"/>
  <c r="N71" i="34"/>
  <c r="V71" i="34"/>
  <c r="Z71" i="34"/>
  <c r="AD71" i="34"/>
  <c r="H71" i="34"/>
  <c r="K71" i="34"/>
  <c r="O71" i="34"/>
  <c r="W71" i="34"/>
  <c r="AA71" i="34"/>
  <c r="AE71" i="34"/>
  <c r="L71" i="34"/>
  <c r="T71" i="34"/>
  <c r="AB71" i="34"/>
  <c r="N72" i="34"/>
  <c r="R72" i="34"/>
  <c r="V72" i="34"/>
  <c r="AD72" i="34"/>
  <c r="AH72" i="34"/>
  <c r="Q72" i="34"/>
  <c r="K72" i="34"/>
  <c r="O72" i="34"/>
  <c r="S72" i="34"/>
  <c r="AA72" i="34"/>
  <c r="AE72" i="34"/>
  <c r="AI72" i="34"/>
  <c r="AG72" i="34"/>
  <c r="L72" i="34"/>
  <c r="P72" i="34"/>
  <c r="X72" i="34"/>
  <c r="AB72" i="34"/>
  <c r="AF72" i="34"/>
  <c r="M72" i="34"/>
  <c r="U72" i="34"/>
  <c r="AC72" i="34"/>
  <c r="J68" i="34"/>
  <c r="V68" i="34"/>
  <c r="W68" i="34"/>
  <c r="AC68" i="34"/>
  <c r="M68" i="34"/>
  <c r="AB68" i="34"/>
  <c r="L68" i="34"/>
  <c r="J66" i="34"/>
  <c r="T66" i="34"/>
  <c r="I66" i="34"/>
  <c r="W66" i="34"/>
  <c r="U66" i="34"/>
  <c r="AD66" i="34"/>
  <c r="N66" i="34"/>
  <c r="AE55" i="34"/>
  <c r="O55" i="34"/>
  <c r="T55" i="34"/>
  <c r="Z55" i="34"/>
  <c r="AB55" i="34"/>
  <c r="AC55" i="34"/>
  <c r="M55" i="34"/>
  <c r="AF58" i="34"/>
  <c r="P58" i="34"/>
  <c r="I58" i="34"/>
  <c r="W58" i="34"/>
  <c r="Y58" i="34"/>
  <c r="AD58" i="34"/>
  <c r="N58" i="34"/>
  <c r="AI59" i="34"/>
  <c r="S59" i="34"/>
  <c r="T59" i="34"/>
  <c r="Z59" i="34"/>
  <c r="X59" i="34"/>
  <c r="AC59" i="34"/>
  <c r="M59" i="34"/>
  <c r="J62" i="34"/>
  <c r="T62" i="34"/>
  <c r="I62" i="34"/>
  <c r="W62" i="34"/>
  <c r="AC62" i="34"/>
  <c r="AD62" i="34"/>
  <c r="N62" i="34"/>
  <c r="AF54" i="34"/>
  <c r="P54" i="34"/>
  <c r="I54" i="34"/>
  <c r="W54" i="34"/>
  <c r="AC54" i="34"/>
  <c r="AD54" i="34"/>
  <c r="N54" i="34"/>
  <c r="Y61" i="34"/>
  <c r="I61" i="34"/>
  <c r="AF61" i="34"/>
  <c r="P61" i="34"/>
  <c r="V61" i="34"/>
  <c r="AA61" i="34"/>
  <c r="K61" i="34"/>
  <c r="AE63" i="34"/>
  <c r="O63" i="34"/>
  <c r="AH63" i="34"/>
  <c r="R63" i="34"/>
  <c r="P63" i="34"/>
  <c r="AC63" i="34"/>
  <c r="M63" i="34"/>
  <c r="R69" i="34"/>
  <c r="U69" i="34"/>
  <c r="V69" i="34"/>
  <c r="T69" i="34"/>
  <c r="N69" i="34"/>
  <c r="AA69" i="34"/>
  <c r="K69" i="34"/>
  <c r="H60" i="34"/>
  <c r="Z60" i="34"/>
  <c r="AE60" i="34"/>
  <c r="AC60" i="34"/>
  <c r="M60" i="34"/>
  <c r="AB60" i="34"/>
  <c r="L60" i="34"/>
  <c r="T67" i="34"/>
  <c r="W67" i="34"/>
  <c r="AB67" i="34"/>
  <c r="AD67" i="34"/>
  <c r="N67" i="34"/>
  <c r="L67" i="34"/>
  <c r="Y67" i="34"/>
  <c r="AH57" i="34"/>
  <c r="Y57" i="34"/>
  <c r="H57" i="34"/>
  <c r="X57" i="34"/>
  <c r="I57" i="34"/>
  <c r="J57" i="34"/>
  <c r="W57" i="34"/>
  <c r="AA64" i="34"/>
  <c r="AH64" i="34"/>
  <c r="R64" i="34"/>
  <c r="I64" i="34"/>
  <c r="U64" i="34"/>
  <c r="W64" i="34"/>
  <c r="X64" i="34"/>
  <c r="AD65" i="34"/>
  <c r="Y65" i="34"/>
  <c r="AH65" i="34"/>
  <c r="X65" i="34"/>
  <c r="Z65" i="34"/>
  <c r="AE65" i="34"/>
  <c r="O65" i="34"/>
  <c r="K56" i="34"/>
  <c r="AD56" i="34"/>
  <c r="N56" i="34"/>
  <c r="AG56" i="34"/>
  <c r="Q56" i="34"/>
  <c r="AF56" i="34"/>
  <c r="P56" i="34"/>
  <c r="P78" i="34"/>
  <c r="T78" i="34"/>
  <c r="X78" i="34"/>
  <c r="AB78" i="34"/>
  <c r="AF78" i="34"/>
  <c r="H78" i="34"/>
  <c r="K78" i="34"/>
  <c r="W78" i="34"/>
  <c r="AI78" i="34"/>
  <c r="I78" i="34"/>
  <c r="M78" i="34"/>
  <c r="Q78" i="34"/>
  <c r="U78" i="34"/>
  <c r="Y78" i="34"/>
  <c r="AC78" i="34"/>
  <c r="AG78" i="34"/>
  <c r="S78" i="34"/>
  <c r="AE78" i="34"/>
  <c r="J78" i="34"/>
  <c r="N78" i="34"/>
  <c r="R78" i="34"/>
  <c r="V78" i="34"/>
  <c r="Z78" i="34"/>
  <c r="AD78" i="34"/>
  <c r="AH78" i="34"/>
  <c r="O78" i="34"/>
  <c r="AA78" i="34"/>
  <c r="K81" i="34"/>
  <c r="O81" i="34"/>
  <c r="S81" i="34"/>
  <c r="W81" i="34"/>
  <c r="AA81" i="34"/>
  <c r="AE81" i="34"/>
  <c r="AI81" i="34"/>
  <c r="N81" i="34"/>
  <c r="Z81" i="34"/>
  <c r="AH81" i="34"/>
  <c r="L81" i="34"/>
  <c r="P81" i="34"/>
  <c r="T81" i="34"/>
  <c r="X81" i="34"/>
  <c r="AB81" i="34"/>
  <c r="AF81" i="34"/>
  <c r="J81" i="34"/>
  <c r="V81" i="34"/>
  <c r="I81" i="34"/>
  <c r="M81" i="34"/>
  <c r="Q81" i="34"/>
  <c r="U81" i="34"/>
  <c r="Y81" i="34"/>
  <c r="AC81" i="34"/>
  <c r="AG81" i="34"/>
  <c r="R81" i="34"/>
  <c r="AD81" i="34"/>
  <c r="H81" i="34"/>
  <c r="J80" i="34"/>
  <c r="N80" i="34"/>
  <c r="R80" i="34"/>
  <c r="V80" i="34"/>
  <c r="Z80" i="34"/>
  <c r="AD80" i="34"/>
  <c r="AH80" i="34"/>
  <c r="Q80" i="34"/>
  <c r="AC80" i="34"/>
  <c r="K80" i="34"/>
  <c r="O80" i="34"/>
  <c r="S80" i="34"/>
  <c r="W80" i="34"/>
  <c r="AA80" i="34"/>
  <c r="AE80" i="34"/>
  <c r="AI80" i="34"/>
  <c r="M80" i="34"/>
  <c r="Y80" i="34"/>
  <c r="L80" i="34"/>
  <c r="P80" i="34"/>
  <c r="T80" i="34"/>
  <c r="X80" i="34"/>
  <c r="AB80" i="34"/>
  <c r="AF80" i="34"/>
  <c r="H80" i="34"/>
  <c r="I80" i="34"/>
  <c r="U80" i="34"/>
  <c r="AG80" i="34"/>
  <c r="AA68" i="34"/>
  <c r="AH68" i="34"/>
  <c r="R68" i="34"/>
  <c r="K68" i="34"/>
  <c r="Y68" i="34"/>
  <c r="AE68" i="34"/>
  <c r="X68" i="34"/>
  <c r="AG66" i="34"/>
  <c r="AF66" i="34"/>
  <c r="P66" i="34"/>
  <c r="AI66" i="34"/>
  <c r="S66" i="34"/>
  <c r="M66" i="34"/>
  <c r="Z66" i="34"/>
  <c r="X55" i="34"/>
  <c r="AA55" i="34"/>
  <c r="K55" i="34"/>
  <c r="H55" i="34"/>
  <c r="V55" i="34"/>
  <c r="P55" i="34"/>
  <c r="Y55" i="34"/>
  <c r="AC58" i="34"/>
  <c r="AB58" i="34"/>
  <c r="L58" i="34"/>
  <c r="AI58" i="34"/>
  <c r="S58" i="34"/>
  <c r="M58" i="34"/>
  <c r="Z58" i="34"/>
  <c r="I59" i="34"/>
  <c r="AE59" i="34"/>
  <c r="O59" i="34"/>
  <c r="H59" i="34"/>
  <c r="V59" i="34"/>
  <c r="L59" i="34"/>
  <c r="Y59" i="34"/>
  <c r="AG62" i="34"/>
  <c r="AF62" i="34"/>
  <c r="P62" i="34"/>
  <c r="AI62" i="34"/>
  <c r="S62" i="34"/>
  <c r="Q62" i="34"/>
  <c r="Z62" i="34"/>
  <c r="Y54" i="34"/>
  <c r="AB54" i="34"/>
  <c r="L54" i="34"/>
  <c r="AI54" i="34"/>
  <c r="S54" i="34"/>
  <c r="M54" i="34"/>
  <c r="Z54" i="34"/>
  <c r="Z61" i="34"/>
  <c r="U61" i="34"/>
  <c r="AD61" i="34"/>
  <c r="AB61" i="34"/>
  <c r="L61" i="34"/>
  <c r="J61" i="34"/>
  <c r="W61" i="34"/>
  <c r="AF63" i="34"/>
  <c r="AA63" i="34"/>
  <c r="K63" i="34"/>
  <c r="AD63" i="34"/>
  <c r="N63" i="34"/>
  <c r="H63" i="34"/>
  <c r="Y63" i="34"/>
  <c r="I69" i="34"/>
  <c r="AG69" i="34"/>
  <c r="Q69" i="34"/>
  <c r="AF69" i="34"/>
  <c r="P69" i="34"/>
  <c r="J69" i="34"/>
  <c r="W69" i="34"/>
  <c r="AI60" i="34"/>
  <c r="J60" i="34"/>
  <c r="V60" i="34"/>
  <c r="S60" i="34"/>
  <c r="Y60" i="34"/>
  <c r="AA60" i="34"/>
  <c r="X60" i="34"/>
  <c r="AI67" i="34"/>
  <c r="S67" i="34"/>
  <c r="P67" i="34"/>
  <c r="Z67" i="34"/>
  <c r="I67" i="34"/>
  <c r="J67" i="34"/>
  <c r="U67" i="34"/>
  <c r="V57" i="34"/>
  <c r="U57" i="34"/>
  <c r="R57" i="34"/>
  <c r="T57" i="34"/>
  <c r="AD57" i="34"/>
  <c r="AI57" i="34"/>
  <c r="S57" i="34"/>
  <c r="S64" i="34"/>
  <c r="AD64" i="34"/>
  <c r="N64" i="34"/>
  <c r="AG64" i="34"/>
  <c r="Q64" i="34"/>
  <c r="K64" i="34"/>
  <c r="T64" i="34"/>
  <c r="N65" i="34"/>
  <c r="U65" i="34"/>
  <c r="V65" i="34"/>
  <c r="T65" i="34"/>
  <c r="R65" i="34"/>
  <c r="AA65" i="34"/>
  <c r="K65" i="34"/>
  <c r="H56" i="34"/>
  <c r="Z56" i="34"/>
  <c r="AE56" i="34"/>
  <c r="AC56" i="34"/>
  <c r="M56" i="34"/>
  <c r="AB56" i="34"/>
  <c r="L56" i="34"/>
  <c r="C73" i="34"/>
  <c r="O77" i="34" l="1"/>
  <c r="AI77" i="34"/>
  <c r="AB77" i="34"/>
  <c r="Q77" i="34"/>
  <c r="AD77" i="34"/>
  <c r="I84" i="34"/>
  <c r="AA84" i="34"/>
  <c r="P84" i="34"/>
  <c r="N39" i="45" s="1"/>
  <c r="X74" i="34"/>
  <c r="O74" i="34"/>
  <c r="Q74" i="34"/>
  <c r="AG74" i="34"/>
  <c r="N74" i="34"/>
  <c r="AD74" i="34"/>
  <c r="AE74" i="34"/>
  <c r="W85" i="34"/>
  <c r="U40" i="45" s="1"/>
  <c r="N85" i="34"/>
  <c r="P85" i="34"/>
  <c r="AF85" i="34"/>
  <c r="I85" i="34"/>
  <c r="G40" i="45" s="1"/>
  <c r="Y85" i="34"/>
  <c r="V85" i="34"/>
  <c r="W73" i="34"/>
  <c r="J73" i="34"/>
  <c r="P73" i="34"/>
  <c r="AF73" i="34"/>
  <c r="M73" i="34"/>
  <c r="AC73" i="34"/>
  <c r="H73" i="34"/>
  <c r="I75" i="34"/>
  <c r="Y75" i="34"/>
  <c r="X75" i="34"/>
  <c r="V75" i="34"/>
  <c r="H75" i="34"/>
  <c r="O75" i="34"/>
  <c r="M36" i="45" s="1"/>
  <c r="AE75" i="34"/>
  <c r="L70" i="34"/>
  <c r="AB70" i="34"/>
  <c r="S70" i="34"/>
  <c r="Q35" i="45" s="1"/>
  <c r="M70" i="34"/>
  <c r="K35" i="45" s="1"/>
  <c r="AC70" i="34"/>
  <c r="R70" i="34"/>
  <c r="AH70" i="34"/>
  <c r="I79" i="34"/>
  <c r="G37" i="45" s="1"/>
  <c r="Y79" i="34"/>
  <c r="AF79" i="34"/>
  <c r="V79" i="34"/>
  <c r="T37" i="45" s="1"/>
  <c r="H79" i="34"/>
  <c r="F37" i="45" s="1"/>
  <c r="O79" i="34"/>
  <c r="AE79" i="34"/>
  <c r="J76" i="34"/>
  <c r="Z76" i="34"/>
  <c r="X36" i="45" s="1"/>
  <c r="Y76" i="34"/>
  <c r="W76" i="34"/>
  <c r="Q76" i="34"/>
  <c r="T76" i="34"/>
  <c r="H76" i="34"/>
  <c r="I83" i="34"/>
  <c r="Y83" i="34"/>
  <c r="AB83" i="34"/>
  <c r="V83" i="34"/>
  <c r="H83" i="34"/>
  <c r="O83" i="34"/>
  <c r="AE83" i="34"/>
  <c r="L82" i="34"/>
  <c r="AB82" i="34"/>
  <c r="AE82" i="34"/>
  <c r="U82" i="34"/>
  <c r="S38" i="45" s="1"/>
  <c r="K82" i="34"/>
  <c r="N82" i="34"/>
  <c r="AD82" i="34"/>
  <c r="I71" i="34"/>
  <c r="G35" i="45" s="1"/>
  <c r="Y71" i="34"/>
  <c r="X71" i="34"/>
  <c r="R71" i="34"/>
  <c r="P35" i="45" s="1"/>
  <c r="AH71" i="34"/>
  <c r="S71" i="34"/>
  <c r="AI71" i="34"/>
  <c r="J72" i="34"/>
  <c r="Z72" i="34"/>
  <c r="X35" i="45" s="1"/>
  <c r="Y72" i="34"/>
  <c r="W72" i="34"/>
  <c r="I72" i="34"/>
  <c r="T72" i="34"/>
  <c r="R35" i="45" s="1"/>
  <c r="H72" i="34"/>
  <c r="L78" i="34"/>
  <c r="S84" i="34"/>
  <c r="Q39" i="45" s="1"/>
  <c r="V84" i="34"/>
  <c r="T39" i="45" s="1"/>
  <c r="Y77" i="34"/>
  <c r="P77" i="34"/>
  <c r="N36" i="45" s="1"/>
  <c r="W77" i="34"/>
  <c r="U36" i="45" s="1"/>
  <c r="O32" i="45"/>
  <c r="Y84" i="34"/>
  <c r="X84" i="34"/>
  <c r="V39" i="45" s="1"/>
  <c r="AI84" i="34"/>
  <c r="O84" i="34"/>
  <c r="M39" i="45" s="1"/>
  <c r="AH84" i="34"/>
  <c r="J84" i="34"/>
  <c r="H39" i="45" s="1"/>
  <c r="AC77" i="34"/>
  <c r="I77" i="34"/>
  <c r="G36" i="45" s="1"/>
  <c r="T77" i="34"/>
  <c r="J77" i="34"/>
  <c r="S77" i="34"/>
  <c r="Q36" i="45" s="1"/>
  <c r="H84" i="34"/>
  <c r="F39" i="45" s="1"/>
  <c r="T84" i="34"/>
  <c r="Q84" i="34"/>
  <c r="O39" i="45" s="1"/>
  <c r="W84" i="34"/>
  <c r="AC84" i="34"/>
  <c r="AD84" i="34"/>
  <c r="N84" i="34"/>
  <c r="L39" i="45" s="1"/>
  <c r="N77" i="34"/>
  <c r="L36" i="45" s="1"/>
  <c r="U77" i="34"/>
  <c r="S36" i="45" s="1"/>
  <c r="AH77" i="34"/>
  <c r="X77" i="34"/>
  <c r="H77" i="34"/>
  <c r="AE77" i="34"/>
  <c r="M32" i="45"/>
  <c r="T29" i="45"/>
  <c r="F28" i="45"/>
  <c r="U30" i="45"/>
  <c r="O29" i="45"/>
  <c r="U33" i="45"/>
  <c r="Y30" i="45"/>
  <c r="Q29" i="45"/>
  <c r="N30" i="45"/>
  <c r="L28" i="45"/>
  <c r="U29" i="45"/>
  <c r="M38" i="45"/>
  <c r="R38" i="45"/>
  <c r="H40" i="45"/>
  <c r="Q40" i="45"/>
  <c r="V30" i="45"/>
  <c r="P28" i="45"/>
  <c r="Y29" i="45"/>
  <c r="S32" i="45"/>
  <c r="N32" i="45"/>
  <c r="H33" i="45"/>
  <c r="L30" i="45"/>
  <c r="X28" i="45"/>
  <c r="J28" i="45"/>
  <c r="X30" i="45"/>
  <c r="J32" i="45"/>
  <c r="U32" i="45"/>
  <c r="L33" i="45"/>
  <c r="P33" i="45"/>
  <c r="P30" i="45"/>
  <c r="N28" i="45"/>
  <c r="L29" i="45"/>
  <c r="G29" i="45"/>
  <c r="L31" i="45"/>
  <c r="G31" i="45"/>
  <c r="P38" i="45"/>
  <c r="U38" i="45"/>
  <c r="W38" i="45"/>
  <c r="G38" i="45"/>
  <c r="N38" i="45"/>
  <c r="X39" i="45"/>
  <c r="K39" i="45"/>
  <c r="Q37" i="45"/>
  <c r="N37" i="45"/>
  <c r="X37" i="45"/>
  <c r="H37" i="45"/>
  <c r="K37" i="45"/>
  <c r="M35" i="45"/>
  <c r="T35" i="45"/>
  <c r="O35" i="45"/>
  <c r="Y35" i="45"/>
  <c r="N35" i="45"/>
  <c r="O40" i="45"/>
  <c r="V40" i="45"/>
  <c r="M40" i="45"/>
  <c r="I36" i="45"/>
  <c r="T36" i="45"/>
  <c r="V32" i="45"/>
  <c r="Y32" i="45"/>
  <c r="X33" i="45"/>
  <c r="T30" i="45"/>
  <c r="R28" i="45"/>
  <c r="P29" i="45"/>
  <c r="S29" i="45"/>
  <c r="P31" i="45"/>
  <c r="M28" i="45"/>
  <c r="F29" i="45"/>
  <c r="X32" i="45"/>
  <c r="F30" i="45"/>
  <c r="Q31" i="45"/>
  <c r="S33" i="45"/>
  <c r="F38" i="45"/>
  <c r="J39" i="45"/>
  <c r="U37" i="45"/>
  <c r="L37" i="45"/>
  <c r="S35" i="45"/>
  <c r="F40" i="45"/>
  <c r="K36" i="45"/>
  <c r="H32" i="45"/>
  <c r="Q32" i="45"/>
  <c r="N33" i="45"/>
  <c r="G33" i="45"/>
  <c r="K28" i="45"/>
  <c r="X29" i="45"/>
  <c r="J29" i="45"/>
  <c r="X31" i="45"/>
  <c r="N31" i="45"/>
  <c r="L32" i="45"/>
  <c r="R32" i="45"/>
  <c r="R33" i="45"/>
  <c r="K30" i="45"/>
  <c r="N29" i="45"/>
  <c r="R31" i="45"/>
  <c r="L38" i="45"/>
  <c r="I38" i="45"/>
  <c r="J38" i="45"/>
  <c r="G39" i="45"/>
  <c r="M37" i="45"/>
  <c r="W37" i="45"/>
  <c r="J35" i="45"/>
  <c r="T32" i="45"/>
  <c r="G30" i="45"/>
  <c r="T28" i="45"/>
  <c r="V28" i="45"/>
  <c r="M29" i="45"/>
  <c r="K40" i="45"/>
  <c r="P40" i="45"/>
  <c r="R40" i="45"/>
  <c r="X40" i="45"/>
  <c r="Y40" i="45"/>
  <c r="I40" i="45"/>
  <c r="P36" i="45"/>
  <c r="Y36" i="45"/>
  <c r="J36" i="45"/>
  <c r="P32" i="45"/>
  <c r="V33" i="45"/>
  <c r="O30" i="45"/>
  <c r="J30" i="45"/>
  <c r="I28" i="45"/>
  <c r="H28" i="45"/>
  <c r="R29" i="45"/>
  <c r="V31" i="45"/>
  <c r="F32" i="45"/>
  <c r="O33" i="45"/>
  <c r="W32" i="45"/>
  <c r="Y33" i="45"/>
  <c r="G28" i="45"/>
  <c r="U31" i="45"/>
  <c r="T38" i="45"/>
  <c r="K38" i="45"/>
  <c r="J37" i="45"/>
  <c r="O37" i="45"/>
  <c r="F35" i="45"/>
  <c r="S40" i="45"/>
  <c r="J40" i="45"/>
  <c r="I32" i="45"/>
  <c r="W33" i="45"/>
  <c r="S28" i="45"/>
  <c r="Y31" i="45"/>
  <c r="G32" i="45"/>
  <c r="W30" i="45"/>
  <c r="I30" i="45"/>
  <c r="Q28" i="45"/>
  <c r="W28" i="45"/>
  <c r="K29" i="45"/>
  <c r="K31" i="45"/>
  <c r="S30" i="45"/>
  <c r="R30" i="45"/>
  <c r="I33" i="45"/>
  <c r="T33" i="45"/>
  <c r="M30" i="45"/>
  <c r="U28" i="45"/>
  <c r="W29" i="45"/>
  <c r="S31" i="45"/>
  <c r="H31" i="45"/>
  <c r="Y38" i="45"/>
  <c r="X38" i="45"/>
  <c r="H38" i="45"/>
  <c r="O38" i="45"/>
  <c r="Q38" i="45"/>
  <c r="V38" i="45"/>
  <c r="Y39" i="45"/>
  <c r="I39" i="45"/>
  <c r="P39" i="45"/>
  <c r="S39" i="45"/>
  <c r="V37" i="45"/>
  <c r="Y37" i="45"/>
  <c r="I37" i="45"/>
  <c r="P37" i="45"/>
  <c r="R37" i="45"/>
  <c r="S37" i="45"/>
  <c r="L35" i="45"/>
  <c r="W35" i="45"/>
  <c r="I35" i="45"/>
  <c r="V35" i="45"/>
  <c r="T40" i="45"/>
  <c r="W40" i="45"/>
  <c r="N40" i="45"/>
  <c r="L40" i="45"/>
  <c r="K32" i="45"/>
  <c r="M33" i="45"/>
  <c r="F33" i="45"/>
  <c r="Q30" i="45"/>
  <c r="Y28" i="45"/>
  <c r="I29" i="45"/>
  <c r="H29" i="45"/>
  <c r="I31" i="45"/>
  <c r="O31" i="45"/>
  <c r="H30" i="45"/>
  <c r="O28" i="45"/>
  <c r="V29" i="45"/>
  <c r="E25" i="36"/>
  <c r="E26" i="36"/>
  <c r="E27" i="36"/>
  <c r="E28" i="36"/>
  <c r="E29" i="36"/>
  <c r="E30" i="36"/>
  <c r="E31" i="36"/>
  <c r="E32" i="36"/>
  <c r="E33" i="36"/>
  <c r="E34" i="36"/>
  <c r="E36" i="36"/>
  <c r="E37" i="36"/>
  <c r="E38" i="36"/>
  <c r="E39" i="36"/>
  <c r="E35" i="36"/>
  <c r="E24" i="36"/>
  <c r="C39" i="36"/>
  <c r="C99" i="33" s="1"/>
  <c r="C115" i="33" s="1"/>
  <c r="C131" i="33" s="1"/>
  <c r="C147" i="33" s="1"/>
  <c r="C37" i="36"/>
  <c r="C97" i="33" s="1"/>
  <c r="C113" i="33" s="1"/>
  <c r="C129" i="33" s="1"/>
  <c r="C145" i="33" s="1"/>
  <c r="C36" i="36"/>
  <c r="C96" i="33" s="1"/>
  <c r="C112" i="33" s="1"/>
  <c r="C128" i="33" s="1"/>
  <c r="C144" i="33" s="1"/>
  <c r="C33" i="36"/>
  <c r="C93" i="33" s="1"/>
  <c r="C109" i="33" s="1"/>
  <c r="C125" i="33" s="1"/>
  <c r="C141" i="33" s="1"/>
  <c r="C28" i="36"/>
  <c r="C88" i="33" s="1"/>
  <c r="C104" i="33" s="1"/>
  <c r="C120" i="33" s="1"/>
  <c r="C136" i="33" s="1"/>
  <c r="C24" i="36"/>
  <c r="C84" i="33" s="1"/>
  <c r="C100" i="33" s="1"/>
  <c r="C116" i="33" s="1"/>
  <c r="C132" i="33" s="1"/>
  <c r="B24" i="36"/>
  <c r="B25" i="36" s="1"/>
  <c r="B26" i="36" s="1"/>
  <c r="B27" i="36" s="1"/>
  <c r="B28" i="36" s="1"/>
  <c r="B29" i="36" s="1"/>
  <c r="B30" i="36" s="1"/>
  <c r="B31" i="36" s="1"/>
  <c r="B32" i="36" s="1"/>
  <c r="B33" i="36" s="1"/>
  <c r="B34" i="36" s="1"/>
  <c r="B36" i="36" s="1"/>
  <c r="B37" i="36" s="1"/>
  <c r="B38" i="36" s="1"/>
  <c r="B39" i="36" s="1"/>
  <c r="B35" i="36" s="1"/>
  <c r="A24" i="36"/>
  <c r="A25" i="36" s="1"/>
  <c r="A26" i="36" s="1"/>
  <c r="A27" i="36" s="1"/>
  <c r="A28" i="36" s="1"/>
  <c r="A29" i="36" s="1"/>
  <c r="A30" i="36" s="1"/>
  <c r="A31" i="36" s="1"/>
  <c r="A32" i="36" s="1"/>
  <c r="A33" i="36" s="1"/>
  <c r="A34" i="36" s="1"/>
  <c r="A36" i="36" s="1"/>
  <c r="A37" i="36" s="1"/>
  <c r="A38" i="36" s="1"/>
  <c r="A39" i="36" s="1"/>
  <c r="A35" i="36" s="1"/>
  <c r="W36" i="45" l="1"/>
  <c r="U35" i="45"/>
  <c r="H36" i="45"/>
  <c r="H35" i="45"/>
  <c r="O36" i="45"/>
  <c r="V36" i="45"/>
  <c r="V34" i="45" s="1"/>
  <c r="V62" i="45" s="1"/>
  <c r="Y27" i="45"/>
  <c r="Y61" i="45" s="1"/>
  <c r="F36" i="45"/>
  <c r="F34" i="45" s="1"/>
  <c r="F62" i="45" s="1"/>
  <c r="U39" i="45"/>
  <c r="U34" i="45" s="1"/>
  <c r="U62" i="45" s="1"/>
  <c r="W39" i="45"/>
  <c r="W34" i="45" s="1"/>
  <c r="W62" i="45" s="1"/>
  <c r="R36" i="45"/>
  <c r="R39" i="45"/>
  <c r="I34" i="45"/>
  <c r="I62" i="45" s="1"/>
  <c r="S27" i="45"/>
  <c r="S61" i="45" s="1"/>
  <c r="Q34" i="45"/>
  <c r="Q62" i="45" s="1"/>
  <c r="V27" i="45"/>
  <c r="V61" i="45" s="1"/>
  <c r="F27" i="45"/>
  <c r="F61" i="45" s="1"/>
  <c r="P34" i="45"/>
  <c r="P62" i="45" s="1"/>
  <c r="S34" i="45"/>
  <c r="S62" i="45" s="1"/>
  <c r="N34" i="45"/>
  <c r="N62" i="45" s="1"/>
  <c r="O34" i="45"/>
  <c r="O62" i="45" s="1"/>
  <c r="M34" i="45"/>
  <c r="M62" i="45" s="1"/>
  <c r="N27" i="45"/>
  <c r="N61" i="45" s="1"/>
  <c r="I27" i="45"/>
  <c r="I61" i="45" s="1"/>
  <c r="J27" i="45"/>
  <c r="J61" i="45" s="1"/>
  <c r="G34" i="45"/>
  <c r="G62" i="45" s="1"/>
  <c r="U27" i="45"/>
  <c r="U61" i="45" s="1"/>
  <c r="H34" i="45"/>
  <c r="H62" i="45" s="1"/>
  <c r="G27" i="45"/>
  <c r="G61" i="45" s="1"/>
  <c r="K34" i="45"/>
  <c r="K62" i="45" s="1"/>
  <c r="K27" i="45"/>
  <c r="K61" i="45" s="1"/>
  <c r="R27" i="45"/>
  <c r="R61" i="45" s="1"/>
  <c r="Y34" i="45"/>
  <c r="Y62" i="45" s="1"/>
  <c r="T34" i="45"/>
  <c r="T62" i="45" s="1"/>
  <c r="X34" i="45"/>
  <c r="X62" i="45" s="1"/>
  <c r="L27" i="45"/>
  <c r="L61" i="45" s="1"/>
  <c r="W27" i="45"/>
  <c r="W61" i="45" s="1"/>
  <c r="O27" i="45"/>
  <c r="O61" i="45" s="1"/>
  <c r="L34" i="45"/>
  <c r="L62" i="45" s="1"/>
  <c r="Q27" i="45"/>
  <c r="Q61" i="45" s="1"/>
  <c r="J34" i="45"/>
  <c r="J62" i="45" s="1"/>
  <c r="H27" i="45"/>
  <c r="H61" i="45" s="1"/>
  <c r="T27" i="45"/>
  <c r="T61" i="45" s="1"/>
  <c r="M27" i="45"/>
  <c r="M61" i="45" s="1"/>
  <c r="X27" i="45"/>
  <c r="X61" i="45" s="1"/>
  <c r="P27" i="45"/>
  <c r="P61" i="45" s="1"/>
  <c r="BM75" i="36"/>
  <c r="BM59" i="36"/>
  <c r="BM166" i="34"/>
  <c r="BM182" i="34"/>
  <c r="BE59" i="36"/>
  <c r="BE75" i="36"/>
  <c r="BE166" i="34"/>
  <c r="BE182" i="34"/>
  <c r="AW59" i="36"/>
  <c r="AW75" i="36"/>
  <c r="AW166" i="34"/>
  <c r="AW182" i="34"/>
  <c r="AO59" i="36"/>
  <c r="AO75" i="36"/>
  <c r="AO182" i="34"/>
  <c r="AO166" i="34"/>
  <c r="BN74" i="36"/>
  <c r="BN58" i="36"/>
  <c r="BN165" i="34"/>
  <c r="BN181" i="34"/>
  <c r="BF74" i="36"/>
  <c r="BF58" i="36"/>
  <c r="BF165" i="34"/>
  <c r="BF181" i="34"/>
  <c r="AX74" i="36"/>
  <c r="AX58" i="36"/>
  <c r="AX165" i="34"/>
  <c r="AX181" i="34"/>
  <c r="AP74" i="36"/>
  <c r="AP58" i="36"/>
  <c r="AP165" i="34"/>
  <c r="AP181" i="34"/>
  <c r="BL75" i="36"/>
  <c r="BL59" i="36"/>
  <c r="BL166" i="34"/>
  <c r="BL182" i="34"/>
  <c r="BD75" i="36"/>
  <c r="BD59" i="36"/>
  <c r="BD182" i="34"/>
  <c r="BD166" i="34"/>
  <c r="AV75" i="36"/>
  <c r="AV59" i="36"/>
  <c r="AV166" i="34"/>
  <c r="AV182" i="34"/>
  <c r="AN75" i="36"/>
  <c r="AN59" i="36"/>
  <c r="AN166" i="34"/>
  <c r="AN182" i="34"/>
  <c r="BM74" i="36"/>
  <c r="BM58" i="36"/>
  <c r="BM165" i="34"/>
  <c r="BM181" i="34"/>
  <c r="BA74" i="36"/>
  <c r="BA58" i="36"/>
  <c r="BA165" i="34"/>
  <c r="BA181" i="34"/>
  <c r="AS74" i="36"/>
  <c r="AS58" i="36"/>
  <c r="AS181" i="34"/>
  <c r="AS165" i="34"/>
  <c r="BO75" i="36"/>
  <c r="BO59" i="36"/>
  <c r="BO166" i="34"/>
  <c r="BO182" i="34"/>
  <c r="BK75" i="36"/>
  <c r="BK59" i="36"/>
  <c r="BK182" i="34"/>
  <c r="BK166" i="34"/>
  <c r="BG75" i="36"/>
  <c r="BG59" i="36"/>
  <c r="BG166" i="34"/>
  <c r="BG182" i="34"/>
  <c r="BC75" i="36"/>
  <c r="BC59" i="36"/>
  <c r="BC166" i="34"/>
  <c r="BC182" i="34"/>
  <c r="AY59" i="36"/>
  <c r="AY75" i="36"/>
  <c r="AY182" i="34"/>
  <c r="AY166" i="34"/>
  <c r="AU75" i="36"/>
  <c r="AU59" i="36"/>
  <c r="AU166" i="34"/>
  <c r="AU182" i="34"/>
  <c r="AQ75" i="36"/>
  <c r="AQ59" i="36"/>
  <c r="AQ182" i="34"/>
  <c r="AQ166" i="34"/>
  <c r="AM75" i="36"/>
  <c r="AM59" i="36"/>
  <c r="AM166" i="34"/>
  <c r="AM182" i="34"/>
  <c r="BP58" i="36"/>
  <c r="BP74" i="36"/>
  <c r="BP181" i="34"/>
  <c r="BP165" i="34"/>
  <c r="BL74" i="36"/>
  <c r="BL58" i="36"/>
  <c r="BL165" i="34"/>
  <c r="BL181" i="34"/>
  <c r="BH74" i="36"/>
  <c r="BH58" i="36"/>
  <c r="BH181" i="34"/>
  <c r="BH165" i="34"/>
  <c r="BD74" i="36"/>
  <c r="BD58" i="36"/>
  <c r="BD165" i="34"/>
  <c r="BD181" i="34"/>
  <c r="AZ74" i="36"/>
  <c r="AZ58" i="36"/>
  <c r="AZ181" i="34"/>
  <c r="AZ165" i="34"/>
  <c r="AV74" i="36"/>
  <c r="AV58" i="36"/>
  <c r="AV165" i="34"/>
  <c r="AV181" i="34"/>
  <c r="AR74" i="36"/>
  <c r="AR58" i="36"/>
  <c r="AR165" i="34"/>
  <c r="AR181" i="34"/>
  <c r="AN74" i="36"/>
  <c r="AN58" i="36"/>
  <c r="AN165" i="34"/>
  <c r="AN181" i="34"/>
  <c r="AJ58" i="36"/>
  <c r="AJ74" i="36"/>
  <c r="AJ181" i="34"/>
  <c r="AJ165" i="34"/>
  <c r="BI75" i="36"/>
  <c r="BI59" i="36"/>
  <c r="BI166" i="34"/>
  <c r="BI182" i="34"/>
  <c r="BA75" i="36"/>
  <c r="BA59" i="36"/>
  <c r="BA166" i="34"/>
  <c r="BA182" i="34"/>
  <c r="AS75" i="36"/>
  <c r="AS59" i="36"/>
  <c r="AS182" i="34"/>
  <c r="AS166" i="34"/>
  <c r="AK75" i="36"/>
  <c r="AK59" i="36"/>
  <c r="AK182" i="34"/>
  <c r="AK166" i="34"/>
  <c r="BJ58" i="36"/>
  <c r="BJ74" i="36"/>
  <c r="BJ181" i="34"/>
  <c r="BJ165" i="34"/>
  <c r="BB58" i="36"/>
  <c r="BB74" i="36"/>
  <c r="BB165" i="34"/>
  <c r="BB181" i="34"/>
  <c r="AT58" i="36"/>
  <c r="AT74" i="36"/>
  <c r="AT165" i="34"/>
  <c r="AT181" i="34"/>
  <c r="AL74" i="36"/>
  <c r="AL58" i="36"/>
  <c r="AL165" i="34"/>
  <c r="AL181" i="34"/>
  <c r="BP75" i="36"/>
  <c r="BP59" i="36"/>
  <c r="BP166" i="34"/>
  <c r="BP182" i="34"/>
  <c r="BH75" i="36"/>
  <c r="BH59" i="36"/>
  <c r="BH166" i="34"/>
  <c r="BH182" i="34"/>
  <c r="AZ75" i="36"/>
  <c r="AZ59" i="36"/>
  <c r="AZ166" i="34"/>
  <c r="AZ182" i="34"/>
  <c r="AR75" i="36"/>
  <c r="AR59" i="36"/>
  <c r="AR182" i="34"/>
  <c r="AR166" i="34"/>
  <c r="AJ75" i="36"/>
  <c r="AJ59" i="36"/>
  <c r="AJ166" i="34"/>
  <c r="AJ182" i="34"/>
  <c r="BI74" i="36"/>
  <c r="BI58" i="36"/>
  <c r="BI181" i="34"/>
  <c r="BI165" i="34"/>
  <c r="BE74" i="36"/>
  <c r="BE58" i="36"/>
  <c r="BE165" i="34"/>
  <c r="BE181" i="34"/>
  <c r="AW74" i="36"/>
  <c r="AW58" i="36"/>
  <c r="AW165" i="34"/>
  <c r="AW181" i="34"/>
  <c r="AO74" i="36"/>
  <c r="AO58" i="36"/>
  <c r="AO181" i="34"/>
  <c r="AO165" i="34"/>
  <c r="AK74" i="36"/>
  <c r="AK58" i="36"/>
  <c r="AK165" i="34"/>
  <c r="AK181" i="34"/>
  <c r="BN75" i="36"/>
  <c r="BN59" i="36"/>
  <c r="BN182" i="34"/>
  <c r="BN166" i="34"/>
  <c r="BJ59" i="36"/>
  <c r="BJ75" i="36"/>
  <c r="BJ166" i="34"/>
  <c r="BJ182" i="34"/>
  <c r="BF75" i="36"/>
  <c r="BF59" i="36"/>
  <c r="BF182" i="34"/>
  <c r="BF166" i="34"/>
  <c r="BB75" i="36"/>
  <c r="BB59" i="36"/>
  <c r="BB182" i="34"/>
  <c r="BB166" i="34"/>
  <c r="AX75" i="36"/>
  <c r="AX59" i="36"/>
  <c r="AX166" i="34"/>
  <c r="AX182" i="34"/>
  <c r="AT75" i="36"/>
  <c r="AT59" i="36"/>
  <c r="AT182" i="34"/>
  <c r="AT166" i="34"/>
  <c r="AP75" i="36"/>
  <c r="AP59" i="36"/>
  <c r="AP182" i="34"/>
  <c r="AP166" i="34"/>
  <c r="AL59" i="36"/>
  <c r="AL75" i="36"/>
  <c r="AL182" i="34"/>
  <c r="AL166" i="34"/>
  <c r="BO74" i="36"/>
  <c r="BO58" i="36"/>
  <c r="BO181" i="34"/>
  <c r="BO165" i="34"/>
  <c r="BK74" i="36"/>
  <c r="BK58" i="36"/>
  <c r="BK181" i="34"/>
  <c r="BK165" i="34"/>
  <c r="BG74" i="36"/>
  <c r="BG58" i="36"/>
  <c r="BG181" i="34"/>
  <c r="BG165" i="34"/>
  <c r="BC74" i="36"/>
  <c r="BC58" i="36"/>
  <c r="BC165" i="34"/>
  <c r="BC181" i="34"/>
  <c r="AY74" i="36"/>
  <c r="AY58" i="36"/>
  <c r="AY181" i="34"/>
  <c r="AY165" i="34"/>
  <c r="AU74" i="36"/>
  <c r="AU58" i="36"/>
  <c r="AU181" i="34"/>
  <c r="AU165" i="34"/>
  <c r="AQ74" i="36"/>
  <c r="AQ58" i="36"/>
  <c r="AQ181" i="34"/>
  <c r="AQ165" i="34"/>
  <c r="AM74" i="36"/>
  <c r="AM58" i="36"/>
  <c r="AM165" i="34"/>
  <c r="AM181" i="34"/>
  <c r="C34" i="36"/>
  <c r="C94" i="33" s="1"/>
  <c r="C110" i="33" s="1"/>
  <c r="C126" i="33" s="1"/>
  <c r="C142" i="33" s="1"/>
  <c r="C25" i="36"/>
  <c r="C85" i="33" s="1"/>
  <c r="C101" i="33" s="1"/>
  <c r="C117" i="33" s="1"/>
  <c r="C133" i="33" s="1"/>
  <c r="C29" i="36"/>
  <c r="C38" i="36"/>
  <c r="C98" i="33" s="1"/>
  <c r="C114" i="33" s="1"/>
  <c r="C130" i="33" s="1"/>
  <c r="C146" i="33" s="1"/>
  <c r="C35" i="36"/>
  <c r="C95" i="33" s="1"/>
  <c r="C111" i="33" s="1"/>
  <c r="C127" i="33" s="1"/>
  <c r="C143" i="33" s="1"/>
  <c r="R34" i="45" l="1"/>
  <c r="R62" i="45" s="1"/>
  <c r="AM99" i="34"/>
  <c r="AQ99" i="34"/>
  <c r="AU99" i="34"/>
  <c r="AY99" i="34"/>
  <c r="BC99" i="34"/>
  <c r="BG99" i="34"/>
  <c r="BK99" i="34"/>
  <c r="BO99" i="34"/>
  <c r="AL116" i="34"/>
  <c r="AP100" i="34"/>
  <c r="AT100" i="34"/>
  <c r="AX100" i="34"/>
  <c r="BB100" i="34"/>
  <c r="BF100" i="34"/>
  <c r="BJ116" i="34"/>
  <c r="BN100" i="34"/>
  <c r="AK99" i="34"/>
  <c r="AO99" i="34"/>
  <c r="AW99" i="34"/>
  <c r="BE99" i="34"/>
  <c r="BI99" i="34"/>
  <c r="AJ100" i="34"/>
  <c r="AR100" i="34"/>
  <c r="AZ100" i="34"/>
  <c r="BH100" i="34"/>
  <c r="BP100" i="34"/>
  <c r="AL99" i="34"/>
  <c r="AT115" i="34"/>
  <c r="BB115" i="34"/>
  <c r="BJ115" i="34"/>
  <c r="AK100" i="34"/>
  <c r="AS100" i="34"/>
  <c r="BA100" i="34"/>
  <c r="BI100" i="34"/>
  <c r="AJ115" i="34"/>
  <c r="AN99" i="34"/>
  <c r="AR99" i="34"/>
  <c r="AV99" i="34"/>
  <c r="AZ99" i="34"/>
  <c r="BD99" i="34"/>
  <c r="BH99" i="34"/>
  <c r="BL99" i="34"/>
  <c r="BP115" i="34"/>
  <c r="AM100" i="34"/>
  <c r="AQ100" i="34"/>
  <c r="AU100" i="34"/>
  <c r="AY116" i="34"/>
  <c r="BC100" i="34"/>
  <c r="BG100" i="34"/>
  <c r="BK100" i="34"/>
  <c r="BO100" i="34"/>
  <c r="AS99" i="34"/>
  <c r="BA99" i="34"/>
  <c r="BM99" i="34"/>
  <c r="AN100" i="34"/>
  <c r="AV100" i="34"/>
  <c r="BD100" i="34"/>
  <c r="BL100" i="34"/>
  <c r="AP99" i="34"/>
  <c r="AX99" i="34"/>
  <c r="BF99" i="34"/>
  <c r="BN99" i="34"/>
  <c r="AO116" i="34"/>
  <c r="AW116" i="34"/>
  <c r="BE116" i="34"/>
  <c r="BM100" i="34"/>
  <c r="AM115" i="34"/>
  <c r="AQ115" i="34"/>
  <c r="AU115" i="34"/>
  <c r="AY115" i="34"/>
  <c r="BC115" i="34"/>
  <c r="BG115" i="34"/>
  <c r="BK115" i="34"/>
  <c r="BO115" i="34"/>
  <c r="AL100" i="34"/>
  <c r="AP116" i="34"/>
  <c r="AT116" i="34"/>
  <c r="AX116" i="34"/>
  <c r="BB116" i="34"/>
  <c r="BF116" i="34"/>
  <c r="BJ100" i="34"/>
  <c r="BN116" i="34"/>
  <c r="AK115" i="34"/>
  <c r="AO115" i="34"/>
  <c r="AW115" i="34"/>
  <c r="BE115" i="34"/>
  <c r="BI115" i="34"/>
  <c r="AJ116" i="34"/>
  <c r="AR116" i="34"/>
  <c r="AZ116" i="34"/>
  <c r="BH116" i="34"/>
  <c r="BP116" i="34"/>
  <c r="AL115" i="34"/>
  <c r="AT99" i="34"/>
  <c r="BB99" i="34"/>
  <c r="BJ99" i="34"/>
  <c r="AK116" i="34"/>
  <c r="AS116" i="34"/>
  <c r="BA116" i="34"/>
  <c r="BI116" i="34"/>
  <c r="AJ99" i="34"/>
  <c r="AN115" i="34"/>
  <c r="AR115" i="34"/>
  <c r="AV115" i="34"/>
  <c r="AZ115" i="34"/>
  <c r="BD115" i="34"/>
  <c r="BH115" i="34"/>
  <c r="BL115" i="34"/>
  <c r="BP99" i="34"/>
  <c r="AM116" i="34"/>
  <c r="AQ116" i="34"/>
  <c r="AU116" i="34"/>
  <c r="AY100" i="34"/>
  <c r="BC116" i="34"/>
  <c r="BG116" i="34"/>
  <c r="BK116" i="34"/>
  <c r="BO116" i="34"/>
  <c r="AS115" i="34"/>
  <c r="BA115" i="34"/>
  <c r="BM115" i="34"/>
  <c r="AN116" i="34"/>
  <c r="AV116" i="34"/>
  <c r="BD116" i="34"/>
  <c r="BL116" i="34"/>
  <c r="AP115" i="34"/>
  <c r="AX115" i="34"/>
  <c r="BF115" i="34"/>
  <c r="BN115" i="34"/>
  <c r="AO100" i="34"/>
  <c r="AW100" i="34"/>
  <c r="BE100" i="34"/>
  <c r="BM116" i="34"/>
  <c r="C26" i="36"/>
  <c r="C27" i="36" s="1"/>
  <c r="C87" i="33" s="1"/>
  <c r="C103" i="33" s="1"/>
  <c r="C119" i="33" s="1"/>
  <c r="C135" i="33" s="1"/>
  <c r="C89" i="33"/>
  <c r="C105" i="33" s="1"/>
  <c r="C121" i="33" s="1"/>
  <c r="C137" i="33" s="1"/>
  <c r="C30" i="36"/>
  <c r="BP60" i="36" l="1"/>
  <c r="BP76" i="36"/>
  <c r="BP167" i="34"/>
  <c r="BP183" i="34"/>
  <c r="BH76" i="36"/>
  <c r="BH60" i="36"/>
  <c r="BH183" i="34"/>
  <c r="BH167" i="34"/>
  <c r="AZ60" i="36"/>
  <c r="AZ76" i="36"/>
  <c r="AZ183" i="34"/>
  <c r="AZ167" i="34"/>
  <c r="AJ76" i="36"/>
  <c r="AJ60" i="36"/>
  <c r="AJ167" i="34"/>
  <c r="AJ183" i="34"/>
  <c r="BO76" i="36"/>
  <c r="BO60" i="36"/>
  <c r="BO167" i="34"/>
  <c r="BO183" i="34"/>
  <c r="BK76" i="36"/>
  <c r="BK60" i="36"/>
  <c r="BK183" i="34"/>
  <c r="BK167" i="34"/>
  <c r="BG76" i="36"/>
  <c r="BG60" i="36"/>
  <c r="BG167" i="34"/>
  <c r="BG183" i="34"/>
  <c r="BC76" i="36"/>
  <c r="BC60" i="36"/>
  <c r="BC183" i="34"/>
  <c r="BC167" i="34"/>
  <c r="AY76" i="36"/>
  <c r="AY60" i="36"/>
  <c r="AY167" i="34"/>
  <c r="AY183" i="34"/>
  <c r="AU76" i="36"/>
  <c r="AU60" i="36"/>
  <c r="AU183" i="34"/>
  <c r="AU167" i="34"/>
  <c r="AQ76" i="36"/>
  <c r="AQ60" i="36"/>
  <c r="AQ167" i="34"/>
  <c r="AQ183" i="34"/>
  <c r="AM76" i="36"/>
  <c r="AM60" i="36"/>
  <c r="AM183" i="34"/>
  <c r="AM167" i="34"/>
  <c r="BL76" i="36"/>
  <c r="BL60" i="36"/>
  <c r="BL167" i="34"/>
  <c r="BL183" i="34"/>
  <c r="BD60" i="36"/>
  <c r="BD76" i="36"/>
  <c r="BD167" i="34"/>
  <c r="BD183" i="34"/>
  <c r="AV60" i="36"/>
  <c r="AV76" i="36"/>
  <c r="AV167" i="34"/>
  <c r="AV183" i="34"/>
  <c r="AN60" i="36"/>
  <c r="AN76" i="36"/>
  <c r="AN183" i="34"/>
  <c r="AN167" i="34"/>
  <c r="BN76" i="36"/>
  <c r="BN60" i="36"/>
  <c r="BN183" i="34"/>
  <c r="BN167" i="34"/>
  <c r="BJ76" i="36"/>
  <c r="BJ60" i="36"/>
  <c r="BJ167" i="34"/>
  <c r="BJ183" i="34"/>
  <c r="BF76" i="36"/>
  <c r="BF60" i="36"/>
  <c r="BF167" i="34"/>
  <c r="BF183" i="34"/>
  <c r="BB76" i="36"/>
  <c r="BB60" i="36"/>
  <c r="BB183" i="34"/>
  <c r="BB167" i="34"/>
  <c r="AX76" i="36"/>
  <c r="AX60" i="36"/>
  <c r="AX167" i="34"/>
  <c r="AX183" i="34"/>
  <c r="AT76" i="36"/>
  <c r="AT60" i="36"/>
  <c r="AT167" i="34"/>
  <c r="AT183" i="34"/>
  <c r="AP60" i="36"/>
  <c r="AP76" i="36"/>
  <c r="AP167" i="34"/>
  <c r="AP183" i="34"/>
  <c r="AL76" i="36"/>
  <c r="AL60" i="36"/>
  <c r="AL167" i="34"/>
  <c r="AL183" i="34"/>
  <c r="AR76" i="36"/>
  <c r="AR60" i="36"/>
  <c r="AR167" i="34"/>
  <c r="AR183" i="34"/>
  <c r="BM76" i="36"/>
  <c r="BM60" i="36"/>
  <c r="BM167" i="34"/>
  <c r="BM183" i="34"/>
  <c r="BI76" i="36"/>
  <c r="BI60" i="36"/>
  <c r="BI183" i="34"/>
  <c r="BI167" i="34"/>
  <c r="BE76" i="36"/>
  <c r="BE60" i="36"/>
  <c r="BE167" i="34"/>
  <c r="BE183" i="34"/>
  <c r="BA76" i="36"/>
  <c r="BA60" i="36"/>
  <c r="BA167" i="34"/>
  <c r="BA183" i="34"/>
  <c r="AW76" i="36"/>
  <c r="AW60" i="36"/>
  <c r="AW183" i="34"/>
  <c r="AW167" i="34"/>
  <c r="AS76" i="36"/>
  <c r="AS60" i="36"/>
  <c r="AS167" i="34"/>
  <c r="AS183" i="34"/>
  <c r="AO76" i="36"/>
  <c r="AO60" i="36"/>
  <c r="AO167" i="34"/>
  <c r="AO183" i="34"/>
  <c r="AK76" i="36"/>
  <c r="AK60" i="36"/>
  <c r="AK167" i="34"/>
  <c r="AK183" i="34"/>
  <c r="C86" i="33"/>
  <c r="C102" i="33" s="1"/>
  <c r="C118" i="33" s="1"/>
  <c r="C134" i="33" s="1"/>
  <c r="C90" i="33"/>
  <c r="C106" i="33" s="1"/>
  <c r="C122" i="33" s="1"/>
  <c r="C138" i="33" s="1"/>
  <c r="C31" i="36"/>
  <c r="AO101" i="34" l="1"/>
  <c r="AW101" i="34"/>
  <c r="BE101" i="34"/>
  <c r="BM101" i="34"/>
  <c r="AR101" i="34"/>
  <c r="AL101" i="34"/>
  <c r="AP117" i="34"/>
  <c r="AT101" i="34"/>
  <c r="AX101" i="34"/>
  <c r="BB101" i="34"/>
  <c r="BF101" i="34"/>
  <c r="BJ101" i="34"/>
  <c r="BN101" i="34"/>
  <c r="AN117" i="34"/>
  <c r="AV117" i="34"/>
  <c r="BD117" i="34"/>
  <c r="BL101" i="34"/>
  <c r="AM101" i="34"/>
  <c r="AQ101" i="34"/>
  <c r="AU101" i="34"/>
  <c r="AY101" i="34"/>
  <c r="BC101" i="34"/>
  <c r="BG101" i="34"/>
  <c r="BK101" i="34"/>
  <c r="BO101" i="34"/>
  <c r="AJ101" i="34"/>
  <c r="AZ117" i="34"/>
  <c r="BH101" i="34"/>
  <c r="BP117" i="34"/>
  <c r="AK101" i="34"/>
  <c r="AS101" i="34"/>
  <c r="BA101" i="34"/>
  <c r="BI101" i="34"/>
  <c r="AK117" i="34"/>
  <c r="AO117" i="34"/>
  <c r="AS117" i="34"/>
  <c r="AW117" i="34"/>
  <c r="BA117" i="34"/>
  <c r="BE117" i="34"/>
  <c r="BI117" i="34"/>
  <c r="BM117" i="34"/>
  <c r="AR117" i="34"/>
  <c r="AL117" i="34"/>
  <c r="AP101" i="34"/>
  <c r="AT117" i="34"/>
  <c r="AX117" i="34"/>
  <c r="BB117" i="34"/>
  <c r="BF117" i="34"/>
  <c r="BJ117" i="34"/>
  <c r="BN117" i="34"/>
  <c r="AN101" i="34"/>
  <c r="AV101" i="34"/>
  <c r="BD101" i="34"/>
  <c r="BL117" i="34"/>
  <c r="AM117" i="34"/>
  <c r="AQ117" i="34"/>
  <c r="AU117" i="34"/>
  <c r="AY117" i="34"/>
  <c r="BC117" i="34"/>
  <c r="BG117" i="34"/>
  <c r="BK117" i="34"/>
  <c r="BO117" i="34"/>
  <c r="AJ117" i="34"/>
  <c r="AZ101" i="34"/>
  <c r="BH117" i="34"/>
  <c r="BP101" i="34"/>
  <c r="C91" i="33"/>
  <c r="C107" i="33" s="1"/>
  <c r="C123" i="33" s="1"/>
  <c r="C139" i="33" s="1"/>
  <c r="C32" i="36"/>
  <c r="C92" i="33" s="1"/>
  <c r="C108" i="33" s="1"/>
  <c r="C124" i="33" s="1"/>
  <c r="C140" i="33" s="1"/>
  <c r="BF161" i="34" l="1"/>
  <c r="AJ83" i="36"/>
  <c r="BG70" i="36"/>
  <c r="BG54" i="36"/>
  <c r="BG161" i="34"/>
  <c r="BG177" i="34"/>
  <c r="AU54" i="36"/>
  <c r="AU70" i="36"/>
  <c r="AU161" i="34"/>
  <c r="AU177" i="34"/>
  <c r="BI70" i="36"/>
  <c r="BI54" i="36"/>
  <c r="BI177" i="34"/>
  <c r="BI161" i="34"/>
  <c r="BA70" i="36"/>
  <c r="BA54" i="36"/>
  <c r="BA177" i="34"/>
  <c r="BA161" i="34"/>
  <c r="AS70" i="36"/>
  <c r="AS54" i="36"/>
  <c r="AS177" i="34"/>
  <c r="AS161" i="34"/>
  <c r="AK70" i="36"/>
  <c r="AK54" i="36"/>
  <c r="AK177" i="34"/>
  <c r="AK161" i="34"/>
  <c r="BO70" i="36"/>
  <c r="BO54" i="36"/>
  <c r="BO161" i="34"/>
  <c r="BO177" i="34"/>
  <c r="BC54" i="36"/>
  <c r="BC70" i="36"/>
  <c r="BC161" i="34"/>
  <c r="BC177" i="34"/>
  <c r="AM70" i="36"/>
  <c r="AM54" i="36"/>
  <c r="AM161" i="34"/>
  <c r="AM177" i="34"/>
  <c r="BM70" i="36"/>
  <c r="BM54" i="36"/>
  <c r="BM177" i="34"/>
  <c r="BM161" i="34"/>
  <c r="BE54" i="36"/>
  <c r="BE70" i="36"/>
  <c r="BE161" i="34"/>
  <c r="BE177" i="34"/>
  <c r="AW70" i="36"/>
  <c r="AW54" i="36"/>
  <c r="AW177" i="34"/>
  <c r="AW161" i="34"/>
  <c r="AO70" i="36"/>
  <c r="AO54" i="36"/>
  <c r="AO161" i="34"/>
  <c r="AO177" i="34"/>
  <c r="BP54" i="36"/>
  <c r="BP70" i="36"/>
  <c r="BP161" i="34"/>
  <c r="BP177" i="34"/>
  <c r="BL70" i="36"/>
  <c r="BL54" i="36"/>
  <c r="BL161" i="34"/>
  <c r="BL177" i="34"/>
  <c r="BH70" i="36"/>
  <c r="BH54" i="36"/>
  <c r="BH161" i="34"/>
  <c r="BH177" i="34"/>
  <c r="BD70" i="36"/>
  <c r="BD54" i="36"/>
  <c r="BD161" i="34"/>
  <c r="BD177" i="34"/>
  <c r="AZ70" i="36"/>
  <c r="AZ54" i="36"/>
  <c r="AZ177" i="34"/>
  <c r="AZ161" i="34"/>
  <c r="AV70" i="36"/>
  <c r="AV54" i="36"/>
  <c r="AV177" i="34"/>
  <c r="AV161" i="34"/>
  <c r="AR54" i="36"/>
  <c r="AR70" i="36"/>
  <c r="AR161" i="34"/>
  <c r="AR177" i="34"/>
  <c r="AN70" i="36"/>
  <c r="AN54" i="36"/>
  <c r="AN177" i="34"/>
  <c r="AN161" i="34"/>
  <c r="AJ54" i="36"/>
  <c r="AJ70" i="36"/>
  <c r="AJ161" i="34"/>
  <c r="AJ177" i="34"/>
  <c r="BK54" i="36"/>
  <c r="BK70" i="36"/>
  <c r="BK161" i="34"/>
  <c r="BK177" i="34"/>
  <c r="AY70" i="36"/>
  <c r="AY54" i="36"/>
  <c r="AY177" i="34"/>
  <c r="AY161" i="34"/>
  <c r="AQ70" i="36"/>
  <c r="AQ54" i="36"/>
  <c r="AQ161" i="34"/>
  <c r="AQ177" i="34"/>
  <c r="BN70" i="36"/>
  <c r="BN54" i="36"/>
  <c r="BN161" i="34"/>
  <c r="BN177" i="34"/>
  <c r="BJ70" i="36"/>
  <c r="BJ54" i="36"/>
  <c r="BJ161" i="34"/>
  <c r="BJ177" i="34"/>
  <c r="BB70" i="36"/>
  <c r="BB54" i="36"/>
  <c r="BB161" i="34"/>
  <c r="BB177" i="34"/>
  <c r="AX70" i="36"/>
  <c r="AX54" i="36"/>
  <c r="AX161" i="34"/>
  <c r="AX177" i="34"/>
  <c r="AT70" i="36"/>
  <c r="AT54" i="36"/>
  <c r="AT161" i="34"/>
  <c r="AT177" i="34"/>
  <c r="AP70" i="36"/>
  <c r="AP54" i="36"/>
  <c r="AP161" i="34"/>
  <c r="AP177" i="34"/>
  <c r="AL70" i="36"/>
  <c r="AL54" i="36"/>
  <c r="AL161" i="34"/>
  <c r="AL177" i="34"/>
  <c r="BF54" i="36" l="1"/>
  <c r="BF177" i="34"/>
  <c r="BF70" i="36"/>
  <c r="BF111" i="34" s="1"/>
  <c r="AL95" i="34"/>
  <c r="AT95" i="34"/>
  <c r="BB95" i="34"/>
  <c r="BJ95" i="34"/>
  <c r="AQ95" i="34"/>
  <c r="AY95" i="34"/>
  <c r="BK111" i="34"/>
  <c r="AN95" i="34"/>
  <c r="AR111" i="34"/>
  <c r="AZ95" i="34"/>
  <c r="BH95" i="34"/>
  <c r="BP111" i="34"/>
  <c r="AO95" i="34"/>
  <c r="BM95" i="34"/>
  <c r="AM95" i="34"/>
  <c r="BO95" i="34"/>
  <c r="AK95" i="34"/>
  <c r="AS95" i="34"/>
  <c r="BI95" i="34"/>
  <c r="AU111" i="34"/>
  <c r="BG95" i="34"/>
  <c r="AL111" i="34"/>
  <c r="AP111" i="34"/>
  <c r="AT111" i="34"/>
  <c r="AX111" i="34"/>
  <c r="BB111" i="34"/>
  <c r="BJ111" i="34"/>
  <c r="AY111" i="34"/>
  <c r="AR95" i="34"/>
  <c r="BD111" i="34"/>
  <c r="BP95" i="34"/>
  <c r="BE95" i="34"/>
  <c r="AM111" i="34"/>
  <c r="BO111" i="34"/>
  <c r="AK111" i="34"/>
  <c r="AS111" i="34"/>
  <c r="BA111" i="34"/>
  <c r="BI111" i="34"/>
  <c r="AU95" i="34"/>
  <c r="BG111" i="34"/>
  <c r="AP95" i="34"/>
  <c r="AX95" i="34"/>
  <c r="BF95" i="34"/>
  <c r="BN95" i="34"/>
  <c r="AV95" i="34"/>
  <c r="BD95" i="34"/>
  <c r="BL95" i="34"/>
  <c r="AW95" i="34"/>
  <c r="BE111" i="34"/>
  <c r="BC111" i="34"/>
  <c r="BA95" i="34"/>
  <c r="BN111" i="34"/>
  <c r="AQ111" i="34"/>
  <c r="BK95" i="34"/>
  <c r="AN111" i="34"/>
  <c r="AV111" i="34"/>
  <c r="AZ111" i="34"/>
  <c r="BH111" i="34"/>
  <c r="BL111" i="34"/>
  <c r="AO111" i="34"/>
  <c r="AW111" i="34"/>
  <c r="BM111" i="34"/>
  <c r="BC95" i="34"/>
  <c r="AJ111" i="34"/>
  <c r="AJ95" i="34"/>
  <c r="L76" i="36"/>
  <c r="L60" i="36"/>
  <c r="L167" i="34"/>
  <c r="L183" i="34"/>
  <c r="X60" i="36"/>
  <c r="X76" i="36"/>
  <c r="X183" i="34"/>
  <c r="X167" i="34"/>
  <c r="R183" i="34"/>
  <c r="R167" i="34"/>
  <c r="R60" i="36"/>
  <c r="R76" i="36"/>
  <c r="V167" i="34"/>
  <c r="V60" i="36"/>
  <c r="V183" i="34"/>
  <c r="V76" i="36"/>
  <c r="Z167" i="34"/>
  <c r="Z183" i="34"/>
  <c r="Z60" i="36"/>
  <c r="Z76" i="36"/>
  <c r="H167" i="34"/>
  <c r="H76" i="36"/>
  <c r="H183" i="34"/>
  <c r="H60" i="36"/>
  <c r="J183" i="34"/>
  <c r="J167" i="34"/>
  <c r="J60" i="36"/>
  <c r="J76" i="36"/>
  <c r="P60" i="36"/>
  <c r="P76" i="36"/>
  <c r="P167" i="34"/>
  <c r="P183" i="34"/>
  <c r="T167" i="34"/>
  <c r="T60" i="36"/>
  <c r="T76" i="36"/>
  <c r="T183" i="34"/>
  <c r="S76" i="36"/>
  <c r="S60" i="36"/>
  <c r="S167" i="34"/>
  <c r="S183" i="34"/>
  <c r="AA76" i="36"/>
  <c r="AA183" i="34"/>
  <c r="AA167" i="34"/>
  <c r="AA60" i="36"/>
  <c r="N183" i="34"/>
  <c r="N76" i="36"/>
  <c r="N167" i="34"/>
  <c r="N60" i="36"/>
  <c r="AB167" i="34"/>
  <c r="AB76" i="36"/>
  <c r="AB183" i="34"/>
  <c r="AB60" i="36"/>
  <c r="I167" i="34"/>
  <c r="I183" i="34"/>
  <c r="I76" i="36"/>
  <c r="I60" i="36"/>
  <c r="M60" i="36"/>
  <c r="M167" i="34"/>
  <c r="M76" i="36"/>
  <c r="M183" i="34"/>
  <c r="Q167" i="34"/>
  <c r="Q60" i="36"/>
  <c r="Q76" i="36"/>
  <c r="Q183" i="34"/>
  <c r="U183" i="34"/>
  <c r="U167" i="34"/>
  <c r="U76" i="36"/>
  <c r="U60" i="36"/>
  <c r="Y167" i="34"/>
  <c r="Y183" i="34"/>
  <c r="Y76" i="36"/>
  <c r="Y60" i="36"/>
  <c r="AC60" i="36"/>
  <c r="AC183" i="34"/>
  <c r="AC76" i="36"/>
  <c r="AC167" i="34"/>
  <c r="K60" i="36"/>
  <c r="K183" i="34"/>
  <c r="K167" i="34"/>
  <c r="K76" i="36"/>
  <c r="W167" i="34"/>
  <c r="W183" i="34"/>
  <c r="W60" i="36"/>
  <c r="W76" i="36"/>
  <c r="O76" i="36"/>
  <c r="O60" i="36"/>
  <c r="O183" i="34"/>
  <c r="O167" i="34"/>
  <c r="AD183" i="34"/>
  <c r="AD167" i="34"/>
  <c r="AE183" i="34"/>
  <c r="AE167" i="34"/>
  <c r="AI167" i="34"/>
  <c r="AI183" i="34"/>
  <c r="AH167" i="34"/>
  <c r="AH183" i="34"/>
  <c r="AF167" i="34"/>
  <c r="AF183" i="34"/>
  <c r="AG167" i="34"/>
  <c r="AG183" i="34"/>
  <c r="AE117" i="34" l="1"/>
  <c r="W117" i="34"/>
  <c r="N101" i="34"/>
  <c r="AG101" i="34"/>
  <c r="AC117" i="34"/>
  <c r="J101" i="34"/>
  <c r="Z101" i="34"/>
  <c r="R101" i="34"/>
  <c r="AG117" i="34"/>
  <c r="AF101" i="34"/>
  <c r="AB101" i="34"/>
  <c r="H101" i="34"/>
  <c r="AI101" i="34"/>
  <c r="AD101" i="34"/>
  <c r="W101" i="34"/>
  <c r="Y117" i="34"/>
  <c r="Q117" i="34"/>
  <c r="I117" i="34"/>
  <c r="T117" i="34"/>
  <c r="AH117" i="34"/>
  <c r="AI117" i="34"/>
  <c r="AD117" i="34"/>
  <c r="O101" i="34"/>
  <c r="Q101" i="34"/>
  <c r="AB117" i="34"/>
  <c r="N117" i="34"/>
  <c r="S101" i="34"/>
  <c r="T101" i="34"/>
  <c r="P117" i="34"/>
  <c r="H117" i="34"/>
  <c r="V101" i="34"/>
  <c r="X117" i="34"/>
  <c r="L101" i="34"/>
  <c r="K117" i="34"/>
  <c r="Y101" i="34"/>
  <c r="U101" i="34"/>
  <c r="I101" i="34"/>
  <c r="AA101" i="34"/>
  <c r="J117" i="34"/>
  <c r="Z117" i="34"/>
  <c r="V117" i="34"/>
  <c r="R117" i="34"/>
  <c r="AH101" i="34"/>
  <c r="AE101" i="34"/>
  <c r="U117" i="34"/>
  <c r="M117" i="34"/>
  <c r="AF117" i="34"/>
  <c r="O117" i="34"/>
  <c r="K101" i="34"/>
  <c r="AC101" i="34"/>
  <c r="M101" i="34"/>
  <c r="AA117" i="34"/>
  <c r="S117" i="34"/>
  <c r="P101" i="34"/>
  <c r="X101" i="34"/>
  <c r="L117" i="34"/>
  <c r="Q72" i="36"/>
  <c r="AB72" i="36"/>
  <c r="S179" i="34"/>
  <c r="O72" i="36"/>
  <c r="O171" i="34"/>
  <c r="O187" i="34"/>
  <c r="O80" i="36"/>
  <c r="O64" i="36"/>
  <c r="Z81" i="36"/>
  <c r="Z65" i="36"/>
  <c r="Z172" i="34"/>
  <c r="Z188" i="34"/>
  <c r="W171" i="34"/>
  <c r="W187" i="34"/>
  <c r="W80" i="36"/>
  <c r="W64" i="36"/>
  <c r="S80" i="36"/>
  <c r="S171" i="34"/>
  <c r="S187" i="34"/>
  <c r="S64" i="36"/>
  <c r="W172" i="34"/>
  <c r="W65" i="36"/>
  <c r="W188" i="34"/>
  <c r="W81" i="36"/>
  <c r="R188" i="34"/>
  <c r="R81" i="36"/>
  <c r="R172" i="34"/>
  <c r="R65" i="36"/>
  <c r="J172" i="34"/>
  <c r="J81" i="36"/>
  <c r="J188" i="34"/>
  <c r="J65" i="36"/>
  <c r="AA187" i="34"/>
  <c r="AA80" i="36"/>
  <c r="AA171" i="34"/>
  <c r="AA64" i="36"/>
  <c r="AC171" i="34"/>
  <c r="AC64" i="36"/>
  <c r="AC187" i="34"/>
  <c r="AC80" i="36"/>
  <c r="Y187" i="34"/>
  <c r="Y64" i="36"/>
  <c r="Y171" i="34"/>
  <c r="Y80" i="36"/>
  <c r="U65" i="36"/>
  <c r="U172" i="34"/>
  <c r="U81" i="36"/>
  <c r="U188" i="34"/>
  <c r="Q171" i="34"/>
  <c r="Q64" i="36"/>
  <c r="Q187" i="34"/>
  <c r="Q80" i="36"/>
  <c r="T80" i="36"/>
  <c r="T171" i="34"/>
  <c r="T187" i="34"/>
  <c r="T64" i="36"/>
  <c r="S188" i="34"/>
  <c r="S172" i="34"/>
  <c r="S81" i="36"/>
  <c r="S65" i="36"/>
  <c r="X172" i="34"/>
  <c r="X188" i="34"/>
  <c r="X65" i="36"/>
  <c r="X81" i="36"/>
  <c r="N171" i="34"/>
  <c r="N187" i="34"/>
  <c r="N80" i="36"/>
  <c r="N64" i="36"/>
  <c r="H80" i="36"/>
  <c r="H171" i="34"/>
  <c r="H64" i="36"/>
  <c r="H187" i="34"/>
  <c r="X80" i="36"/>
  <c r="X64" i="36"/>
  <c r="X171" i="34"/>
  <c r="X187" i="34"/>
  <c r="K81" i="36"/>
  <c r="K65" i="36"/>
  <c r="K188" i="34"/>
  <c r="K172" i="34"/>
  <c r="L65" i="36"/>
  <c r="L81" i="36"/>
  <c r="L188" i="34"/>
  <c r="L172" i="34"/>
  <c r="AC172" i="34"/>
  <c r="AC188" i="34"/>
  <c r="AC65" i="36"/>
  <c r="AC81" i="36"/>
  <c r="R171" i="34"/>
  <c r="R187" i="34"/>
  <c r="R80" i="36"/>
  <c r="R64" i="36"/>
  <c r="J171" i="34"/>
  <c r="J187" i="34"/>
  <c r="J80" i="36"/>
  <c r="J64" i="36"/>
  <c r="H172" i="34"/>
  <c r="H65" i="36"/>
  <c r="H81" i="36"/>
  <c r="H188" i="34"/>
  <c r="M80" i="36"/>
  <c r="M171" i="34"/>
  <c r="M64" i="36"/>
  <c r="M187" i="34"/>
  <c r="I64" i="36"/>
  <c r="I171" i="34"/>
  <c r="I187" i="34"/>
  <c r="I80" i="36"/>
  <c r="P64" i="36"/>
  <c r="P171" i="34"/>
  <c r="P80" i="36"/>
  <c r="P187" i="34"/>
  <c r="I172" i="34"/>
  <c r="I65" i="36"/>
  <c r="I81" i="36"/>
  <c r="I188" i="34"/>
  <c r="AA172" i="34"/>
  <c r="AA188" i="34"/>
  <c r="AA65" i="36"/>
  <c r="AA81" i="36"/>
  <c r="Q188" i="34"/>
  <c r="Q81" i="36"/>
  <c r="Q65" i="36"/>
  <c r="Q172" i="34"/>
  <c r="P81" i="36"/>
  <c r="P65" i="36"/>
  <c r="P172" i="34"/>
  <c r="P188" i="34"/>
  <c r="V171" i="34"/>
  <c r="V187" i="34"/>
  <c r="V80" i="36"/>
  <c r="V64" i="36"/>
  <c r="R179" i="34"/>
  <c r="Z187" i="34"/>
  <c r="Z171" i="34"/>
  <c r="Z80" i="36"/>
  <c r="Z64" i="36"/>
  <c r="V188" i="34"/>
  <c r="V172" i="34"/>
  <c r="V81" i="36"/>
  <c r="V65" i="36"/>
  <c r="N188" i="34"/>
  <c r="N172" i="34"/>
  <c r="N65" i="36"/>
  <c r="N81" i="36"/>
  <c r="K187" i="34"/>
  <c r="K171" i="34"/>
  <c r="K64" i="36"/>
  <c r="K80" i="36"/>
  <c r="U171" i="34"/>
  <c r="U64" i="36"/>
  <c r="U187" i="34"/>
  <c r="U80" i="36"/>
  <c r="M65" i="36"/>
  <c r="M172" i="34"/>
  <c r="M188" i="34"/>
  <c r="M81" i="36"/>
  <c r="AB80" i="36"/>
  <c r="AB187" i="34"/>
  <c r="AB64" i="36"/>
  <c r="AB171" i="34"/>
  <c r="L64" i="36"/>
  <c r="L80" i="36"/>
  <c r="L171" i="34"/>
  <c r="L187" i="34"/>
  <c r="O188" i="34"/>
  <c r="O172" i="34"/>
  <c r="O65" i="36"/>
  <c r="O81" i="36"/>
  <c r="AB188" i="34"/>
  <c r="AB81" i="36"/>
  <c r="AB65" i="36"/>
  <c r="AB172" i="34"/>
  <c r="T81" i="36"/>
  <c r="T188" i="34"/>
  <c r="T65" i="36"/>
  <c r="T172" i="34"/>
  <c r="Y172" i="34"/>
  <c r="Y65" i="36"/>
  <c r="Y188" i="34"/>
  <c r="Y81" i="36"/>
  <c r="AA163" i="34"/>
  <c r="V163" i="34"/>
  <c r="U179" i="34"/>
  <c r="X179" i="34"/>
  <c r="Z72" i="36"/>
  <c r="J163" i="34"/>
  <c r="J179" i="34"/>
  <c r="J72" i="36"/>
  <c r="J56" i="36"/>
  <c r="R56" i="36"/>
  <c r="V56" i="36"/>
  <c r="E21" i="45"/>
  <c r="D21" i="45"/>
  <c r="B20" i="45"/>
  <c r="B21" i="45" s="1"/>
  <c r="B22" i="45" s="1"/>
  <c r="B23" i="45" s="1"/>
  <c r="B24" i="45" s="1"/>
  <c r="B25" i="45" s="1"/>
  <c r="B26" i="45" s="1"/>
  <c r="B19" i="45" s="1"/>
  <c r="B60" i="45" s="1"/>
  <c r="C18" i="45"/>
  <c r="C26" i="45" s="1"/>
  <c r="B12" i="45"/>
  <c r="B13" i="45" s="1"/>
  <c r="E6" i="45"/>
  <c r="D6" i="45"/>
  <c r="B36" i="34"/>
  <c r="B37" i="34" s="1"/>
  <c r="B38" i="34" s="1"/>
  <c r="B39" i="34" s="1"/>
  <c r="B40" i="34" s="1"/>
  <c r="B41" i="34" s="1"/>
  <c r="B42" i="34" s="1"/>
  <c r="B43" i="34" s="1"/>
  <c r="B44" i="34" s="1"/>
  <c r="B45" i="34" s="1"/>
  <c r="B46" i="34" s="1"/>
  <c r="B47" i="34" s="1"/>
  <c r="B48" i="34" s="1"/>
  <c r="B49" i="34" s="1"/>
  <c r="B50" i="34" s="1"/>
  <c r="B51" i="34" s="1"/>
  <c r="B52" i="34" s="1"/>
  <c r="B53" i="34" s="1"/>
  <c r="B18" i="34"/>
  <c r="B19" i="34" s="1"/>
  <c r="B20" i="34" s="1"/>
  <c r="B21" i="34" s="1"/>
  <c r="B22" i="34" s="1"/>
  <c r="B23" i="34" s="1"/>
  <c r="B24" i="34" s="1"/>
  <c r="B25" i="34" s="1"/>
  <c r="B26" i="34" s="1"/>
  <c r="B27" i="34" s="1"/>
  <c r="B28" i="34" s="1"/>
  <c r="B29" i="34" s="1"/>
  <c r="B30" i="34" s="1"/>
  <c r="B31" i="34" s="1"/>
  <c r="B32" i="34" s="1"/>
  <c r="B33" i="34" s="1"/>
  <c r="B34" i="34" s="1"/>
  <c r="B35" i="34" s="1"/>
  <c r="B4" i="34"/>
  <c r="B5" i="34" s="1"/>
  <c r="B6" i="34" s="1"/>
  <c r="B7" i="34" s="1"/>
  <c r="B8" i="34" s="1"/>
  <c r="B9" i="34" s="1"/>
  <c r="B10" i="34" s="1"/>
  <c r="B11" i="34" s="1"/>
  <c r="B12" i="34" s="1"/>
  <c r="B13" i="34" s="1"/>
  <c r="B14" i="34" s="1"/>
  <c r="B15" i="34" s="1"/>
  <c r="B16" i="34" s="1"/>
  <c r="B17" i="34" s="1"/>
  <c r="A4" i="34"/>
  <c r="A5" i="34" s="1"/>
  <c r="A6" i="34" s="1"/>
  <c r="A7" i="34" s="1"/>
  <c r="A8" i="34" s="1"/>
  <c r="A9" i="34" s="1"/>
  <c r="A10" i="34" s="1"/>
  <c r="A11" i="34" s="1"/>
  <c r="A12" i="34" s="1"/>
  <c r="A13" i="34" s="1"/>
  <c r="A14" i="34" s="1"/>
  <c r="A15" i="34" s="1"/>
  <c r="A16" i="34" s="1"/>
  <c r="A17" i="34" s="1"/>
  <c r="A18" i="34" s="1"/>
  <c r="A19" i="34" s="1"/>
  <c r="A20" i="34" s="1"/>
  <c r="A21" i="34" s="1"/>
  <c r="A22" i="34" s="1"/>
  <c r="A23" i="34" s="1"/>
  <c r="A24" i="34" s="1"/>
  <c r="A25" i="34" s="1"/>
  <c r="A26" i="34" s="1"/>
  <c r="A27" i="34" s="1"/>
  <c r="A28" i="34" s="1"/>
  <c r="A29" i="34" s="1"/>
  <c r="A30" i="34" s="1"/>
  <c r="A31" i="34" s="1"/>
  <c r="A32" i="34" s="1"/>
  <c r="A33" i="34" s="1"/>
  <c r="A34" i="34" s="1"/>
  <c r="A35" i="34" s="1"/>
  <c r="A36" i="34" s="1"/>
  <c r="A37" i="34" s="1"/>
  <c r="A38" i="34" s="1"/>
  <c r="A39" i="34" s="1"/>
  <c r="A40" i="34" s="1"/>
  <c r="A41" i="34" s="1"/>
  <c r="A42" i="34" s="1"/>
  <c r="A43" i="34" s="1"/>
  <c r="A44" i="34" s="1"/>
  <c r="A45" i="34" s="1"/>
  <c r="A46" i="34" s="1"/>
  <c r="A47" i="34" s="1"/>
  <c r="A48" i="34" s="1"/>
  <c r="A49" i="34" s="1"/>
  <c r="A50" i="34" s="1"/>
  <c r="A51" i="34" s="1"/>
  <c r="A52" i="34" s="1"/>
  <c r="A53" i="34" s="1"/>
  <c r="B36" i="33"/>
  <c r="B37" i="33" s="1"/>
  <c r="B38" i="33" s="1"/>
  <c r="B39" i="33" s="1"/>
  <c r="B40" i="33" s="1"/>
  <c r="B41" i="33" s="1"/>
  <c r="B42" i="33" s="1"/>
  <c r="B43" i="33" s="1"/>
  <c r="B44" i="33" s="1"/>
  <c r="B45" i="33" s="1"/>
  <c r="B46" i="33" s="1"/>
  <c r="B47" i="33" s="1"/>
  <c r="B48" i="33" s="1"/>
  <c r="B49" i="33" s="1"/>
  <c r="B50" i="33" s="1"/>
  <c r="B51" i="33" s="1"/>
  <c r="B52" i="33" s="1"/>
  <c r="B53" i="33" s="1"/>
  <c r="B54" i="33" s="1"/>
  <c r="B55" i="33" s="1"/>
  <c r="B56" i="33" s="1"/>
  <c r="B57" i="33" s="1"/>
  <c r="B58" i="33" s="1"/>
  <c r="B59" i="33" s="1"/>
  <c r="B60" i="33" s="1"/>
  <c r="B61" i="33" s="1"/>
  <c r="B62" i="33" s="1"/>
  <c r="B63" i="33" s="1"/>
  <c r="B64" i="33" s="1"/>
  <c r="B65" i="33" s="1"/>
  <c r="B66" i="33" s="1"/>
  <c r="B67" i="33" s="1"/>
  <c r="B68" i="33" s="1"/>
  <c r="B69" i="33" s="1"/>
  <c r="B70" i="33" s="1"/>
  <c r="B71" i="33" s="1"/>
  <c r="B18" i="33"/>
  <c r="B19" i="33" s="1"/>
  <c r="B20" i="33" s="1"/>
  <c r="B21" i="33" s="1"/>
  <c r="B22" i="33" s="1"/>
  <c r="B23" i="33" s="1"/>
  <c r="B24" i="33" s="1"/>
  <c r="B25" i="33" s="1"/>
  <c r="B26" i="33" s="1"/>
  <c r="B27" i="33" s="1"/>
  <c r="B28" i="33" s="1"/>
  <c r="B29" i="33" s="1"/>
  <c r="B30" i="33" s="1"/>
  <c r="B31" i="33" s="1"/>
  <c r="B32" i="33" s="1"/>
  <c r="B33" i="33" s="1"/>
  <c r="B34" i="33" s="1"/>
  <c r="B35" i="33" s="1"/>
  <c r="B4" i="33"/>
  <c r="B5" i="33" s="1"/>
  <c r="B6" i="33" s="1"/>
  <c r="B7" i="33" s="1"/>
  <c r="B8" i="33" s="1"/>
  <c r="B9" i="33" s="1"/>
  <c r="B10" i="33" s="1"/>
  <c r="B11" i="33" s="1"/>
  <c r="B12" i="33" s="1"/>
  <c r="B13" i="33" s="1"/>
  <c r="B14" i="33" s="1"/>
  <c r="B15" i="33" s="1"/>
  <c r="B16" i="33" s="1"/>
  <c r="B17" i="33" s="1"/>
  <c r="A4" i="33"/>
  <c r="A5" i="33" s="1"/>
  <c r="A6" i="33" s="1"/>
  <c r="A7" i="33" s="1"/>
  <c r="A8" i="33" s="1"/>
  <c r="A9" i="33" s="1"/>
  <c r="A10" i="33" s="1"/>
  <c r="A11" i="33" s="1"/>
  <c r="A12" i="33" s="1"/>
  <c r="A13" i="33" s="1"/>
  <c r="A14" i="33" s="1"/>
  <c r="A15" i="33" s="1"/>
  <c r="A16" i="33" s="1"/>
  <c r="A17" i="33" s="1"/>
  <c r="A18" i="33" s="1"/>
  <c r="A19" i="33" s="1"/>
  <c r="A20" i="33" s="1"/>
  <c r="A21" i="33" s="1"/>
  <c r="A22" i="33" s="1"/>
  <c r="A23" i="33" s="1"/>
  <c r="A24" i="33" s="1"/>
  <c r="A25" i="33" s="1"/>
  <c r="A26" i="33" s="1"/>
  <c r="A27" i="33" s="1"/>
  <c r="A28" i="33" s="1"/>
  <c r="A29" i="33" s="1"/>
  <c r="A30" i="33" s="1"/>
  <c r="A31" i="33" s="1"/>
  <c r="A32" i="33" s="1"/>
  <c r="A33" i="33" s="1"/>
  <c r="A34" i="33" s="1"/>
  <c r="A35" i="33" s="1"/>
  <c r="A36" i="33" s="1"/>
  <c r="A37" i="33" s="1"/>
  <c r="A38" i="33" s="1"/>
  <c r="A39" i="33" s="1"/>
  <c r="A40" i="33" s="1"/>
  <c r="A41" i="33" s="1"/>
  <c r="A42" i="33" s="1"/>
  <c r="A43" i="33" s="1"/>
  <c r="A44" i="33" s="1"/>
  <c r="A45" i="33" s="1"/>
  <c r="A46" i="33" s="1"/>
  <c r="A47" i="33" s="1"/>
  <c r="A48" i="33" s="1"/>
  <c r="A49" i="33" s="1"/>
  <c r="A50" i="33" s="1"/>
  <c r="A51" i="33" s="1"/>
  <c r="A52" i="33" s="1"/>
  <c r="A53" i="33" s="1"/>
  <c r="A54" i="33" s="1"/>
  <c r="A55" i="33" s="1"/>
  <c r="A56" i="33" s="1"/>
  <c r="A57" i="33" s="1"/>
  <c r="A58" i="33" s="1"/>
  <c r="A59" i="33" s="1"/>
  <c r="A60" i="33" s="1"/>
  <c r="A61" i="33" s="1"/>
  <c r="A62" i="33" s="1"/>
  <c r="A63" i="33" s="1"/>
  <c r="A64" i="33" s="1"/>
  <c r="A65" i="33" s="1"/>
  <c r="A66" i="33" s="1"/>
  <c r="A67" i="33" s="1"/>
  <c r="A68" i="33" s="1"/>
  <c r="A69" i="33" s="1"/>
  <c r="A70" i="33" s="1"/>
  <c r="A71" i="33" s="1"/>
  <c r="A5" i="36"/>
  <c r="A6" i="36" s="1"/>
  <c r="A7" i="36" s="1"/>
  <c r="A8" i="36" s="1"/>
  <c r="A9" i="36" s="1"/>
  <c r="A10" i="36" s="1"/>
  <c r="A11" i="36" s="1"/>
  <c r="A12" i="36" s="1"/>
  <c r="A13" i="36" s="1"/>
  <c r="A14" i="36" s="1"/>
  <c r="A15" i="36" s="1"/>
  <c r="A16" i="36" s="1"/>
  <c r="A17" i="36" s="1"/>
  <c r="A18" i="36" s="1"/>
  <c r="A19" i="36" s="1"/>
  <c r="A20" i="36" s="1"/>
  <c r="A21" i="36" s="1"/>
  <c r="A22" i="36" s="1"/>
  <c r="B5" i="45"/>
  <c r="B6" i="45" s="1"/>
  <c r="B7" i="45" s="1"/>
  <c r="B8" i="45" s="1"/>
  <c r="B9" i="45" s="1"/>
  <c r="B10" i="45" s="1"/>
  <c r="C7" i="45"/>
  <c r="C14" i="45" s="1"/>
  <c r="C22" i="45" s="1"/>
  <c r="C8" i="45"/>
  <c r="C9" i="45"/>
  <c r="C16" i="45" s="1"/>
  <c r="C24" i="45" s="1"/>
  <c r="C10" i="45"/>
  <c r="C17" i="45" s="1"/>
  <c r="C25" i="45" s="1"/>
  <c r="C6" i="45"/>
  <c r="C13" i="45" s="1"/>
  <c r="C21" i="45" s="1"/>
  <c r="C5" i="45"/>
  <c r="C12" i="45" s="1"/>
  <c r="C20" i="45" s="1"/>
  <c r="A5" i="45"/>
  <c r="A6" i="45" s="1"/>
  <c r="A7" i="45" s="1"/>
  <c r="A8" i="45" s="1"/>
  <c r="A9" i="45" s="1"/>
  <c r="A10" i="45" s="1"/>
  <c r="A12" i="45" s="1"/>
  <c r="A13" i="45" s="1"/>
  <c r="A14" i="45" s="1"/>
  <c r="A15" i="45" s="1"/>
  <c r="A16" i="45" s="1"/>
  <c r="A17" i="45" s="1"/>
  <c r="A18" i="45" s="1"/>
  <c r="A20" i="45" s="1"/>
  <c r="A21" i="45" s="1"/>
  <c r="A22" i="45" s="1"/>
  <c r="A23" i="45" s="1"/>
  <c r="A24" i="45" s="1"/>
  <c r="A25" i="45" s="1"/>
  <c r="A26" i="45" s="1"/>
  <c r="T136" i="39"/>
  <c r="T137" i="39"/>
  <c r="T138" i="39"/>
  <c r="H52" i="33" s="1"/>
  <c r="T135" i="39"/>
  <c r="H53" i="33"/>
  <c r="H51" i="33"/>
  <c r="H50" i="33"/>
  <c r="H49" i="33"/>
  <c r="H48" i="33"/>
  <c r="H47" i="33"/>
  <c r="H46" i="33"/>
  <c r="H45" i="33"/>
  <c r="H44" i="33"/>
  <c r="H43" i="33"/>
  <c r="H42" i="33"/>
  <c r="H41" i="33"/>
  <c r="H40" i="33"/>
  <c r="H39" i="33"/>
  <c r="H38" i="33"/>
  <c r="H37" i="33"/>
  <c r="H36" i="33"/>
  <c r="G37" i="33"/>
  <c r="G38" i="33" s="1"/>
  <c r="G39" i="33" s="1"/>
  <c r="G40" i="33" s="1"/>
  <c r="G41" i="33" s="1"/>
  <c r="G42" i="33" s="1"/>
  <c r="G43" i="33" s="1"/>
  <c r="G44" i="33" s="1"/>
  <c r="G45" i="33" s="1"/>
  <c r="G46" i="33" s="1"/>
  <c r="G47" i="33" s="1"/>
  <c r="G48" i="33" s="1"/>
  <c r="G49" i="33" s="1"/>
  <c r="G50" i="33" s="1"/>
  <c r="G51" i="33" s="1"/>
  <c r="G52" i="33" s="1"/>
  <c r="G53" i="33" s="1"/>
  <c r="F37" i="33"/>
  <c r="F38" i="33" s="1"/>
  <c r="F39" i="33" s="1"/>
  <c r="F40" i="33" s="1"/>
  <c r="F41" i="33" s="1"/>
  <c r="F42" i="33" s="1"/>
  <c r="F43" i="33" s="1"/>
  <c r="F44" i="33" s="1"/>
  <c r="F45" i="33" s="1"/>
  <c r="F46" i="33" s="1"/>
  <c r="F47" i="33" s="1"/>
  <c r="F48" i="33" s="1"/>
  <c r="F49" i="33" s="1"/>
  <c r="F50" i="33" s="1"/>
  <c r="F51" i="33" s="1"/>
  <c r="F52" i="33" s="1"/>
  <c r="F53" i="33" s="1"/>
  <c r="T112" i="39"/>
  <c r="T110" i="39"/>
  <c r="T133" i="39"/>
  <c r="T132" i="39"/>
  <c r="T131" i="39"/>
  <c r="T130" i="39"/>
  <c r="T129" i="39"/>
  <c r="T128" i="39"/>
  <c r="T127" i="39"/>
  <c r="T126" i="39"/>
  <c r="T125" i="39"/>
  <c r="T124" i="39"/>
  <c r="T123" i="39"/>
  <c r="T122" i="39"/>
  <c r="T121" i="39"/>
  <c r="T120" i="39"/>
  <c r="T119" i="39"/>
  <c r="T118" i="39"/>
  <c r="T117" i="39"/>
  <c r="T116" i="39"/>
  <c r="T115" i="39"/>
  <c r="T114" i="39"/>
  <c r="T108" i="39"/>
  <c r="T107" i="39"/>
  <c r="T106" i="39"/>
  <c r="T105" i="39"/>
  <c r="T104" i="39"/>
  <c r="T103" i="39"/>
  <c r="T102" i="39"/>
  <c r="T101" i="39"/>
  <c r="T100" i="39"/>
  <c r="T99" i="39"/>
  <c r="T98" i="39"/>
  <c r="T97" i="39"/>
  <c r="T96" i="39"/>
  <c r="T95" i="39"/>
  <c r="T94" i="39"/>
  <c r="T93" i="39"/>
  <c r="T92" i="39"/>
  <c r="T91" i="39"/>
  <c r="T90" i="39"/>
  <c r="T89" i="39"/>
  <c r="T88" i="39"/>
  <c r="T87" i="39"/>
  <c r="T86" i="39"/>
  <c r="T85" i="39"/>
  <c r="T83" i="39"/>
  <c r="T82" i="39"/>
  <c r="T81" i="39"/>
  <c r="T80" i="39"/>
  <c r="T79" i="39"/>
  <c r="T78" i="39"/>
  <c r="T77" i="39"/>
  <c r="T76" i="39"/>
  <c r="T75" i="39"/>
  <c r="T74" i="39"/>
  <c r="T73" i="39"/>
  <c r="T72" i="39"/>
  <c r="T71" i="39"/>
  <c r="T70" i="39"/>
  <c r="T69" i="39"/>
  <c r="T68" i="39"/>
  <c r="T67" i="39"/>
  <c r="T66" i="39"/>
  <c r="T65" i="39"/>
  <c r="T64" i="39"/>
  <c r="T63" i="39"/>
  <c r="T62" i="39"/>
  <c r="T61" i="39"/>
  <c r="T60" i="39"/>
  <c r="T59" i="39"/>
  <c r="T58" i="39"/>
  <c r="T57" i="39"/>
  <c r="T56" i="39"/>
  <c r="T55" i="39"/>
  <c r="T54" i="39"/>
  <c r="T53" i="39"/>
  <c r="T52" i="39"/>
  <c r="T51" i="39"/>
  <c r="T50" i="39"/>
  <c r="T49" i="39"/>
  <c r="T48" i="39"/>
  <c r="T47" i="39"/>
  <c r="T46" i="39"/>
  <c r="T45" i="39"/>
  <c r="T44" i="39"/>
  <c r="T43" i="39"/>
  <c r="T42" i="39"/>
  <c r="T41" i="39"/>
  <c r="T40" i="39"/>
  <c r="T39" i="39"/>
  <c r="T38" i="39"/>
  <c r="T37" i="39"/>
  <c r="T36" i="39"/>
  <c r="T34" i="39"/>
  <c r="T33" i="39"/>
  <c r="T32" i="39"/>
  <c r="T31" i="39"/>
  <c r="T30" i="39"/>
  <c r="T29" i="39"/>
  <c r="T28" i="39"/>
  <c r="T27" i="39"/>
  <c r="T26" i="39"/>
  <c r="T25" i="39"/>
  <c r="T24" i="39"/>
  <c r="T23" i="39"/>
  <c r="T22" i="39"/>
  <c r="T21" i="39"/>
  <c r="T20" i="39"/>
  <c r="T19" i="39"/>
  <c r="T18" i="39"/>
  <c r="T17" i="39"/>
  <c r="T16" i="39"/>
  <c r="T15" i="39"/>
  <c r="T14" i="39"/>
  <c r="T13" i="39"/>
  <c r="T12" i="39"/>
  <c r="T6" i="39"/>
  <c r="T7" i="39"/>
  <c r="T8" i="39"/>
  <c r="T9" i="39"/>
  <c r="T10" i="39"/>
  <c r="T5" i="39"/>
  <c r="H35" i="33"/>
  <c r="H34" i="33"/>
  <c r="H33" i="33"/>
  <c r="H32" i="33"/>
  <c r="H31" i="33"/>
  <c r="H30" i="33"/>
  <c r="H29" i="33"/>
  <c r="H28" i="33"/>
  <c r="H27" i="33"/>
  <c r="H26" i="33"/>
  <c r="H25" i="33"/>
  <c r="H24" i="33"/>
  <c r="H23" i="33"/>
  <c r="H22" i="33"/>
  <c r="H21" i="33"/>
  <c r="H7" i="33"/>
  <c r="H20" i="33"/>
  <c r="H19" i="33"/>
  <c r="H18" i="33"/>
  <c r="H17" i="33"/>
  <c r="H16" i="33"/>
  <c r="H13" i="33"/>
  <c r="H12" i="33"/>
  <c r="H11" i="33"/>
  <c r="H10" i="33"/>
  <c r="H8" i="33"/>
  <c r="H6" i="33"/>
  <c r="H5" i="33"/>
  <c r="H4" i="33"/>
  <c r="G125" i="39"/>
  <c r="G126" i="39"/>
  <c r="G127" i="39"/>
  <c r="G128" i="39"/>
  <c r="G129" i="39"/>
  <c r="G130" i="39"/>
  <c r="G131" i="39"/>
  <c r="G132" i="39"/>
  <c r="G133" i="39"/>
  <c r="G124" i="39"/>
  <c r="G115" i="39"/>
  <c r="G116" i="39"/>
  <c r="G117" i="39"/>
  <c r="G118" i="39"/>
  <c r="G119" i="39"/>
  <c r="G120" i="39"/>
  <c r="G121" i="39"/>
  <c r="G122" i="39"/>
  <c r="G123" i="39"/>
  <c r="G114" i="39"/>
  <c r="G28" i="39"/>
  <c r="G27" i="39"/>
  <c r="G26" i="39"/>
  <c r="G23" i="39"/>
  <c r="G24" i="39"/>
  <c r="G22" i="39"/>
  <c r="G13" i="39"/>
  <c r="G14" i="39"/>
  <c r="G15" i="39"/>
  <c r="G16" i="39"/>
  <c r="G17" i="39"/>
  <c r="G18" i="39"/>
  <c r="G19" i="39"/>
  <c r="G20" i="39"/>
  <c r="G21" i="39"/>
  <c r="G12" i="39"/>
  <c r="D18" i="36"/>
  <c r="D53" i="46" s="1"/>
  <c r="D17" i="36"/>
  <c r="D52" i="46" s="1"/>
  <c r="D7" i="36"/>
  <c r="D42" i="46" s="1"/>
  <c r="C7" i="36"/>
  <c r="C8" i="36" s="1"/>
  <c r="G74" i="33"/>
  <c r="G75" i="33" s="1"/>
  <c r="G76" i="33" s="1"/>
  <c r="G77" i="33" s="1"/>
  <c r="G78" i="33" s="1"/>
  <c r="G79" i="33" s="1"/>
  <c r="G80" i="33" s="1"/>
  <c r="G81" i="33" s="1"/>
  <c r="F74" i="33"/>
  <c r="F75" i="33" s="1"/>
  <c r="F76" i="33" s="1"/>
  <c r="F77" i="33" s="1"/>
  <c r="F78" i="33" s="1"/>
  <c r="F79" i="33" s="1"/>
  <c r="F80" i="33" s="1"/>
  <c r="F81" i="33" s="1"/>
  <c r="E74" i="33"/>
  <c r="E75" i="33" s="1"/>
  <c r="E76" i="33" s="1"/>
  <c r="E77" i="33" s="1"/>
  <c r="E78" i="33" s="1"/>
  <c r="E79" i="33" s="1"/>
  <c r="E80" i="33" s="1"/>
  <c r="E81" i="33" s="1"/>
  <c r="C73" i="33"/>
  <c r="C74" i="33" s="1"/>
  <c r="C75" i="33" s="1"/>
  <c r="C76" i="33" s="1"/>
  <c r="C77" i="33" s="1"/>
  <c r="C78" i="33" s="1"/>
  <c r="C79" i="33" s="1"/>
  <c r="C80" i="33" s="1"/>
  <c r="C81" i="33" s="1"/>
  <c r="Q138" i="39"/>
  <c r="P138" i="39"/>
  <c r="Q137" i="39"/>
  <c r="P137" i="39"/>
  <c r="Q136" i="39"/>
  <c r="P136" i="39"/>
  <c r="Q135" i="39"/>
  <c r="P135" i="39"/>
  <c r="Q133" i="39"/>
  <c r="P133" i="39"/>
  <c r="Q132" i="39"/>
  <c r="P132" i="39"/>
  <c r="Q131" i="39"/>
  <c r="P131" i="39"/>
  <c r="Q130" i="39"/>
  <c r="P130" i="39"/>
  <c r="Q129" i="39"/>
  <c r="P129" i="39"/>
  <c r="Q128" i="39"/>
  <c r="P128" i="39"/>
  <c r="Q127" i="39"/>
  <c r="P127" i="39"/>
  <c r="Q126" i="39"/>
  <c r="P126" i="39"/>
  <c r="Q125" i="39"/>
  <c r="P125" i="39"/>
  <c r="Q124" i="39"/>
  <c r="P124" i="39"/>
  <c r="Q123" i="39"/>
  <c r="P123" i="39"/>
  <c r="Q122" i="39"/>
  <c r="P122" i="39"/>
  <c r="Q121" i="39"/>
  <c r="P121" i="39"/>
  <c r="Q120" i="39"/>
  <c r="P120" i="39"/>
  <c r="Q119" i="39"/>
  <c r="P119" i="39"/>
  <c r="Q118" i="39"/>
  <c r="P118" i="39"/>
  <c r="Q117" i="39"/>
  <c r="P117" i="39"/>
  <c r="Q116" i="39"/>
  <c r="P116" i="39"/>
  <c r="Q115" i="39"/>
  <c r="P115" i="39"/>
  <c r="Q114" i="39"/>
  <c r="P114" i="39"/>
  <c r="Q112" i="39"/>
  <c r="P112" i="39"/>
  <c r="Q110" i="39"/>
  <c r="P110" i="39"/>
  <c r="Q108" i="39"/>
  <c r="P108" i="39"/>
  <c r="Q107" i="39"/>
  <c r="P107" i="39"/>
  <c r="Q106" i="39"/>
  <c r="P106" i="39"/>
  <c r="Q105" i="39"/>
  <c r="P105" i="39"/>
  <c r="Q104" i="39"/>
  <c r="P104" i="39"/>
  <c r="Q103" i="39"/>
  <c r="P103" i="39"/>
  <c r="Q102" i="39"/>
  <c r="P102" i="39"/>
  <c r="Q101" i="39"/>
  <c r="P101" i="39"/>
  <c r="Q100" i="39"/>
  <c r="P100" i="39"/>
  <c r="Q99" i="39"/>
  <c r="P99" i="39"/>
  <c r="Q98" i="39"/>
  <c r="P98" i="39"/>
  <c r="Q97" i="39"/>
  <c r="P97" i="39"/>
  <c r="Q96" i="39"/>
  <c r="P96" i="39"/>
  <c r="Q95" i="39"/>
  <c r="P95" i="39"/>
  <c r="Q94" i="39"/>
  <c r="P94" i="39"/>
  <c r="Q93" i="39"/>
  <c r="P93" i="39"/>
  <c r="Q92" i="39"/>
  <c r="P92" i="39"/>
  <c r="Q91" i="39"/>
  <c r="P91" i="39"/>
  <c r="Q90" i="39"/>
  <c r="P90" i="39"/>
  <c r="Q89" i="39"/>
  <c r="P89" i="39"/>
  <c r="Q88" i="39"/>
  <c r="P88" i="39"/>
  <c r="Q87" i="39"/>
  <c r="P87" i="39"/>
  <c r="Q86" i="39"/>
  <c r="P86" i="39"/>
  <c r="Q85" i="39"/>
  <c r="P85" i="39"/>
  <c r="Q83" i="39"/>
  <c r="P83" i="39"/>
  <c r="Q82" i="39"/>
  <c r="P82" i="39"/>
  <c r="Q81" i="39"/>
  <c r="P81" i="39"/>
  <c r="Q80" i="39"/>
  <c r="P80" i="39"/>
  <c r="Q79" i="39"/>
  <c r="P79" i="39"/>
  <c r="Q78" i="39"/>
  <c r="P78" i="39"/>
  <c r="Q77" i="39"/>
  <c r="P77" i="39"/>
  <c r="Q76" i="39"/>
  <c r="P76" i="39"/>
  <c r="Q75" i="39"/>
  <c r="P75" i="39"/>
  <c r="Q74" i="39"/>
  <c r="P74" i="39"/>
  <c r="Q73" i="39"/>
  <c r="P73" i="39"/>
  <c r="Q72" i="39"/>
  <c r="P72" i="39"/>
  <c r="Q71" i="39"/>
  <c r="P71" i="39"/>
  <c r="Q70" i="39"/>
  <c r="P70" i="39"/>
  <c r="Q69" i="39"/>
  <c r="P69" i="39"/>
  <c r="Q68" i="39"/>
  <c r="P68" i="39"/>
  <c r="Q67" i="39"/>
  <c r="P67" i="39"/>
  <c r="Q66" i="39"/>
  <c r="P66" i="39"/>
  <c r="Q65" i="39"/>
  <c r="P65" i="39"/>
  <c r="Q64" i="39"/>
  <c r="P64" i="39"/>
  <c r="Q63" i="39"/>
  <c r="P63" i="39"/>
  <c r="Q62" i="39"/>
  <c r="P62" i="39"/>
  <c r="Q61" i="39"/>
  <c r="P61" i="39"/>
  <c r="Q60" i="39"/>
  <c r="P60" i="39"/>
  <c r="Q59" i="39"/>
  <c r="P59" i="39"/>
  <c r="Q58" i="39"/>
  <c r="P58" i="39"/>
  <c r="Q57" i="39"/>
  <c r="P57" i="39"/>
  <c r="Q56" i="39"/>
  <c r="P56" i="39"/>
  <c r="Q55" i="39"/>
  <c r="P55" i="39"/>
  <c r="Q54" i="39"/>
  <c r="P54" i="39"/>
  <c r="Q53" i="39"/>
  <c r="P53" i="39"/>
  <c r="Q52" i="39"/>
  <c r="P52" i="39"/>
  <c r="Q51" i="39"/>
  <c r="P51" i="39"/>
  <c r="Q50" i="39"/>
  <c r="P50" i="39"/>
  <c r="Q49" i="39"/>
  <c r="P49" i="39"/>
  <c r="Q48" i="39"/>
  <c r="P48" i="39"/>
  <c r="Q47" i="39"/>
  <c r="P47" i="39"/>
  <c r="Q46" i="39"/>
  <c r="P46" i="39"/>
  <c r="Q45" i="39"/>
  <c r="P45" i="39"/>
  <c r="Q44" i="39"/>
  <c r="P44" i="39"/>
  <c r="Q43" i="39"/>
  <c r="P43" i="39"/>
  <c r="Q42" i="39"/>
  <c r="P42" i="39"/>
  <c r="Q41" i="39"/>
  <c r="P41" i="39"/>
  <c r="Q40" i="39"/>
  <c r="P40" i="39"/>
  <c r="Q39" i="39"/>
  <c r="P39" i="39"/>
  <c r="Q38" i="39"/>
  <c r="P38" i="39"/>
  <c r="Q37" i="39"/>
  <c r="P37" i="39"/>
  <c r="Q36" i="39"/>
  <c r="P36" i="39"/>
  <c r="Q34" i="39"/>
  <c r="P34" i="39"/>
  <c r="Q33" i="39"/>
  <c r="P33" i="39"/>
  <c r="Q32" i="39"/>
  <c r="P32" i="39"/>
  <c r="Q31" i="39"/>
  <c r="P31" i="39"/>
  <c r="Q30" i="39"/>
  <c r="P30" i="39"/>
  <c r="Q29" i="39"/>
  <c r="P29" i="39"/>
  <c r="Q28" i="39"/>
  <c r="P28" i="39"/>
  <c r="Q27" i="39"/>
  <c r="P27" i="39"/>
  <c r="Q26" i="39"/>
  <c r="P26" i="39"/>
  <c r="Q25" i="39"/>
  <c r="P25" i="39"/>
  <c r="Q24" i="39"/>
  <c r="P24" i="39"/>
  <c r="Q23" i="39"/>
  <c r="P23" i="39"/>
  <c r="Q22" i="39"/>
  <c r="P22" i="39"/>
  <c r="Q21" i="39"/>
  <c r="P21" i="39"/>
  <c r="Q20" i="39"/>
  <c r="P20" i="39"/>
  <c r="Q19" i="39"/>
  <c r="P19" i="39"/>
  <c r="Q18" i="39"/>
  <c r="P18" i="39"/>
  <c r="Q17" i="39"/>
  <c r="P17" i="39"/>
  <c r="Q16" i="39"/>
  <c r="P16" i="39"/>
  <c r="Q15" i="39"/>
  <c r="P15" i="39"/>
  <c r="Q14" i="39"/>
  <c r="P14" i="39"/>
  <c r="Q13" i="39"/>
  <c r="P13" i="39"/>
  <c r="Q12" i="39"/>
  <c r="P12" i="39"/>
  <c r="Q10" i="39"/>
  <c r="P10" i="39"/>
  <c r="Q9" i="39"/>
  <c r="P9" i="39"/>
  <c r="Q8" i="39"/>
  <c r="P8" i="39"/>
  <c r="Q7" i="39"/>
  <c r="P7" i="39"/>
  <c r="Q6" i="39"/>
  <c r="P6" i="39"/>
  <c r="N136" i="39"/>
  <c r="N137" i="39"/>
  <c r="N138" i="39"/>
  <c r="N135" i="39"/>
  <c r="J12" i="34" l="1"/>
  <c r="N12" i="34"/>
  <c r="R12" i="34"/>
  <c r="V12" i="34"/>
  <c r="Z12" i="34"/>
  <c r="AD12" i="34"/>
  <c r="AH12" i="34"/>
  <c r="AL12" i="34"/>
  <c r="AP12" i="34"/>
  <c r="AT12" i="34"/>
  <c r="AX12" i="34"/>
  <c r="BB12" i="34"/>
  <c r="BF12" i="34"/>
  <c r="BJ12" i="34"/>
  <c r="BN12" i="34"/>
  <c r="K12" i="34"/>
  <c r="O12" i="34"/>
  <c r="S12" i="34"/>
  <c r="W12" i="34"/>
  <c r="AA12" i="34"/>
  <c r="AE12" i="34"/>
  <c r="AI12" i="34"/>
  <c r="AM12" i="34"/>
  <c r="AQ12" i="34"/>
  <c r="AU12" i="34"/>
  <c r="AY12" i="34"/>
  <c r="BC12" i="34"/>
  <c r="BG12" i="34"/>
  <c r="BK12" i="34"/>
  <c r="BO12" i="34"/>
  <c r="L12" i="34"/>
  <c r="P12" i="34"/>
  <c r="T12" i="34"/>
  <c r="X12" i="34"/>
  <c r="AB12" i="34"/>
  <c r="AF12" i="34"/>
  <c r="AJ12" i="34"/>
  <c r="AN12" i="34"/>
  <c r="AR12" i="34"/>
  <c r="AV12" i="34"/>
  <c r="AZ12" i="34"/>
  <c r="BD12" i="34"/>
  <c r="BH12" i="34"/>
  <c r="BL12" i="34"/>
  <c r="BP12" i="34"/>
  <c r="M12" i="34"/>
  <c r="Q12" i="34"/>
  <c r="U12" i="34"/>
  <c r="Y12" i="34"/>
  <c r="AC12" i="34"/>
  <c r="AG12" i="34"/>
  <c r="AK12" i="34"/>
  <c r="AO12" i="34"/>
  <c r="AS12" i="34"/>
  <c r="AW12" i="34"/>
  <c r="BA12" i="34"/>
  <c r="BE12" i="34"/>
  <c r="BI12" i="34"/>
  <c r="BM12" i="34"/>
  <c r="I12" i="34"/>
  <c r="H12" i="34"/>
  <c r="K21" i="34"/>
  <c r="J21" i="34"/>
  <c r="O21" i="34"/>
  <c r="S21" i="34"/>
  <c r="W21" i="34"/>
  <c r="AA21" i="34"/>
  <c r="AE21" i="34"/>
  <c r="AI21" i="34"/>
  <c r="L21" i="34"/>
  <c r="P21" i="34"/>
  <c r="T21" i="34"/>
  <c r="X21" i="34"/>
  <c r="AB21" i="34"/>
  <c r="AF21" i="34"/>
  <c r="M21" i="34"/>
  <c r="Q21" i="34"/>
  <c r="U21" i="34"/>
  <c r="Y21" i="34"/>
  <c r="AC21" i="34"/>
  <c r="AG21" i="34"/>
  <c r="N21" i="34"/>
  <c r="R21" i="34"/>
  <c r="V21" i="34"/>
  <c r="Z21" i="34"/>
  <c r="AD21" i="34"/>
  <c r="AH21" i="34"/>
  <c r="I21" i="34"/>
  <c r="H21" i="34"/>
  <c r="J33" i="34"/>
  <c r="N33" i="34"/>
  <c r="R33" i="34"/>
  <c r="V33" i="34"/>
  <c r="Z33" i="34"/>
  <c r="K33" i="34"/>
  <c r="O33" i="34"/>
  <c r="S33" i="34"/>
  <c r="W33" i="34"/>
  <c r="AA33" i="34"/>
  <c r="L33" i="34"/>
  <c r="P33" i="34"/>
  <c r="T33" i="34"/>
  <c r="X33" i="34"/>
  <c r="AB33" i="34"/>
  <c r="M33" i="34"/>
  <c r="Q33" i="34"/>
  <c r="U33" i="34"/>
  <c r="Y33" i="34"/>
  <c r="AC33" i="34"/>
  <c r="I33" i="34"/>
  <c r="H33" i="34"/>
  <c r="J8" i="34"/>
  <c r="N8" i="34"/>
  <c r="R8" i="34"/>
  <c r="V8" i="34"/>
  <c r="Z8" i="34"/>
  <c r="AD8" i="34"/>
  <c r="AH8" i="34"/>
  <c r="AL8" i="34"/>
  <c r="AP8" i="34"/>
  <c r="AT8" i="34"/>
  <c r="AX8" i="34"/>
  <c r="BB8" i="34"/>
  <c r="BF8" i="34"/>
  <c r="BJ8" i="34"/>
  <c r="BN8" i="34"/>
  <c r="K8" i="34"/>
  <c r="O8" i="34"/>
  <c r="S8" i="34"/>
  <c r="W8" i="34"/>
  <c r="AA8" i="34"/>
  <c r="AE8" i="34"/>
  <c r="AI8" i="34"/>
  <c r="AM8" i="34"/>
  <c r="AQ8" i="34"/>
  <c r="AU8" i="34"/>
  <c r="AY8" i="34"/>
  <c r="BC8" i="34"/>
  <c r="BG8" i="34"/>
  <c r="BK8" i="34"/>
  <c r="BO8" i="34"/>
  <c r="L8" i="34"/>
  <c r="P8" i="34"/>
  <c r="T8" i="34"/>
  <c r="X8" i="34"/>
  <c r="AB8" i="34"/>
  <c r="AF8" i="34"/>
  <c r="AJ8" i="34"/>
  <c r="AN8" i="34"/>
  <c r="AR8" i="34"/>
  <c r="AV8" i="34"/>
  <c r="AZ8" i="34"/>
  <c r="BD8" i="34"/>
  <c r="BH8" i="34"/>
  <c r="BL8" i="34"/>
  <c r="BP8" i="34"/>
  <c r="M8" i="34"/>
  <c r="Q8" i="34"/>
  <c r="U8" i="34"/>
  <c r="Y8" i="34"/>
  <c r="AC8" i="34"/>
  <c r="AG8" i="34"/>
  <c r="AK8" i="34"/>
  <c r="AO8" i="34"/>
  <c r="AS8" i="34"/>
  <c r="AW8" i="34"/>
  <c r="BA8" i="34"/>
  <c r="BE8" i="34"/>
  <c r="BI8" i="34"/>
  <c r="BM8" i="34"/>
  <c r="I8" i="34"/>
  <c r="H8" i="34"/>
  <c r="K13" i="34"/>
  <c r="O13" i="34"/>
  <c r="S13" i="34"/>
  <c r="W13" i="34"/>
  <c r="AA13" i="34"/>
  <c r="AE13" i="34"/>
  <c r="AI13" i="34"/>
  <c r="AM13" i="34"/>
  <c r="AQ13" i="34"/>
  <c r="AU13" i="34"/>
  <c r="AY13" i="34"/>
  <c r="BC13" i="34"/>
  <c r="BG13" i="34"/>
  <c r="BK13" i="34"/>
  <c r="BO13" i="34"/>
  <c r="L13" i="34"/>
  <c r="P13" i="34"/>
  <c r="T13" i="34"/>
  <c r="X13" i="34"/>
  <c r="AB13" i="34"/>
  <c r="AF13" i="34"/>
  <c r="AJ13" i="34"/>
  <c r="AN13" i="34"/>
  <c r="AR13" i="34"/>
  <c r="AV13" i="34"/>
  <c r="AZ13" i="34"/>
  <c r="BD13" i="34"/>
  <c r="BH13" i="34"/>
  <c r="BL13" i="34"/>
  <c r="BP13" i="34"/>
  <c r="M13" i="34"/>
  <c r="Q13" i="34"/>
  <c r="U13" i="34"/>
  <c r="Y13" i="34"/>
  <c r="AC13" i="34"/>
  <c r="AG13" i="34"/>
  <c r="AK13" i="34"/>
  <c r="AO13" i="34"/>
  <c r="AS13" i="34"/>
  <c r="AW13" i="34"/>
  <c r="BA13" i="34"/>
  <c r="BE13" i="34"/>
  <c r="BI13" i="34"/>
  <c r="BM13" i="34"/>
  <c r="J13" i="34"/>
  <c r="N13" i="34"/>
  <c r="R13" i="34"/>
  <c r="V13" i="34"/>
  <c r="Z13" i="34"/>
  <c r="AD13" i="34"/>
  <c r="AH13" i="34"/>
  <c r="AL13" i="34"/>
  <c r="AP13" i="34"/>
  <c r="AT13" i="34"/>
  <c r="AX13" i="34"/>
  <c r="BB13" i="34"/>
  <c r="BF13" i="34"/>
  <c r="BJ13" i="34"/>
  <c r="BN13" i="34"/>
  <c r="I13" i="34"/>
  <c r="H13" i="34"/>
  <c r="K19" i="34"/>
  <c r="O19" i="34"/>
  <c r="S19" i="34"/>
  <c r="W19" i="34"/>
  <c r="AA19" i="34"/>
  <c r="L19" i="34"/>
  <c r="P19" i="34"/>
  <c r="T19" i="34"/>
  <c r="X19" i="34"/>
  <c r="AB19" i="34"/>
  <c r="M19" i="34"/>
  <c r="Q19" i="34"/>
  <c r="U19" i="34"/>
  <c r="Y19" i="34"/>
  <c r="AC19" i="34"/>
  <c r="J19" i="34"/>
  <c r="N19" i="34"/>
  <c r="R19" i="34"/>
  <c r="V19" i="34"/>
  <c r="Z19" i="34"/>
  <c r="I19" i="34"/>
  <c r="H19" i="34"/>
  <c r="L22" i="34"/>
  <c r="P22" i="34"/>
  <c r="T22" i="34"/>
  <c r="X22" i="34"/>
  <c r="AB22" i="34"/>
  <c r="AF22" i="34"/>
  <c r="AJ22" i="34"/>
  <c r="AN22" i="34"/>
  <c r="AR22" i="34"/>
  <c r="AV22" i="34"/>
  <c r="AZ22" i="34"/>
  <c r="BD22" i="34"/>
  <c r="BH22" i="34"/>
  <c r="BL22" i="34"/>
  <c r="BP22" i="34"/>
  <c r="M22" i="34"/>
  <c r="Q22" i="34"/>
  <c r="U22" i="34"/>
  <c r="Y22" i="34"/>
  <c r="AC22" i="34"/>
  <c r="AG22" i="34"/>
  <c r="AK22" i="34"/>
  <c r="AO22" i="34"/>
  <c r="AS22" i="34"/>
  <c r="AW22" i="34"/>
  <c r="BA22" i="34"/>
  <c r="BE22" i="34"/>
  <c r="BI22" i="34"/>
  <c r="BM22" i="34"/>
  <c r="J22" i="34"/>
  <c r="N22" i="34"/>
  <c r="R22" i="34"/>
  <c r="V22" i="34"/>
  <c r="Z22" i="34"/>
  <c r="AD22" i="34"/>
  <c r="AH22" i="34"/>
  <c r="AL22" i="34"/>
  <c r="AP22" i="34"/>
  <c r="AT22" i="34"/>
  <c r="AX22" i="34"/>
  <c r="BB22" i="34"/>
  <c r="BF22" i="34"/>
  <c r="BJ22" i="34"/>
  <c r="BN22" i="34"/>
  <c r="K22" i="34"/>
  <c r="O22" i="34"/>
  <c r="S22" i="34"/>
  <c r="W22" i="34"/>
  <c r="AA22" i="34"/>
  <c r="AE22" i="34"/>
  <c r="AI22" i="34"/>
  <c r="AM22" i="34"/>
  <c r="AQ22" i="34"/>
  <c r="AU22" i="34"/>
  <c r="AY22" i="34"/>
  <c r="BC22" i="34"/>
  <c r="BG22" i="34"/>
  <c r="BK22" i="34"/>
  <c r="BO22" i="34"/>
  <c r="I22" i="34"/>
  <c r="H22" i="34"/>
  <c r="L26" i="34"/>
  <c r="P26" i="34"/>
  <c r="T26" i="34"/>
  <c r="X26" i="34"/>
  <c r="AB26" i="34"/>
  <c r="AF26" i="34"/>
  <c r="AJ26" i="34"/>
  <c r="AN26" i="34"/>
  <c r="AR26" i="34"/>
  <c r="AV26" i="34"/>
  <c r="AZ26" i="34"/>
  <c r="BD26" i="34"/>
  <c r="BH26" i="34"/>
  <c r="BL26" i="34"/>
  <c r="BP26" i="34"/>
  <c r="M26" i="34"/>
  <c r="Q26" i="34"/>
  <c r="U26" i="34"/>
  <c r="Y26" i="34"/>
  <c r="AC26" i="34"/>
  <c r="AG26" i="34"/>
  <c r="AK26" i="34"/>
  <c r="AO26" i="34"/>
  <c r="AS26" i="34"/>
  <c r="AW26" i="34"/>
  <c r="BA26" i="34"/>
  <c r="BE26" i="34"/>
  <c r="BI26" i="34"/>
  <c r="BM26" i="34"/>
  <c r="J26" i="34"/>
  <c r="N26" i="34"/>
  <c r="R26" i="34"/>
  <c r="V26" i="34"/>
  <c r="Z26" i="34"/>
  <c r="AD26" i="34"/>
  <c r="AH26" i="34"/>
  <c r="AL26" i="34"/>
  <c r="AP26" i="34"/>
  <c r="AT26" i="34"/>
  <c r="AX26" i="34"/>
  <c r="BB26" i="34"/>
  <c r="BF26" i="34"/>
  <c r="BJ26" i="34"/>
  <c r="BN26" i="34"/>
  <c r="K26" i="34"/>
  <c r="O26" i="34"/>
  <c r="S26" i="34"/>
  <c r="W26" i="34"/>
  <c r="AA26" i="34"/>
  <c r="AE26" i="34"/>
  <c r="AI26" i="34"/>
  <c r="AM26" i="34"/>
  <c r="AQ26" i="34"/>
  <c r="AU26" i="34"/>
  <c r="AY26" i="34"/>
  <c r="BC26" i="34"/>
  <c r="BG26" i="34"/>
  <c r="BK26" i="34"/>
  <c r="BO26" i="34"/>
  <c r="H26" i="34"/>
  <c r="I26" i="34"/>
  <c r="L30" i="34"/>
  <c r="P30" i="34"/>
  <c r="T30" i="34"/>
  <c r="X30" i="34"/>
  <c r="AB30" i="34"/>
  <c r="AF30" i="34"/>
  <c r="M30" i="34"/>
  <c r="Q30" i="34"/>
  <c r="U30" i="34"/>
  <c r="Y30" i="34"/>
  <c r="AC30" i="34"/>
  <c r="AG30" i="34"/>
  <c r="J30" i="34"/>
  <c r="N30" i="34"/>
  <c r="R30" i="34"/>
  <c r="V30" i="34"/>
  <c r="Z30" i="34"/>
  <c r="AD30" i="34"/>
  <c r="AH30" i="34"/>
  <c r="K30" i="34"/>
  <c r="O30" i="34"/>
  <c r="S30" i="34"/>
  <c r="W30" i="34"/>
  <c r="AA30" i="34"/>
  <c r="AE30" i="34"/>
  <c r="AI30" i="34"/>
  <c r="I30" i="34"/>
  <c r="H30" i="34"/>
  <c r="K34" i="34"/>
  <c r="O34" i="34"/>
  <c r="S34" i="34"/>
  <c r="W34" i="34"/>
  <c r="AA34" i="34"/>
  <c r="L34" i="34"/>
  <c r="P34" i="34"/>
  <c r="T34" i="34"/>
  <c r="X34" i="34"/>
  <c r="AB34" i="34"/>
  <c r="M34" i="34"/>
  <c r="Q34" i="34"/>
  <c r="U34" i="34"/>
  <c r="Y34" i="34"/>
  <c r="AC34" i="34"/>
  <c r="J34" i="34"/>
  <c r="N34" i="34"/>
  <c r="R34" i="34"/>
  <c r="V34" i="34"/>
  <c r="Z34" i="34"/>
  <c r="H34" i="34"/>
  <c r="I34" i="34"/>
  <c r="L39" i="34"/>
  <c r="P39" i="34"/>
  <c r="T39" i="34"/>
  <c r="X39" i="34"/>
  <c r="AB39" i="34"/>
  <c r="AF39" i="34"/>
  <c r="M39" i="34"/>
  <c r="Q39" i="34"/>
  <c r="U39" i="34"/>
  <c r="Y39" i="34"/>
  <c r="AC39" i="34"/>
  <c r="AG39" i="34"/>
  <c r="J39" i="34"/>
  <c r="N39" i="34"/>
  <c r="R39" i="34"/>
  <c r="V39" i="34"/>
  <c r="Z39" i="34"/>
  <c r="AD39" i="34"/>
  <c r="AH39" i="34"/>
  <c r="K39" i="34"/>
  <c r="O39" i="34"/>
  <c r="S39" i="34"/>
  <c r="W39" i="34"/>
  <c r="AA39" i="34"/>
  <c r="AE39" i="34"/>
  <c r="I39" i="34"/>
  <c r="H39" i="34"/>
  <c r="L43" i="34"/>
  <c r="P43" i="34"/>
  <c r="T43" i="34"/>
  <c r="X43" i="34"/>
  <c r="AB43" i="34"/>
  <c r="K43" i="34"/>
  <c r="O43" i="34"/>
  <c r="S43" i="34"/>
  <c r="W43" i="34"/>
  <c r="AA43" i="34"/>
  <c r="M43" i="34"/>
  <c r="U43" i="34"/>
  <c r="AC43" i="34"/>
  <c r="N43" i="34"/>
  <c r="V43" i="34"/>
  <c r="Q43" i="34"/>
  <c r="Y43" i="34"/>
  <c r="J43" i="34"/>
  <c r="R43" i="34"/>
  <c r="Z43" i="34"/>
  <c r="I43" i="34"/>
  <c r="H43" i="34"/>
  <c r="L47" i="34"/>
  <c r="P47" i="34"/>
  <c r="T47" i="34"/>
  <c r="X47" i="34"/>
  <c r="AB47" i="34"/>
  <c r="AF47" i="34"/>
  <c r="M47" i="34"/>
  <c r="Q47" i="34"/>
  <c r="U47" i="34"/>
  <c r="Y47" i="34"/>
  <c r="AC47" i="34"/>
  <c r="AG47" i="34"/>
  <c r="J47" i="34"/>
  <c r="N47" i="34"/>
  <c r="R47" i="34"/>
  <c r="V47" i="34"/>
  <c r="Z47" i="34"/>
  <c r="AD47" i="34"/>
  <c r="AH47" i="34"/>
  <c r="K47" i="34"/>
  <c r="O47" i="34"/>
  <c r="S47" i="34"/>
  <c r="W47" i="34"/>
  <c r="AA47" i="34"/>
  <c r="AE47" i="34"/>
  <c r="I47" i="34"/>
  <c r="H47" i="34"/>
  <c r="L51" i="34"/>
  <c r="P51" i="34"/>
  <c r="T51" i="34"/>
  <c r="X51" i="34"/>
  <c r="AB51" i="34"/>
  <c r="M51" i="34"/>
  <c r="Q51" i="34"/>
  <c r="U51" i="34"/>
  <c r="Y51" i="34"/>
  <c r="AC51" i="34"/>
  <c r="J51" i="34"/>
  <c r="N51" i="34"/>
  <c r="R51" i="34"/>
  <c r="V51" i="34"/>
  <c r="Z51" i="34"/>
  <c r="K51" i="34"/>
  <c r="O51" i="34"/>
  <c r="S51" i="34"/>
  <c r="W51" i="34"/>
  <c r="AA51" i="34"/>
  <c r="I51" i="34"/>
  <c r="H51" i="34"/>
  <c r="J4" i="34"/>
  <c r="N4" i="34"/>
  <c r="R4" i="34"/>
  <c r="V4" i="34"/>
  <c r="Z4" i="34"/>
  <c r="K4" i="34"/>
  <c r="O4" i="34"/>
  <c r="S4" i="34"/>
  <c r="W4" i="34"/>
  <c r="AA4" i="34"/>
  <c r="L4" i="34"/>
  <c r="P4" i="34"/>
  <c r="T4" i="34"/>
  <c r="X4" i="34"/>
  <c r="AB4" i="34"/>
  <c r="M4" i="34"/>
  <c r="Q4" i="34"/>
  <c r="U4" i="34"/>
  <c r="Y4" i="34"/>
  <c r="AC4" i="34"/>
  <c r="I4" i="34"/>
  <c r="H4" i="34"/>
  <c r="L10" i="34"/>
  <c r="P10" i="34"/>
  <c r="T10" i="34"/>
  <c r="X10" i="34"/>
  <c r="AB10" i="34"/>
  <c r="M10" i="34"/>
  <c r="Q10" i="34"/>
  <c r="U10" i="34"/>
  <c r="Y10" i="34"/>
  <c r="AC10" i="34"/>
  <c r="J10" i="34"/>
  <c r="N10" i="34"/>
  <c r="R10" i="34"/>
  <c r="V10" i="34"/>
  <c r="Z10" i="34"/>
  <c r="K10" i="34"/>
  <c r="O10" i="34"/>
  <c r="S10" i="34"/>
  <c r="W10" i="34"/>
  <c r="AA10" i="34"/>
  <c r="H10" i="34"/>
  <c r="I10" i="34"/>
  <c r="L16" i="34"/>
  <c r="P16" i="34"/>
  <c r="T16" i="34"/>
  <c r="X16" i="34"/>
  <c r="AB16" i="34"/>
  <c r="AF16" i="34"/>
  <c r="M16" i="34"/>
  <c r="Q16" i="34"/>
  <c r="U16" i="34"/>
  <c r="Y16" i="34"/>
  <c r="AC16" i="34"/>
  <c r="AG16" i="34"/>
  <c r="J16" i="34"/>
  <c r="N16" i="34"/>
  <c r="R16" i="34"/>
  <c r="V16" i="34"/>
  <c r="Z16" i="34"/>
  <c r="AD16" i="34"/>
  <c r="AH16" i="34"/>
  <c r="K16" i="34"/>
  <c r="O16" i="34"/>
  <c r="S16" i="34"/>
  <c r="W16" i="34"/>
  <c r="AA16" i="34"/>
  <c r="AE16" i="34"/>
  <c r="AI16" i="34"/>
  <c r="I16" i="34"/>
  <c r="H16" i="34"/>
  <c r="J20" i="34"/>
  <c r="N20" i="34"/>
  <c r="R20" i="34"/>
  <c r="V20" i="34"/>
  <c r="Z20" i="34"/>
  <c r="K20" i="34"/>
  <c r="O20" i="34"/>
  <c r="S20" i="34"/>
  <c r="W20" i="34"/>
  <c r="AA20" i="34"/>
  <c r="M20" i="34"/>
  <c r="U20" i="34"/>
  <c r="AC20" i="34"/>
  <c r="P20" i="34"/>
  <c r="X20" i="34"/>
  <c r="Q20" i="34"/>
  <c r="Y20" i="34"/>
  <c r="L20" i="34"/>
  <c r="T20" i="34"/>
  <c r="AB20" i="34"/>
  <c r="I20" i="34"/>
  <c r="H20" i="34"/>
  <c r="M23" i="34"/>
  <c r="Q23" i="34"/>
  <c r="U23" i="34"/>
  <c r="Y23" i="34"/>
  <c r="AC23" i="34"/>
  <c r="AG23" i="34"/>
  <c r="AK23" i="34"/>
  <c r="AO23" i="34"/>
  <c r="AS23" i="34"/>
  <c r="AW23" i="34"/>
  <c r="BA23" i="34"/>
  <c r="BE23" i="34"/>
  <c r="BI23" i="34"/>
  <c r="BM23" i="34"/>
  <c r="J23" i="34"/>
  <c r="N23" i="34"/>
  <c r="R23" i="34"/>
  <c r="V23" i="34"/>
  <c r="Z23" i="34"/>
  <c r="AD23" i="34"/>
  <c r="AH23" i="34"/>
  <c r="AL23" i="34"/>
  <c r="AP23" i="34"/>
  <c r="AT23" i="34"/>
  <c r="AX23" i="34"/>
  <c r="BB23" i="34"/>
  <c r="BF23" i="34"/>
  <c r="BJ23" i="34"/>
  <c r="BN23" i="34"/>
  <c r="K23" i="34"/>
  <c r="O23" i="34"/>
  <c r="S23" i="34"/>
  <c r="W23" i="34"/>
  <c r="AA23" i="34"/>
  <c r="AE23" i="34"/>
  <c r="AI23" i="34"/>
  <c r="AM23" i="34"/>
  <c r="AQ23" i="34"/>
  <c r="AU23" i="34"/>
  <c r="AY23" i="34"/>
  <c r="BC23" i="34"/>
  <c r="BG23" i="34"/>
  <c r="BK23" i="34"/>
  <c r="BO23" i="34"/>
  <c r="L23" i="34"/>
  <c r="P23" i="34"/>
  <c r="T23" i="34"/>
  <c r="X23" i="34"/>
  <c r="AB23" i="34"/>
  <c r="AF23" i="34"/>
  <c r="AN23" i="34"/>
  <c r="AR23" i="34"/>
  <c r="AV23" i="34"/>
  <c r="AZ23" i="34"/>
  <c r="BD23" i="34"/>
  <c r="BH23" i="34"/>
  <c r="BL23" i="34"/>
  <c r="BP23" i="34"/>
  <c r="I23" i="34"/>
  <c r="H23" i="34"/>
  <c r="M27" i="34"/>
  <c r="Q27" i="34"/>
  <c r="U27" i="34"/>
  <c r="Y27" i="34"/>
  <c r="AC27" i="34"/>
  <c r="AG27" i="34"/>
  <c r="AK27" i="34"/>
  <c r="AO27" i="34"/>
  <c r="AS27" i="34"/>
  <c r="AW27" i="34"/>
  <c r="BA27" i="34"/>
  <c r="BE27" i="34"/>
  <c r="BI27" i="34"/>
  <c r="BM27" i="34"/>
  <c r="J27" i="34"/>
  <c r="N27" i="34"/>
  <c r="R27" i="34"/>
  <c r="V27" i="34"/>
  <c r="Z27" i="34"/>
  <c r="AD27" i="34"/>
  <c r="AH27" i="34"/>
  <c r="AL27" i="34"/>
  <c r="AP27" i="34"/>
  <c r="AT27" i="34"/>
  <c r="AX27" i="34"/>
  <c r="BB27" i="34"/>
  <c r="BF27" i="34"/>
  <c r="BJ27" i="34"/>
  <c r="BN27" i="34"/>
  <c r="K27" i="34"/>
  <c r="O27" i="34"/>
  <c r="S27" i="34"/>
  <c r="W27" i="34"/>
  <c r="AA27" i="34"/>
  <c r="AE27" i="34"/>
  <c r="AI27" i="34"/>
  <c r="AM27" i="34"/>
  <c r="AQ27" i="34"/>
  <c r="AU27" i="34"/>
  <c r="AY27" i="34"/>
  <c r="BC27" i="34"/>
  <c r="BG27" i="34"/>
  <c r="BK27" i="34"/>
  <c r="BO27" i="34"/>
  <c r="L27" i="34"/>
  <c r="P27" i="34"/>
  <c r="T27" i="34"/>
  <c r="X27" i="34"/>
  <c r="AB27" i="34"/>
  <c r="AF27" i="34"/>
  <c r="AJ27" i="34"/>
  <c r="AN27" i="34"/>
  <c r="AR27" i="34"/>
  <c r="AV27" i="34"/>
  <c r="AZ27" i="34"/>
  <c r="BD27" i="34"/>
  <c r="BH27" i="34"/>
  <c r="BL27" i="34"/>
  <c r="BP27" i="34"/>
  <c r="I27" i="34"/>
  <c r="H27" i="34"/>
  <c r="M31" i="34"/>
  <c r="Q31" i="34"/>
  <c r="U31" i="34"/>
  <c r="Y31" i="34"/>
  <c r="AC31" i="34"/>
  <c r="AG31" i="34"/>
  <c r="J31" i="34"/>
  <c r="N31" i="34"/>
  <c r="R31" i="34"/>
  <c r="V31" i="34"/>
  <c r="Z31" i="34"/>
  <c r="AD31" i="34"/>
  <c r="AH31" i="34"/>
  <c r="K31" i="34"/>
  <c r="O31" i="34"/>
  <c r="S31" i="34"/>
  <c r="W31" i="34"/>
  <c r="AA31" i="34"/>
  <c r="AE31" i="34"/>
  <c r="AI31" i="34"/>
  <c r="L31" i="34"/>
  <c r="P31" i="34"/>
  <c r="T31" i="34"/>
  <c r="X31" i="34"/>
  <c r="AB31" i="34"/>
  <c r="AF31" i="34"/>
  <c r="I31" i="34"/>
  <c r="H31" i="34"/>
  <c r="L35" i="34"/>
  <c r="P35" i="34"/>
  <c r="T35" i="34"/>
  <c r="X35" i="34"/>
  <c r="AB35" i="34"/>
  <c r="M35" i="34"/>
  <c r="Q35" i="34"/>
  <c r="U35" i="34"/>
  <c r="Y35" i="34"/>
  <c r="AC35" i="34"/>
  <c r="J35" i="34"/>
  <c r="N35" i="34"/>
  <c r="R35" i="34"/>
  <c r="V35" i="34"/>
  <c r="Z35" i="34"/>
  <c r="K35" i="34"/>
  <c r="O35" i="34"/>
  <c r="S35" i="34"/>
  <c r="W35" i="34"/>
  <c r="AA35" i="34"/>
  <c r="H35" i="34"/>
  <c r="I35" i="34"/>
  <c r="M36" i="34"/>
  <c r="Q36" i="34"/>
  <c r="U36" i="34"/>
  <c r="Y36" i="34"/>
  <c r="AC36" i="34"/>
  <c r="J36" i="34"/>
  <c r="N36" i="34"/>
  <c r="R36" i="34"/>
  <c r="V36" i="34"/>
  <c r="Z36" i="34"/>
  <c r="K36" i="34"/>
  <c r="O36" i="34"/>
  <c r="S36" i="34"/>
  <c r="W36" i="34"/>
  <c r="AA36" i="34"/>
  <c r="L36" i="34"/>
  <c r="P36" i="34"/>
  <c r="T36" i="34"/>
  <c r="X36" i="34"/>
  <c r="AB36" i="34"/>
  <c r="I36" i="34"/>
  <c r="H36" i="34"/>
  <c r="M40" i="34"/>
  <c r="Q40" i="34"/>
  <c r="U40" i="34"/>
  <c r="Y40" i="34"/>
  <c r="AC40" i="34"/>
  <c r="AG40" i="34"/>
  <c r="J40" i="34"/>
  <c r="N40" i="34"/>
  <c r="R40" i="34"/>
  <c r="V40" i="34"/>
  <c r="Z40" i="34"/>
  <c r="AD40" i="34"/>
  <c r="AH40" i="34"/>
  <c r="K40" i="34"/>
  <c r="O40" i="34"/>
  <c r="S40" i="34"/>
  <c r="W40" i="34"/>
  <c r="AA40" i="34"/>
  <c r="AE40" i="34"/>
  <c r="L40" i="34"/>
  <c r="P40" i="34"/>
  <c r="T40" i="34"/>
  <c r="X40" i="34"/>
  <c r="AB40" i="34"/>
  <c r="AF40" i="34"/>
  <c r="H40" i="34"/>
  <c r="I40" i="34"/>
  <c r="M44" i="34"/>
  <c r="Q44" i="34"/>
  <c r="U44" i="34"/>
  <c r="Y44" i="34"/>
  <c r="AC44" i="34"/>
  <c r="AG44" i="34"/>
  <c r="J44" i="34"/>
  <c r="N44" i="34"/>
  <c r="R44" i="34"/>
  <c r="V44" i="34"/>
  <c r="Z44" i="34"/>
  <c r="AD44" i="34"/>
  <c r="AH44" i="34"/>
  <c r="K44" i="34"/>
  <c r="O44" i="34"/>
  <c r="S44" i="34"/>
  <c r="W44" i="34"/>
  <c r="AA44" i="34"/>
  <c r="AE44" i="34"/>
  <c r="L44" i="34"/>
  <c r="P44" i="34"/>
  <c r="T44" i="34"/>
  <c r="X44" i="34"/>
  <c r="AB44" i="34"/>
  <c r="AF44" i="34"/>
  <c r="H44" i="34"/>
  <c r="I44" i="34"/>
  <c r="M48" i="34"/>
  <c r="Q48" i="34"/>
  <c r="U48" i="34"/>
  <c r="Y48" i="34"/>
  <c r="AC48" i="34"/>
  <c r="AG48" i="34"/>
  <c r="J48" i="34"/>
  <c r="N48" i="34"/>
  <c r="R48" i="34"/>
  <c r="V48" i="34"/>
  <c r="Z48" i="34"/>
  <c r="AD48" i="34"/>
  <c r="AH48" i="34"/>
  <c r="K48" i="34"/>
  <c r="O48" i="34"/>
  <c r="S48" i="34"/>
  <c r="W48" i="34"/>
  <c r="AA48" i="34"/>
  <c r="AE48" i="34"/>
  <c r="L48" i="34"/>
  <c r="P48" i="34"/>
  <c r="T48" i="34"/>
  <c r="X48" i="34"/>
  <c r="AB48" i="34"/>
  <c r="AF48" i="34"/>
  <c r="H48" i="34"/>
  <c r="I48" i="34"/>
  <c r="L53" i="34"/>
  <c r="P53" i="34"/>
  <c r="T53" i="34"/>
  <c r="X53" i="34"/>
  <c r="AB53" i="34"/>
  <c r="M53" i="34"/>
  <c r="Q53" i="34"/>
  <c r="U53" i="34"/>
  <c r="Y53" i="34"/>
  <c r="AC53" i="34"/>
  <c r="O53" i="34"/>
  <c r="W53" i="34"/>
  <c r="I53" i="34"/>
  <c r="J53" i="34"/>
  <c r="R53" i="34"/>
  <c r="Z53" i="34"/>
  <c r="H53" i="34"/>
  <c r="K53" i="34"/>
  <c r="S53" i="34"/>
  <c r="AA53" i="34"/>
  <c r="N53" i="34"/>
  <c r="V53" i="34"/>
  <c r="L6" i="34"/>
  <c r="P6" i="34"/>
  <c r="T6" i="34"/>
  <c r="X6" i="34"/>
  <c r="AB6" i="34"/>
  <c r="M6" i="34"/>
  <c r="Q6" i="34"/>
  <c r="U6" i="34"/>
  <c r="Y6" i="34"/>
  <c r="AC6" i="34"/>
  <c r="J6" i="34"/>
  <c r="N6" i="34"/>
  <c r="R6" i="34"/>
  <c r="V6" i="34"/>
  <c r="Z6" i="34"/>
  <c r="K6" i="34"/>
  <c r="O6" i="34"/>
  <c r="S6" i="34"/>
  <c r="W6" i="34"/>
  <c r="AA6" i="34"/>
  <c r="I6" i="34"/>
  <c r="H6" i="34"/>
  <c r="J18" i="34"/>
  <c r="N18" i="34"/>
  <c r="R18" i="34"/>
  <c r="V18" i="34"/>
  <c r="Z18" i="34"/>
  <c r="K18" i="34"/>
  <c r="O18" i="34"/>
  <c r="S18" i="34"/>
  <c r="W18" i="34"/>
  <c r="AA18" i="34"/>
  <c r="L18" i="34"/>
  <c r="P18" i="34"/>
  <c r="T18" i="34"/>
  <c r="X18" i="34"/>
  <c r="AB18" i="34"/>
  <c r="M18" i="34"/>
  <c r="Q18" i="34"/>
  <c r="U18" i="34"/>
  <c r="Y18" i="34"/>
  <c r="AC18" i="34"/>
  <c r="H18" i="34"/>
  <c r="I18" i="34"/>
  <c r="K25" i="34"/>
  <c r="O25" i="34"/>
  <c r="S25" i="34"/>
  <c r="W25" i="34"/>
  <c r="AA25" i="34"/>
  <c r="L25" i="34"/>
  <c r="P25" i="34"/>
  <c r="T25" i="34"/>
  <c r="X25" i="34"/>
  <c r="AB25" i="34"/>
  <c r="M25" i="34"/>
  <c r="Q25" i="34"/>
  <c r="U25" i="34"/>
  <c r="Y25" i="34"/>
  <c r="AC25" i="34"/>
  <c r="J25" i="34"/>
  <c r="N25" i="34"/>
  <c r="R25" i="34"/>
  <c r="V25" i="34"/>
  <c r="Z25" i="34"/>
  <c r="I25" i="34"/>
  <c r="H25" i="34"/>
  <c r="K29" i="34"/>
  <c r="O29" i="34"/>
  <c r="S29" i="34"/>
  <c r="W29" i="34"/>
  <c r="AA29" i="34"/>
  <c r="AE29" i="34"/>
  <c r="AI29" i="34"/>
  <c r="AM29" i="34"/>
  <c r="AQ29" i="34"/>
  <c r="AU29" i="34"/>
  <c r="AY29" i="34"/>
  <c r="BC29" i="34"/>
  <c r="BG29" i="34"/>
  <c r="BK29" i="34"/>
  <c r="BO29" i="34"/>
  <c r="L29" i="34"/>
  <c r="P29" i="34"/>
  <c r="T29" i="34"/>
  <c r="X29" i="34"/>
  <c r="AB29" i="34"/>
  <c r="AF29" i="34"/>
  <c r="AJ29" i="34"/>
  <c r="AN29" i="34"/>
  <c r="AR29" i="34"/>
  <c r="AV29" i="34"/>
  <c r="AZ29" i="34"/>
  <c r="BD29" i="34"/>
  <c r="BH29" i="34"/>
  <c r="BL29" i="34"/>
  <c r="BP29" i="34"/>
  <c r="M29" i="34"/>
  <c r="Q29" i="34"/>
  <c r="U29" i="34"/>
  <c r="Y29" i="34"/>
  <c r="AC29" i="34"/>
  <c r="AG29" i="34"/>
  <c r="AK29" i="34"/>
  <c r="AO29" i="34"/>
  <c r="AS29" i="34"/>
  <c r="AW29" i="34"/>
  <c r="BA29" i="34"/>
  <c r="BE29" i="34"/>
  <c r="BI29" i="34"/>
  <c r="BM29" i="34"/>
  <c r="J29" i="34"/>
  <c r="N29" i="34"/>
  <c r="R29" i="34"/>
  <c r="V29" i="34"/>
  <c r="Z29" i="34"/>
  <c r="AD29" i="34"/>
  <c r="AH29" i="34"/>
  <c r="AL29" i="34"/>
  <c r="AP29" i="34"/>
  <c r="AT29" i="34"/>
  <c r="AX29" i="34"/>
  <c r="BB29" i="34"/>
  <c r="BF29" i="34"/>
  <c r="BJ29" i="34"/>
  <c r="BN29" i="34"/>
  <c r="I29" i="34"/>
  <c r="H29" i="34"/>
  <c r="K38" i="34"/>
  <c r="O38" i="34"/>
  <c r="S38" i="34"/>
  <c r="W38" i="34"/>
  <c r="AA38" i="34"/>
  <c r="L38" i="34"/>
  <c r="P38" i="34"/>
  <c r="T38" i="34"/>
  <c r="X38" i="34"/>
  <c r="AB38" i="34"/>
  <c r="M38" i="34"/>
  <c r="Q38" i="34"/>
  <c r="U38" i="34"/>
  <c r="Y38" i="34"/>
  <c r="AC38" i="34"/>
  <c r="J38" i="34"/>
  <c r="N38" i="34"/>
  <c r="R38" i="34"/>
  <c r="V38" i="34"/>
  <c r="Z38" i="34"/>
  <c r="I38" i="34"/>
  <c r="H38" i="34"/>
  <c r="K42" i="34"/>
  <c r="O42" i="34"/>
  <c r="S42" i="34"/>
  <c r="W42" i="34"/>
  <c r="AA42" i="34"/>
  <c r="L42" i="34"/>
  <c r="P42" i="34"/>
  <c r="T42" i="34"/>
  <c r="X42" i="34"/>
  <c r="AB42" i="34"/>
  <c r="M42" i="34"/>
  <c r="Q42" i="34"/>
  <c r="U42" i="34"/>
  <c r="Y42" i="34"/>
  <c r="AC42" i="34"/>
  <c r="J42" i="34"/>
  <c r="N42" i="34"/>
  <c r="R42" i="34"/>
  <c r="V42" i="34"/>
  <c r="Z42" i="34"/>
  <c r="I42" i="34"/>
  <c r="H42" i="34"/>
  <c r="K46" i="34"/>
  <c r="O46" i="34"/>
  <c r="S46" i="34"/>
  <c r="W46" i="34"/>
  <c r="AA46" i="34"/>
  <c r="AE46" i="34"/>
  <c r="L46" i="34"/>
  <c r="P46" i="34"/>
  <c r="T46" i="34"/>
  <c r="X46" i="34"/>
  <c r="AB46" i="34"/>
  <c r="AF46" i="34"/>
  <c r="M46" i="34"/>
  <c r="Q46" i="34"/>
  <c r="U46" i="34"/>
  <c r="Y46" i="34"/>
  <c r="AC46" i="34"/>
  <c r="AG46" i="34"/>
  <c r="J46" i="34"/>
  <c r="N46" i="34"/>
  <c r="R46" i="34"/>
  <c r="V46" i="34"/>
  <c r="Z46" i="34"/>
  <c r="AD46" i="34"/>
  <c r="AH46" i="34"/>
  <c r="I46" i="34"/>
  <c r="H46" i="34"/>
  <c r="K50" i="34"/>
  <c r="O50" i="34"/>
  <c r="S50" i="34"/>
  <c r="W50" i="34"/>
  <c r="AA50" i="34"/>
  <c r="L50" i="34"/>
  <c r="P50" i="34"/>
  <c r="T50" i="34"/>
  <c r="X50" i="34"/>
  <c r="AB50" i="34"/>
  <c r="M50" i="34"/>
  <c r="Q50" i="34"/>
  <c r="U50" i="34"/>
  <c r="Y50" i="34"/>
  <c r="AC50" i="34"/>
  <c r="J50" i="34"/>
  <c r="N50" i="34"/>
  <c r="R50" i="34"/>
  <c r="V50" i="34"/>
  <c r="Z50" i="34"/>
  <c r="I50" i="34"/>
  <c r="H50" i="34"/>
  <c r="M52" i="34"/>
  <c r="Q52" i="34"/>
  <c r="U52" i="34"/>
  <c r="Y52" i="34"/>
  <c r="AC52" i="34"/>
  <c r="J52" i="34"/>
  <c r="N52" i="34"/>
  <c r="R52" i="34"/>
  <c r="V52" i="34"/>
  <c r="Z52" i="34"/>
  <c r="K52" i="34"/>
  <c r="O52" i="34"/>
  <c r="S52" i="34"/>
  <c r="W52" i="34"/>
  <c r="AA52" i="34"/>
  <c r="L52" i="34"/>
  <c r="P52" i="34"/>
  <c r="T52" i="34"/>
  <c r="X52" i="34"/>
  <c r="AB52" i="34"/>
  <c r="H52" i="34"/>
  <c r="I52" i="34"/>
  <c r="K5" i="34"/>
  <c r="O5" i="34"/>
  <c r="S5" i="34"/>
  <c r="W5" i="34"/>
  <c r="AA5" i="34"/>
  <c r="L5" i="34"/>
  <c r="P5" i="34"/>
  <c r="T5" i="34"/>
  <c r="X5" i="34"/>
  <c r="AB5" i="34"/>
  <c r="M5" i="34"/>
  <c r="Q5" i="34"/>
  <c r="U5" i="34"/>
  <c r="Y5" i="34"/>
  <c r="AC5" i="34"/>
  <c r="J5" i="34"/>
  <c r="N5" i="34"/>
  <c r="R5" i="34"/>
  <c r="V5" i="34"/>
  <c r="Z5" i="34"/>
  <c r="H5" i="34"/>
  <c r="I5" i="34"/>
  <c r="M11" i="34"/>
  <c r="Q11" i="34"/>
  <c r="U11" i="34"/>
  <c r="Y11" i="34"/>
  <c r="AC11" i="34"/>
  <c r="J11" i="34"/>
  <c r="N11" i="34"/>
  <c r="R11" i="34"/>
  <c r="V11" i="34"/>
  <c r="Z11" i="34"/>
  <c r="K11" i="34"/>
  <c r="O11" i="34"/>
  <c r="S11" i="34"/>
  <c r="W11" i="34"/>
  <c r="AA11" i="34"/>
  <c r="L11" i="34"/>
  <c r="P11" i="34"/>
  <c r="T11" i="34"/>
  <c r="X11" i="34"/>
  <c r="AB11" i="34"/>
  <c r="I11" i="34"/>
  <c r="H11" i="34"/>
  <c r="M17" i="34"/>
  <c r="Q17" i="34"/>
  <c r="U17" i="34"/>
  <c r="Y17" i="34"/>
  <c r="AC17" i="34"/>
  <c r="AG17" i="34"/>
  <c r="J17" i="34"/>
  <c r="N17" i="34"/>
  <c r="R17" i="34"/>
  <c r="V17" i="34"/>
  <c r="Z17" i="34"/>
  <c r="AD17" i="34"/>
  <c r="AH17" i="34"/>
  <c r="K17" i="34"/>
  <c r="O17" i="34"/>
  <c r="S17" i="34"/>
  <c r="W17" i="34"/>
  <c r="AA17" i="34"/>
  <c r="AE17" i="34"/>
  <c r="AI17" i="34"/>
  <c r="L17" i="34"/>
  <c r="P17" i="34"/>
  <c r="T17" i="34"/>
  <c r="X17" i="34"/>
  <c r="AB17" i="34"/>
  <c r="AF17" i="34"/>
  <c r="I17" i="34"/>
  <c r="H17" i="34"/>
  <c r="M7" i="34"/>
  <c r="Q7" i="34"/>
  <c r="U7" i="34"/>
  <c r="Y7" i="34"/>
  <c r="AC7" i="34"/>
  <c r="AG7" i="34"/>
  <c r="J7" i="34"/>
  <c r="N7" i="34"/>
  <c r="R7" i="34"/>
  <c r="V7" i="34"/>
  <c r="Z7" i="34"/>
  <c r="AD7" i="34"/>
  <c r="AH7" i="34"/>
  <c r="K7" i="34"/>
  <c r="O7" i="34"/>
  <c r="S7" i="34"/>
  <c r="W7" i="34"/>
  <c r="AA7" i="34"/>
  <c r="AE7" i="34"/>
  <c r="AI7" i="34"/>
  <c r="L7" i="34"/>
  <c r="P7" i="34"/>
  <c r="T7" i="34"/>
  <c r="X7" i="34"/>
  <c r="AB7" i="34"/>
  <c r="AF7" i="34"/>
  <c r="I7" i="34"/>
  <c r="H7" i="34"/>
  <c r="J24" i="34"/>
  <c r="N24" i="34"/>
  <c r="R24" i="34"/>
  <c r="V24" i="34"/>
  <c r="Z24" i="34"/>
  <c r="K24" i="34"/>
  <c r="O24" i="34"/>
  <c r="S24" i="34"/>
  <c r="W24" i="34"/>
  <c r="AA24" i="34"/>
  <c r="L24" i="34"/>
  <c r="P24" i="34"/>
  <c r="T24" i="34"/>
  <c r="X24" i="34"/>
  <c r="AB24" i="34"/>
  <c r="M24" i="34"/>
  <c r="Q24" i="34"/>
  <c r="U24" i="34"/>
  <c r="Y24" i="34"/>
  <c r="AC24" i="34"/>
  <c r="I24" i="34"/>
  <c r="H24" i="34"/>
  <c r="J28" i="34"/>
  <c r="N28" i="34"/>
  <c r="R28" i="34"/>
  <c r="V28" i="34"/>
  <c r="Z28" i="34"/>
  <c r="AD28" i="34"/>
  <c r="AH28" i="34"/>
  <c r="AL28" i="34"/>
  <c r="AP28" i="34"/>
  <c r="AT28" i="34"/>
  <c r="AX28" i="34"/>
  <c r="BB28" i="34"/>
  <c r="BF28" i="34"/>
  <c r="BJ28" i="34"/>
  <c r="BN28" i="34"/>
  <c r="K28" i="34"/>
  <c r="O28" i="34"/>
  <c r="S28" i="34"/>
  <c r="W28" i="34"/>
  <c r="AA28" i="34"/>
  <c r="AE28" i="34"/>
  <c r="AI28" i="34"/>
  <c r="AM28" i="34"/>
  <c r="AQ28" i="34"/>
  <c r="AU28" i="34"/>
  <c r="AY28" i="34"/>
  <c r="BC28" i="34"/>
  <c r="BG28" i="34"/>
  <c r="BK28" i="34"/>
  <c r="BO28" i="34"/>
  <c r="L28" i="34"/>
  <c r="P28" i="34"/>
  <c r="T28" i="34"/>
  <c r="X28" i="34"/>
  <c r="AB28" i="34"/>
  <c r="AF28" i="34"/>
  <c r="AJ28" i="34"/>
  <c r="AN28" i="34"/>
  <c r="AR28" i="34"/>
  <c r="AV28" i="34"/>
  <c r="AZ28" i="34"/>
  <c r="BD28" i="34"/>
  <c r="BH28" i="34"/>
  <c r="BL28" i="34"/>
  <c r="BP28" i="34"/>
  <c r="M28" i="34"/>
  <c r="Q28" i="34"/>
  <c r="U28" i="34"/>
  <c r="Y28" i="34"/>
  <c r="AC28" i="34"/>
  <c r="AG28" i="34"/>
  <c r="AK28" i="34"/>
  <c r="AO28" i="34"/>
  <c r="AS28" i="34"/>
  <c r="AW28" i="34"/>
  <c r="BA28" i="34"/>
  <c r="BE28" i="34"/>
  <c r="BI28" i="34"/>
  <c r="BM28" i="34"/>
  <c r="I28" i="34"/>
  <c r="H28" i="34"/>
  <c r="M32" i="34"/>
  <c r="Q32" i="34"/>
  <c r="U32" i="34"/>
  <c r="Y32" i="34"/>
  <c r="AC32" i="34"/>
  <c r="J32" i="34"/>
  <c r="N32" i="34"/>
  <c r="R32" i="34"/>
  <c r="V32" i="34"/>
  <c r="Z32" i="34"/>
  <c r="K32" i="34"/>
  <c r="O32" i="34"/>
  <c r="S32" i="34"/>
  <c r="W32" i="34"/>
  <c r="AA32" i="34"/>
  <c r="L32" i="34"/>
  <c r="P32" i="34"/>
  <c r="T32" i="34"/>
  <c r="X32" i="34"/>
  <c r="AB32" i="34"/>
  <c r="I32" i="34"/>
  <c r="H32" i="34"/>
  <c r="J37" i="34"/>
  <c r="N37" i="34"/>
  <c r="R37" i="34"/>
  <c r="V37" i="34"/>
  <c r="Z37" i="34"/>
  <c r="K37" i="34"/>
  <c r="O37" i="34"/>
  <c r="S37" i="34"/>
  <c r="W37" i="34"/>
  <c r="AA37" i="34"/>
  <c r="L37" i="34"/>
  <c r="P37" i="34"/>
  <c r="T37" i="34"/>
  <c r="X37" i="34"/>
  <c r="AB37" i="34"/>
  <c r="M37" i="34"/>
  <c r="Q37" i="34"/>
  <c r="U37" i="34"/>
  <c r="Y37" i="34"/>
  <c r="AC37" i="34"/>
  <c r="I37" i="34"/>
  <c r="H37" i="34"/>
  <c r="J41" i="34"/>
  <c r="N41" i="34"/>
  <c r="R41" i="34"/>
  <c r="V41" i="34"/>
  <c r="Z41" i="34"/>
  <c r="AD41" i="34"/>
  <c r="AH41" i="34"/>
  <c r="K41" i="34"/>
  <c r="O41" i="34"/>
  <c r="S41" i="34"/>
  <c r="W41" i="34"/>
  <c r="AA41" i="34"/>
  <c r="AE41" i="34"/>
  <c r="L41" i="34"/>
  <c r="P41" i="34"/>
  <c r="T41" i="34"/>
  <c r="X41" i="34"/>
  <c r="AB41" i="34"/>
  <c r="AF41" i="34"/>
  <c r="M41" i="34"/>
  <c r="Q41" i="34"/>
  <c r="U41" i="34"/>
  <c r="Y41" i="34"/>
  <c r="AC41" i="34"/>
  <c r="AG41" i="34"/>
  <c r="I41" i="34"/>
  <c r="H41" i="34"/>
  <c r="J45" i="34"/>
  <c r="N45" i="34"/>
  <c r="R45" i="34"/>
  <c r="V45" i="34"/>
  <c r="Z45" i="34"/>
  <c r="AD45" i="34"/>
  <c r="AH45" i="34"/>
  <c r="K45" i="34"/>
  <c r="O45" i="34"/>
  <c r="S45" i="34"/>
  <c r="W45" i="34"/>
  <c r="AA45" i="34"/>
  <c r="AE45" i="34"/>
  <c r="L45" i="34"/>
  <c r="P45" i="34"/>
  <c r="T45" i="34"/>
  <c r="X45" i="34"/>
  <c r="AB45" i="34"/>
  <c r="AF45" i="34"/>
  <c r="M45" i="34"/>
  <c r="Q45" i="34"/>
  <c r="U45" i="34"/>
  <c r="Y45" i="34"/>
  <c r="AC45" i="34"/>
  <c r="AG45" i="34"/>
  <c r="I45" i="34"/>
  <c r="H45" i="34"/>
  <c r="J49" i="34"/>
  <c r="N49" i="34"/>
  <c r="R49" i="34"/>
  <c r="V49" i="34"/>
  <c r="Z49" i="34"/>
  <c r="AD49" i="34"/>
  <c r="AH49" i="34"/>
  <c r="K49" i="34"/>
  <c r="O49" i="34"/>
  <c r="S49" i="34"/>
  <c r="W49" i="34"/>
  <c r="AA49" i="34"/>
  <c r="AE49" i="34"/>
  <c r="L49" i="34"/>
  <c r="P49" i="34"/>
  <c r="T49" i="34"/>
  <c r="X49" i="34"/>
  <c r="AB49" i="34"/>
  <c r="AF49" i="34"/>
  <c r="M49" i="34"/>
  <c r="Q49" i="34"/>
  <c r="U49" i="34"/>
  <c r="Y49" i="34"/>
  <c r="AC49" i="34"/>
  <c r="AG49" i="34"/>
  <c r="I49" i="34"/>
  <c r="H49" i="34"/>
  <c r="D71" i="46"/>
  <c r="E53" i="46"/>
  <c r="D70" i="46"/>
  <c r="E52" i="46"/>
  <c r="E42" i="46"/>
  <c r="D60" i="46"/>
  <c r="V97" i="34"/>
  <c r="J121" i="34"/>
  <c r="H105" i="34"/>
  <c r="U122" i="34"/>
  <c r="W121" i="34"/>
  <c r="O121" i="34"/>
  <c r="R97" i="34"/>
  <c r="T122" i="34"/>
  <c r="L105" i="34"/>
  <c r="AB121" i="34"/>
  <c r="M106" i="34"/>
  <c r="P106" i="34"/>
  <c r="Q122" i="34"/>
  <c r="I106" i="34"/>
  <c r="H106" i="34"/>
  <c r="L122" i="34"/>
  <c r="K106" i="34"/>
  <c r="X105" i="34"/>
  <c r="Q105" i="34"/>
  <c r="Y105" i="34"/>
  <c r="AC105" i="34"/>
  <c r="AA121" i="34"/>
  <c r="J122" i="34"/>
  <c r="R122" i="34"/>
  <c r="W106" i="34"/>
  <c r="Z106" i="34"/>
  <c r="Y106" i="34"/>
  <c r="Q106" i="34"/>
  <c r="I122" i="34"/>
  <c r="P121" i="34"/>
  <c r="H122" i="34"/>
  <c r="R121" i="34"/>
  <c r="X106" i="34"/>
  <c r="Y122" i="34"/>
  <c r="O122" i="34"/>
  <c r="M122" i="34"/>
  <c r="U121" i="34"/>
  <c r="K121" i="34"/>
  <c r="N122" i="34"/>
  <c r="V106" i="34"/>
  <c r="Z105" i="34"/>
  <c r="P122" i="34"/>
  <c r="P105" i="34"/>
  <c r="I105" i="34"/>
  <c r="M121" i="34"/>
  <c r="L106" i="34"/>
  <c r="K122" i="34"/>
  <c r="X121" i="34"/>
  <c r="H121" i="34"/>
  <c r="T121" i="34"/>
  <c r="U106" i="34"/>
  <c r="S121" i="34"/>
  <c r="Z122" i="34"/>
  <c r="AB113" i="34"/>
  <c r="J113" i="34"/>
  <c r="AB122" i="34"/>
  <c r="L121" i="34"/>
  <c r="U105" i="34"/>
  <c r="V121" i="34"/>
  <c r="AA106" i="34"/>
  <c r="M105" i="34"/>
  <c r="AC106" i="34"/>
  <c r="N121" i="34"/>
  <c r="S122" i="34"/>
  <c r="J97" i="34"/>
  <c r="Z113" i="34"/>
  <c r="T106" i="34"/>
  <c r="AB106" i="34"/>
  <c r="O106" i="34"/>
  <c r="AB105" i="34"/>
  <c r="K105" i="34"/>
  <c r="N106" i="34"/>
  <c r="V122" i="34"/>
  <c r="Z121" i="34"/>
  <c r="V105" i="34"/>
  <c r="AA122" i="34"/>
  <c r="I121" i="34"/>
  <c r="J105" i="34"/>
  <c r="R105" i="34"/>
  <c r="AC122" i="34"/>
  <c r="N105" i="34"/>
  <c r="X122" i="34"/>
  <c r="S106" i="34"/>
  <c r="T105" i="34"/>
  <c r="Q121" i="34"/>
  <c r="Y121" i="34"/>
  <c r="AC121" i="34"/>
  <c r="AA105" i="34"/>
  <c r="J106" i="34"/>
  <c r="R106" i="34"/>
  <c r="W122" i="34"/>
  <c r="S105" i="34"/>
  <c r="W105" i="34"/>
  <c r="O105" i="34"/>
  <c r="O113" i="34"/>
  <c r="Q113" i="34"/>
  <c r="Q158" i="34"/>
  <c r="S158" i="34"/>
  <c r="P72" i="36"/>
  <c r="P163" i="34"/>
  <c r="P179" i="34"/>
  <c r="P56" i="36"/>
  <c r="L179" i="34"/>
  <c r="L163" i="34"/>
  <c r="U176" i="34"/>
  <c r="V179" i="34"/>
  <c r="R163" i="34"/>
  <c r="Z160" i="34"/>
  <c r="V72" i="36"/>
  <c r="R72" i="36"/>
  <c r="O163" i="34"/>
  <c r="T179" i="34"/>
  <c r="N180" i="34"/>
  <c r="W180" i="34"/>
  <c r="K180" i="34"/>
  <c r="R173" i="34"/>
  <c r="K163" i="34"/>
  <c r="W179" i="34"/>
  <c r="AI177" i="34"/>
  <c r="K164" i="34"/>
  <c r="K57" i="36"/>
  <c r="AA179" i="34"/>
  <c r="N73" i="36"/>
  <c r="O179" i="34"/>
  <c r="AA56" i="36"/>
  <c r="N164" i="34"/>
  <c r="L56" i="36"/>
  <c r="Q179" i="34"/>
  <c r="K73" i="36"/>
  <c r="AA72" i="36"/>
  <c r="N57" i="36"/>
  <c r="S163" i="34"/>
  <c r="AB163" i="34"/>
  <c r="Z56" i="36"/>
  <c r="I179" i="34"/>
  <c r="I163" i="34"/>
  <c r="AB73" i="36"/>
  <c r="AB180" i="34"/>
  <c r="AB164" i="34"/>
  <c r="AB57" i="36"/>
  <c r="K179" i="34"/>
  <c r="O56" i="36"/>
  <c r="L72" i="36"/>
  <c r="N163" i="34"/>
  <c r="AC72" i="36"/>
  <c r="Z164" i="34"/>
  <c r="Z73" i="36"/>
  <c r="Z180" i="34"/>
  <c r="Z57" i="36"/>
  <c r="W57" i="36"/>
  <c r="R164" i="34"/>
  <c r="R57" i="36"/>
  <c r="R180" i="34"/>
  <c r="R73" i="36"/>
  <c r="V180" i="34"/>
  <c r="V164" i="34"/>
  <c r="V57" i="36"/>
  <c r="V73" i="36"/>
  <c r="J180" i="34"/>
  <c r="J57" i="36"/>
  <c r="J164" i="34"/>
  <c r="J73" i="36"/>
  <c r="P57" i="36"/>
  <c r="P164" i="34"/>
  <c r="P73" i="36"/>
  <c r="P180" i="34"/>
  <c r="H164" i="34"/>
  <c r="H73" i="36"/>
  <c r="H180" i="34"/>
  <c r="H57" i="36"/>
  <c r="T180" i="34"/>
  <c r="T57" i="36"/>
  <c r="T73" i="36"/>
  <c r="T164" i="34"/>
  <c r="X57" i="36"/>
  <c r="X73" i="36"/>
  <c r="X164" i="34"/>
  <c r="X180" i="34"/>
  <c r="AA180" i="34"/>
  <c r="AA73" i="36"/>
  <c r="AA57" i="36"/>
  <c r="AA164" i="34"/>
  <c r="S72" i="36"/>
  <c r="T69" i="36"/>
  <c r="X72" i="36"/>
  <c r="U56" i="36"/>
  <c r="AB179" i="34"/>
  <c r="Q163" i="34"/>
  <c r="AB56" i="36"/>
  <c r="Q56" i="36"/>
  <c r="X86" i="34"/>
  <c r="X87" i="34"/>
  <c r="R86" i="34"/>
  <c r="R87" i="34"/>
  <c r="AA86" i="34"/>
  <c r="AA87" i="34"/>
  <c r="H86" i="34"/>
  <c r="H87" i="34"/>
  <c r="U86" i="34"/>
  <c r="U87" i="34"/>
  <c r="L86" i="34"/>
  <c r="L87" i="34"/>
  <c r="S86" i="34"/>
  <c r="S87" i="34"/>
  <c r="N86" i="34"/>
  <c r="N87" i="34"/>
  <c r="W86" i="34"/>
  <c r="W87" i="34"/>
  <c r="Q86" i="34"/>
  <c r="Q87" i="34"/>
  <c r="AB86" i="34"/>
  <c r="AB87" i="34"/>
  <c r="Z86" i="34"/>
  <c r="Z87" i="34"/>
  <c r="J86" i="34"/>
  <c r="J87" i="34"/>
  <c r="O86" i="34"/>
  <c r="O87" i="34"/>
  <c r="AC86" i="34"/>
  <c r="AC87" i="34"/>
  <c r="M86" i="34"/>
  <c r="M87" i="34"/>
  <c r="T86" i="34"/>
  <c r="T87" i="34"/>
  <c r="P86" i="34"/>
  <c r="P87" i="34"/>
  <c r="V86" i="34"/>
  <c r="V87" i="34"/>
  <c r="K86" i="34"/>
  <c r="K87" i="34"/>
  <c r="Y86" i="34"/>
  <c r="Y87" i="34"/>
  <c r="I86" i="34"/>
  <c r="I87" i="34"/>
  <c r="I56" i="36"/>
  <c r="S56" i="36"/>
  <c r="U72" i="36"/>
  <c r="I72" i="36"/>
  <c r="U163" i="34"/>
  <c r="W163" i="34"/>
  <c r="Z163" i="34"/>
  <c r="Z179" i="34"/>
  <c r="X56" i="36"/>
  <c r="X163" i="34"/>
  <c r="AB51" i="36"/>
  <c r="I158" i="34"/>
  <c r="O174" i="34"/>
  <c r="AC180" i="34"/>
  <c r="AC164" i="34"/>
  <c r="AC73" i="36"/>
  <c r="AC57" i="36"/>
  <c r="V67" i="36"/>
  <c r="Z51" i="36"/>
  <c r="N67" i="36"/>
  <c r="W51" i="36"/>
  <c r="L174" i="34"/>
  <c r="Y50" i="36"/>
  <c r="Y173" i="34"/>
  <c r="Y66" i="36"/>
  <c r="Y157" i="34"/>
  <c r="U50" i="36"/>
  <c r="U173" i="34"/>
  <c r="U66" i="36"/>
  <c r="U157" i="34"/>
  <c r="R157" i="34"/>
  <c r="R66" i="36"/>
  <c r="O173" i="34"/>
  <c r="O66" i="36"/>
  <c r="O157" i="34"/>
  <c r="O50" i="36"/>
  <c r="I50" i="36"/>
  <c r="I66" i="36"/>
  <c r="I173" i="34"/>
  <c r="I157" i="34"/>
  <c r="V50" i="36"/>
  <c r="V66" i="36"/>
  <c r="V157" i="34"/>
  <c r="V173" i="34"/>
  <c r="S173" i="34"/>
  <c r="S157" i="34"/>
  <c r="S66" i="36"/>
  <c r="S50" i="36"/>
  <c r="Z157" i="34"/>
  <c r="Z66" i="36"/>
  <c r="Z50" i="36"/>
  <c r="Z173" i="34"/>
  <c r="K173" i="34"/>
  <c r="K66" i="36"/>
  <c r="K157" i="34"/>
  <c r="K50" i="36"/>
  <c r="J157" i="34"/>
  <c r="J66" i="36"/>
  <c r="J50" i="36"/>
  <c r="J173" i="34"/>
  <c r="P173" i="34"/>
  <c r="P50" i="36"/>
  <c r="P157" i="34"/>
  <c r="P66" i="36"/>
  <c r="AB173" i="34"/>
  <c r="AB50" i="36"/>
  <c r="AB157" i="34"/>
  <c r="AB66" i="36"/>
  <c r="AA157" i="34"/>
  <c r="AA173" i="34"/>
  <c r="AA50" i="36"/>
  <c r="AA66" i="36"/>
  <c r="W173" i="34"/>
  <c r="W157" i="34"/>
  <c r="W66" i="36"/>
  <c r="W50" i="36"/>
  <c r="Q157" i="34"/>
  <c r="Q173" i="34"/>
  <c r="Q50" i="36"/>
  <c r="Q66" i="36"/>
  <c r="L50" i="36"/>
  <c r="L157" i="34"/>
  <c r="L66" i="36"/>
  <c r="L173" i="34"/>
  <c r="N173" i="34"/>
  <c r="N50" i="36"/>
  <c r="N157" i="34"/>
  <c r="N66" i="36"/>
  <c r="X173" i="34"/>
  <c r="X157" i="34"/>
  <c r="X66" i="36"/>
  <c r="X50" i="36"/>
  <c r="AC50" i="36"/>
  <c r="AC66" i="36"/>
  <c r="AC157" i="34"/>
  <c r="AC173" i="34"/>
  <c r="M66" i="36"/>
  <c r="M157" i="34"/>
  <c r="M173" i="34"/>
  <c r="M50" i="36"/>
  <c r="H50" i="36"/>
  <c r="H66" i="36"/>
  <c r="H157" i="34"/>
  <c r="H173" i="34"/>
  <c r="T50" i="36"/>
  <c r="T173" i="34"/>
  <c r="T66" i="36"/>
  <c r="T157" i="34"/>
  <c r="P68" i="36"/>
  <c r="P52" i="36"/>
  <c r="P159" i="34"/>
  <c r="P175" i="34"/>
  <c r="AI160" i="34"/>
  <c r="AI176" i="34"/>
  <c r="AF177" i="34"/>
  <c r="AF161" i="34"/>
  <c r="AE177" i="34"/>
  <c r="AE161" i="34"/>
  <c r="S68" i="36"/>
  <c r="S52" i="36"/>
  <c r="S159" i="34"/>
  <c r="S175" i="34"/>
  <c r="I53" i="36"/>
  <c r="I69" i="36"/>
  <c r="I160" i="34"/>
  <c r="I176" i="34"/>
  <c r="Q68" i="36"/>
  <c r="Q52" i="36"/>
  <c r="Q159" i="34"/>
  <c r="Q175" i="34"/>
  <c r="H69" i="36"/>
  <c r="H53" i="36"/>
  <c r="H176" i="34"/>
  <c r="H160" i="34"/>
  <c r="AG176" i="34"/>
  <c r="AG160" i="34"/>
  <c r="J53" i="36"/>
  <c r="J69" i="36"/>
  <c r="J160" i="34"/>
  <c r="J176" i="34"/>
  <c r="AD160" i="34"/>
  <c r="AD176" i="34"/>
  <c r="AB53" i="36"/>
  <c r="AB69" i="36"/>
  <c r="AB160" i="34"/>
  <c r="AB176" i="34"/>
  <c r="Z53" i="36"/>
  <c r="X69" i="36"/>
  <c r="X53" i="36"/>
  <c r="X176" i="34"/>
  <c r="X160" i="34"/>
  <c r="AA69" i="36"/>
  <c r="AA53" i="36"/>
  <c r="AA160" i="34"/>
  <c r="AA176" i="34"/>
  <c r="N70" i="36"/>
  <c r="N177" i="34"/>
  <c r="N54" i="36"/>
  <c r="N161" i="34"/>
  <c r="R68" i="36"/>
  <c r="R159" i="34"/>
  <c r="R52" i="36"/>
  <c r="R175" i="34"/>
  <c r="M52" i="36"/>
  <c r="M68" i="36"/>
  <c r="M159" i="34"/>
  <c r="M175" i="34"/>
  <c r="Y68" i="36"/>
  <c r="Y175" i="34"/>
  <c r="Y52" i="36"/>
  <c r="Y159" i="34"/>
  <c r="P69" i="36"/>
  <c r="P53" i="36"/>
  <c r="P176" i="34"/>
  <c r="P160" i="34"/>
  <c r="AI161" i="34"/>
  <c r="O52" i="36"/>
  <c r="O175" i="34"/>
  <c r="O159" i="34"/>
  <c r="O68" i="36"/>
  <c r="U52" i="36"/>
  <c r="U68" i="36"/>
  <c r="U175" i="34"/>
  <c r="U159" i="34"/>
  <c r="AC68" i="36"/>
  <c r="AC175" i="34"/>
  <c r="AC52" i="36"/>
  <c r="AC159" i="34"/>
  <c r="W68" i="36"/>
  <c r="W52" i="36"/>
  <c r="W159" i="34"/>
  <c r="W175" i="34"/>
  <c r="S69" i="36"/>
  <c r="S53" i="36"/>
  <c r="S176" i="34"/>
  <c r="S160" i="34"/>
  <c r="Q69" i="36"/>
  <c r="Q53" i="36"/>
  <c r="Q176" i="34"/>
  <c r="Q160" i="34"/>
  <c r="H54" i="36"/>
  <c r="H70" i="36"/>
  <c r="H177" i="34"/>
  <c r="H161" i="34"/>
  <c r="AG177" i="34"/>
  <c r="AG161" i="34"/>
  <c r="J70" i="36"/>
  <c r="J177" i="34"/>
  <c r="J54" i="36"/>
  <c r="J161" i="34"/>
  <c r="AD161" i="34"/>
  <c r="AD177" i="34"/>
  <c r="AB70" i="36"/>
  <c r="AB54" i="36"/>
  <c r="AB161" i="34"/>
  <c r="AB177" i="34"/>
  <c r="Z70" i="36"/>
  <c r="Z54" i="36"/>
  <c r="Z177" i="34"/>
  <c r="Z161" i="34"/>
  <c r="X70" i="36"/>
  <c r="X177" i="34"/>
  <c r="X54" i="36"/>
  <c r="X161" i="34"/>
  <c r="AA70" i="36"/>
  <c r="AA54" i="36"/>
  <c r="AA161" i="34"/>
  <c r="AA177" i="34"/>
  <c r="L68" i="36"/>
  <c r="L52" i="36"/>
  <c r="L175" i="34"/>
  <c r="L159" i="34"/>
  <c r="M69" i="36"/>
  <c r="M176" i="34"/>
  <c r="M53" i="36"/>
  <c r="M160" i="34"/>
  <c r="Y69" i="36"/>
  <c r="Y53" i="36"/>
  <c r="Y160" i="34"/>
  <c r="Y176" i="34"/>
  <c r="K68" i="36"/>
  <c r="K52" i="36"/>
  <c r="K159" i="34"/>
  <c r="K175" i="34"/>
  <c r="O69" i="36"/>
  <c r="O176" i="34"/>
  <c r="O160" i="34"/>
  <c r="O53" i="36"/>
  <c r="U69" i="36"/>
  <c r="AC69" i="36"/>
  <c r="AC176" i="34"/>
  <c r="AC53" i="36"/>
  <c r="AC160" i="34"/>
  <c r="W69" i="36"/>
  <c r="W176" i="34"/>
  <c r="W160" i="34"/>
  <c r="W53" i="36"/>
  <c r="AH160" i="34"/>
  <c r="AH176" i="34"/>
  <c r="V68" i="36"/>
  <c r="V159" i="34"/>
  <c r="V52" i="36"/>
  <c r="V175" i="34"/>
  <c r="Q70" i="36"/>
  <c r="Q177" i="34"/>
  <c r="Q54" i="36"/>
  <c r="Q161" i="34"/>
  <c r="Z52" i="36"/>
  <c r="Z68" i="36"/>
  <c r="Z159" i="34"/>
  <c r="Z175" i="34"/>
  <c r="AA68" i="36"/>
  <c r="AA52" i="36"/>
  <c r="AA159" i="34"/>
  <c r="AA175" i="34"/>
  <c r="N68" i="36"/>
  <c r="N52" i="36"/>
  <c r="N159" i="34"/>
  <c r="N175" i="34"/>
  <c r="L69" i="36"/>
  <c r="L53" i="36"/>
  <c r="L160" i="34"/>
  <c r="L176" i="34"/>
  <c r="R69" i="36"/>
  <c r="R53" i="36"/>
  <c r="R160" i="34"/>
  <c r="R176" i="34"/>
  <c r="Y54" i="36"/>
  <c r="Y70" i="36"/>
  <c r="Y161" i="34"/>
  <c r="Y177" i="34"/>
  <c r="T68" i="36"/>
  <c r="T52" i="36"/>
  <c r="T159" i="34"/>
  <c r="T175" i="34"/>
  <c r="K69" i="36"/>
  <c r="K53" i="36"/>
  <c r="K176" i="34"/>
  <c r="K160" i="34"/>
  <c r="AF160" i="34"/>
  <c r="AF176" i="34"/>
  <c r="AE160" i="34"/>
  <c r="AE176" i="34"/>
  <c r="AC70" i="36"/>
  <c r="AC54" i="36"/>
  <c r="AC177" i="34"/>
  <c r="AC161" i="34"/>
  <c r="W54" i="36"/>
  <c r="W70" i="36"/>
  <c r="W161" i="34"/>
  <c r="W177" i="34"/>
  <c r="AH177" i="34"/>
  <c r="AH161" i="34"/>
  <c r="I68" i="36"/>
  <c r="I52" i="36"/>
  <c r="I175" i="34"/>
  <c r="I159" i="34"/>
  <c r="V69" i="36"/>
  <c r="V53" i="36"/>
  <c r="V160" i="34"/>
  <c r="V176" i="34"/>
  <c r="H68" i="36"/>
  <c r="H175" i="34"/>
  <c r="H52" i="36"/>
  <c r="H159" i="34"/>
  <c r="J68" i="36"/>
  <c r="J52" i="36"/>
  <c r="J175" i="34"/>
  <c r="J159" i="34"/>
  <c r="AB68" i="36"/>
  <c r="AB52" i="36"/>
  <c r="AB159" i="34"/>
  <c r="AB175" i="34"/>
  <c r="X68" i="36"/>
  <c r="X175" i="34"/>
  <c r="X52" i="36"/>
  <c r="X159" i="34"/>
  <c r="N69" i="36"/>
  <c r="N53" i="36"/>
  <c r="N160" i="34"/>
  <c r="N176" i="34"/>
  <c r="L70" i="36"/>
  <c r="L54" i="36"/>
  <c r="L161" i="34"/>
  <c r="L177" i="34"/>
  <c r="R70" i="36"/>
  <c r="R54" i="36"/>
  <c r="R177" i="34"/>
  <c r="R161" i="34"/>
  <c r="D20" i="33"/>
  <c r="E22" i="45"/>
  <c r="E7" i="45"/>
  <c r="E8" i="45" s="1"/>
  <c r="E9" i="45" s="1"/>
  <c r="D22" i="45"/>
  <c r="D7" i="45"/>
  <c r="D8" i="45" s="1"/>
  <c r="D9" i="45" s="1"/>
  <c r="D10" i="45" s="1"/>
  <c r="A19" i="45"/>
  <c r="A60" i="45" s="1"/>
  <c r="A11" i="45"/>
  <c r="A59" i="45" s="1"/>
  <c r="B4" i="45"/>
  <c r="B58" i="45" s="1"/>
  <c r="A4" i="45"/>
  <c r="A58" i="45" s="1"/>
  <c r="B14" i="45"/>
  <c r="C15" i="45"/>
  <c r="C20" i="33"/>
  <c r="C6" i="33"/>
  <c r="C56" i="33"/>
  <c r="D6" i="33"/>
  <c r="D56" i="33"/>
  <c r="N133" i="39"/>
  <c r="N132" i="39"/>
  <c r="N131" i="39"/>
  <c r="N130" i="39"/>
  <c r="N129" i="39"/>
  <c r="N128" i="39"/>
  <c r="N127" i="39"/>
  <c r="N126" i="39"/>
  <c r="N125" i="39"/>
  <c r="N124" i="39"/>
  <c r="N123" i="39"/>
  <c r="N122" i="39"/>
  <c r="N121" i="39"/>
  <c r="N120" i="39"/>
  <c r="N119" i="39"/>
  <c r="N118" i="39"/>
  <c r="N117" i="39"/>
  <c r="N116" i="39"/>
  <c r="N115" i="39"/>
  <c r="N114" i="39"/>
  <c r="N112" i="39"/>
  <c r="N110" i="39"/>
  <c r="N108" i="39"/>
  <c r="N107" i="39"/>
  <c r="N106" i="39"/>
  <c r="N105" i="39"/>
  <c r="N104" i="39"/>
  <c r="N103" i="39"/>
  <c r="N102" i="39"/>
  <c r="N101" i="39"/>
  <c r="N100" i="39"/>
  <c r="N99" i="39"/>
  <c r="N98" i="39"/>
  <c r="N97" i="39"/>
  <c r="N96" i="39"/>
  <c r="N95" i="39"/>
  <c r="N94" i="39"/>
  <c r="N93" i="39"/>
  <c r="N92" i="39"/>
  <c r="N91" i="39"/>
  <c r="N90" i="39"/>
  <c r="N89" i="39"/>
  <c r="N88" i="39"/>
  <c r="N87" i="39"/>
  <c r="N86" i="39"/>
  <c r="N85" i="39"/>
  <c r="N83" i="39"/>
  <c r="N82" i="39"/>
  <c r="N81" i="39"/>
  <c r="N80" i="39"/>
  <c r="N79" i="39"/>
  <c r="N78" i="39"/>
  <c r="N77" i="39"/>
  <c r="N76" i="39"/>
  <c r="N75" i="39"/>
  <c r="N74" i="39"/>
  <c r="N73" i="39"/>
  <c r="N72" i="39"/>
  <c r="N71" i="39"/>
  <c r="N70" i="39"/>
  <c r="N69" i="39"/>
  <c r="N68" i="39"/>
  <c r="N67" i="39"/>
  <c r="N66" i="39"/>
  <c r="N65" i="39"/>
  <c r="N64" i="39"/>
  <c r="N63" i="39"/>
  <c r="N62" i="39"/>
  <c r="N61" i="39"/>
  <c r="N60" i="39"/>
  <c r="N59" i="39"/>
  <c r="N58" i="39"/>
  <c r="N57" i="39"/>
  <c r="N56" i="39"/>
  <c r="N55" i="39"/>
  <c r="N54" i="39"/>
  <c r="N53" i="39"/>
  <c r="N52" i="39"/>
  <c r="N51" i="39"/>
  <c r="N50" i="39"/>
  <c r="N49" i="39"/>
  <c r="N48" i="39"/>
  <c r="N47" i="39"/>
  <c r="N46" i="39"/>
  <c r="N45" i="39"/>
  <c r="N44" i="39"/>
  <c r="N43" i="39"/>
  <c r="N42" i="39"/>
  <c r="N41" i="39"/>
  <c r="N40" i="39"/>
  <c r="N39" i="39"/>
  <c r="N38" i="39"/>
  <c r="N37" i="39"/>
  <c r="N36" i="39"/>
  <c r="N34" i="39"/>
  <c r="N33" i="39"/>
  <c r="N32" i="39"/>
  <c r="N31" i="39"/>
  <c r="N30" i="39"/>
  <c r="N29" i="39"/>
  <c r="N28" i="39"/>
  <c r="N27" i="39"/>
  <c r="N26" i="39"/>
  <c r="N25" i="39"/>
  <c r="N24" i="39"/>
  <c r="N23" i="39"/>
  <c r="N22" i="39"/>
  <c r="N21" i="39"/>
  <c r="N20" i="39"/>
  <c r="N19" i="39"/>
  <c r="N18" i="39"/>
  <c r="N17" i="39"/>
  <c r="N16" i="39"/>
  <c r="N15" i="39"/>
  <c r="N14" i="39"/>
  <c r="N13" i="39"/>
  <c r="N12" i="39"/>
  <c r="N6" i="39"/>
  <c r="N7" i="39"/>
  <c r="N8" i="39"/>
  <c r="N9" i="39"/>
  <c r="N10" i="39"/>
  <c r="N5" i="39"/>
  <c r="K138" i="39"/>
  <c r="J138" i="39"/>
  <c r="K137" i="39"/>
  <c r="J137" i="39"/>
  <c r="K136" i="39"/>
  <c r="J136" i="39"/>
  <c r="K135" i="39"/>
  <c r="J135" i="39"/>
  <c r="K133" i="39"/>
  <c r="J133" i="39"/>
  <c r="K132" i="39"/>
  <c r="J132" i="39"/>
  <c r="K131" i="39"/>
  <c r="J131" i="39"/>
  <c r="K130" i="39"/>
  <c r="J130" i="39"/>
  <c r="K129" i="39"/>
  <c r="J129" i="39"/>
  <c r="K128" i="39"/>
  <c r="J128" i="39"/>
  <c r="K127" i="39"/>
  <c r="J127" i="39"/>
  <c r="K126" i="39"/>
  <c r="J126" i="39"/>
  <c r="K125" i="39"/>
  <c r="J125" i="39"/>
  <c r="K124" i="39"/>
  <c r="J124" i="39"/>
  <c r="K123" i="39"/>
  <c r="J123" i="39"/>
  <c r="K122" i="39"/>
  <c r="J122" i="39"/>
  <c r="K121" i="39"/>
  <c r="J121" i="39"/>
  <c r="K120" i="39"/>
  <c r="J120" i="39"/>
  <c r="K119" i="39"/>
  <c r="J119" i="39"/>
  <c r="K118" i="39"/>
  <c r="J118" i="39"/>
  <c r="K117" i="39"/>
  <c r="J117" i="39"/>
  <c r="K116" i="39"/>
  <c r="J116" i="39"/>
  <c r="K115" i="39"/>
  <c r="J115" i="39"/>
  <c r="K114" i="39"/>
  <c r="J114" i="39"/>
  <c r="K112" i="39"/>
  <c r="J112" i="39"/>
  <c r="K110" i="39"/>
  <c r="J110" i="39"/>
  <c r="K108" i="39"/>
  <c r="J108" i="39"/>
  <c r="K107" i="39"/>
  <c r="J107" i="39"/>
  <c r="K106" i="39"/>
  <c r="J106" i="39"/>
  <c r="K105" i="39"/>
  <c r="J105" i="39"/>
  <c r="K104" i="39"/>
  <c r="J104" i="39"/>
  <c r="K103" i="39"/>
  <c r="J103" i="39"/>
  <c r="K102" i="39"/>
  <c r="J102" i="39"/>
  <c r="K101" i="39"/>
  <c r="J101" i="39"/>
  <c r="K100" i="39"/>
  <c r="J100" i="39"/>
  <c r="K99" i="39"/>
  <c r="J99" i="39"/>
  <c r="K98" i="39"/>
  <c r="J98" i="39"/>
  <c r="K97" i="39"/>
  <c r="J97" i="39"/>
  <c r="K96" i="39"/>
  <c r="J96" i="39"/>
  <c r="K95" i="39"/>
  <c r="J95" i="39"/>
  <c r="K94" i="39"/>
  <c r="J94" i="39"/>
  <c r="K93" i="39"/>
  <c r="J93" i="39"/>
  <c r="K92" i="39"/>
  <c r="J92" i="39"/>
  <c r="K91" i="39"/>
  <c r="J91" i="39"/>
  <c r="K90" i="39"/>
  <c r="J90" i="39"/>
  <c r="K89" i="39"/>
  <c r="J89" i="39"/>
  <c r="K88" i="39"/>
  <c r="J88" i="39"/>
  <c r="K87" i="39"/>
  <c r="J87" i="39"/>
  <c r="K86" i="39"/>
  <c r="J86" i="39"/>
  <c r="K85" i="39"/>
  <c r="J85" i="39"/>
  <c r="K83" i="39"/>
  <c r="J83" i="39"/>
  <c r="K82" i="39"/>
  <c r="J82" i="39"/>
  <c r="K81" i="39"/>
  <c r="J81" i="39"/>
  <c r="K80" i="39"/>
  <c r="J80" i="39"/>
  <c r="K79" i="39"/>
  <c r="J79" i="39"/>
  <c r="K78" i="39"/>
  <c r="J78" i="39"/>
  <c r="K77" i="39"/>
  <c r="J77" i="39"/>
  <c r="K76" i="39"/>
  <c r="J76" i="39"/>
  <c r="K75" i="39"/>
  <c r="J75" i="39"/>
  <c r="K74" i="39"/>
  <c r="J74" i="39"/>
  <c r="K73" i="39"/>
  <c r="J73" i="39"/>
  <c r="K72" i="39"/>
  <c r="J72" i="39"/>
  <c r="K71" i="39"/>
  <c r="J71" i="39"/>
  <c r="K70" i="39"/>
  <c r="J70" i="39"/>
  <c r="K69" i="39"/>
  <c r="J69" i="39"/>
  <c r="K68" i="39"/>
  <c r="J68" i="39"/>
  <c r="K67" i="39"/>
  <c r="J67" i="39"/>
  <c r="K66" i="39"/>
  <c r="J66" i="39"/>
  <c r="K65" i="39"/>
  <c r="J65" i="39"/>
  <c r="K64" i="39"/>
  <c r="J64" i="39"/>
  <c r="K63" i="39"/>
  <c r="J63" i="39"/>
  <c r="K62" i="39"/>
  <c r="J62" i="39"/>
  <c r="K61" i="39"/>
  <c r="J61" i="39"/>
  <c r="K60" i="39"/>
  <c r="J60" i="39"/>
  <c r="K59" i="39"/>
  <c r="J59" i="39"/>
  <c r="K58" i="39"/>
  <c r="J58" i="39"/>
  <c r="K57" i="39"/>
  <c r="J57" i="39"/>
  <c r="K56" i="39"/>
  <c r="J56" i="39"/>
  <c r="K55" i="39"/>
  <c r="J55" i="39"/>
  <c r="K54" i="39"/>
  <c r="J54" i="39"/>
  <c r="K53" i="39"/>
  <c r="J53" i="39"/>
  <c r="K52" i="39"/>
  <c r="J52" i="39"/>
  <c r="K51" i="39"/>
  <c r="J51" i="39"/>
  <c r="K50" i="39"/>
  <c r="J50" i="39"/>
  <c r="K49" i="39"/>
  <c r="J49" i="39"/>
  <c r="K48" i="39"/>
  <c r="J48" i="39"/>
  <c r="K47" i="39"/>
  <c r="J47" i="39"/>
  <c r="K46" i="39"/>
  <c r="J46" i="39"/>
  <c r="K45" i="39"/>
  <c r="J45" i="39"/>
  <c r="K44" i="39"/>
  <c r="J44" i="39"/>
  <c r="K43" i="39"/>
  <c r="J43" i="39"/>
  <c r="K42" i="39"/>
  <c r="J42" i="39"/>
  <c r="K41" i="39"/>
  <c r="J41" i="39"/>
  <c r="K40" i="39"/>
  <c r="J40" i="39"/>
  <c r="K39" i="39"/>
  <c r="J39" i="39"/>
  <c r="K38" i="39"/>
  <c r="J38" i="39"/>
  <c r="K37" i="39"/>
  <c r="J37" i="39"/>
  <c r="K36" i="39"/>
  <c r="J36" i="39"/>
  <c r="K34" i="39"/>
  <c r="J34" i="39"/>
  <c r="K33" i="39"/>
  <c r="J33" i="39"/>
  <c r="K32" i="39"/>
  <c r="J32" i="39"/>
  <c r="K31" i="39"/>
  <c r="J31" i="39"/>
  <c r="K30" i="39"/>
  <c r="J30" i="39"/>
  <c r="K29" i="39"/>
  <c r="J29" i="39"/>
  <c r="K28" i="39"/>
  <c r="J28" i="39"/>
  <c r="K27" i="39"/>
  <c r="J27" i="39"/>
  <c r="K26" i="39"/>
  <c r="J26" i="39"/>
  <c r="K25" i="39"/>
  <c r="J25" i="39"/>
  <c r="K24" i="39"/>
  <c r="J24" i="39"/>
  <c r="K23" i="39"/>
  <c r="J23" i="39"/>
  <c r="K22" i="39"/>
  <c r="J22" i="39"/>
  <c r="K21" i="39"/>
  <c r="J21" i="39"/>
  <c r="K20" i="39"/>
  <c r="J20" i="39"/>
  <c r="K19" i="39"/>
  <c r="J19" i="39"/>
  <c r="K18" i="39"/>
  <c r="J18" i="39"/>
  <c r="K17" i="39"/>
  <c r="J17" i="39"/>
  <c r="K16" i="39"/>
  <c r="J16" i="39"/>
  <c r="K15" i="39"/>
  <c r="J15" i="39"/>
  <c r="K14" i="39"/>
  <c r="J14" i="39"/>
  <c r="K13" i="39"/>
  <c r="J13" i="39"/>
  <c r="K12" i="39"/>
  <c r="J12" i="39"/>
  <c r="K10" i="39"/>
  <c r="J10" i="39"/>
  <c r="K9" i="39"/>
  <c r="J9" i="39"/>
  <c r="K8" i="39"/>
  <c r="J8" i="39"/>
  <c r="K7" i="39"/>
  <c r="J7" i="39"/>
  <c r="K6" i="39"/>
  <c r="J6" i="39"/>
  <c r="D88" i="46" l="1"/>
  <c r="E70" i="46"/>
  <c r="D78" i="46"/>
  <c r="E60" i="46"/>
  <c r="D89" i="46"/>
  <c r="E71" i="46"/>
  <c r="C38" i="34"/>
  <c r="R95" i="34"/>
  <c r="N94" i="34"/>
  <c r="AC95" i="34"/>
  <c r="K94" i="34"/>
  <c r="R94" i="34"/>
  <c r="AA93" i="34"/>
  <c r="AC93" i="34"/>
  <c r="M93" i="34"/>
  <c r="AA110" i="34"/>
  <c r="AB110" i="34"/>
  <c r="AG94" i="34"/>
  <c r="S93" i="34"/>
  <c r="AF95" i="34"/>
  <c r="P93" i="34"/>
  <c r="AC107" i="34"/>
  <c r="Q91" i="34"/>
  <c r="S91" i="34"/>
  <c r="N108" i="34"/>
  <c r="I113" i="34"/>
  <c r="W42" i="45"/>
  <c r="W64" i="45" s="1"/>
  <c r="N42" i="45"/>
  <c r="N64" i="45" s="1"/>
  <c r="AA42" i="45"/>
  <c r="AA64" i="45" s="1"/>
  <c r="H42" i="45"/>
  <c r="H64" i="45" s="1"/>
  <c r="Z42" i="45"/>
  <c r="Z64" i="45" s="1"/>
  <c r="Q42" i="45"/>
  <c r="Q64" i="45" s="1"/>
  <c r="S41" i="45"/>
  <c r="S63" i="45" s="1"/>
  <c r="Y41" i="45"/>
  <c r="Y63" i="45" s="1"/>
  <c r="X98" i="34"/>
  <c r="C6" i="34"/>
  <c r="D20" i="34"/>
  <c r="R111" i="34"/>
  <c r="L111" i="34"/>
  <c r="N110" i="34"/>
  <c r="X109" i="34"/>
  <c r="AB109" i="34"/>
  <c r="J109" i="34"/>
  <c r="H109" i="34"/>
  <c r="V110" i="34"/>
  <c r="I109" i="34"/>
  <c r="AH111" i="34"/>
  <c r="W95" i="34"/>
  <c r="AC111" i="34"/>
  <c r="AE94" i="34"/>
  <c r="AF110" i="34"/>
  <c r="K110" i="34"/>
  <c r="T109" i="34"/>
  <c r="Y95" i="34"/>
  <c r="R110" i="34"/>
  <c r="L110" i="34"/>
  <c r="N109" i="34"/>
  <c r="AA109" i="34"/>
  <c r="Z93" i="34"/>
  <c r="Q111" i="34"/>
  <c r="V109" i="34"/>
  <c r="AH110" i="34"/>
  <c r="W110" i="34"/>
  <c r="AC110" i="34"/>
  <c r="K93" i="34"/>
  <c r="Y94" i="34"/>
  <c r="L93" i="34"/>
  <c r="AA95" i="34"/>
  <c r="Z95" i="34"/>
  <c r="AB95" i="34"/>
  <c r="AG95" i="34"/>
  <c r="H111" i="34"/>
  <c r="Q94" i="34"/>
  <c r="S94" i="34"/>
  <c r="W93" i="34"/>
  <c r="U109" i="34"/>
  <c r="Z94" i="34"/>
  <c r="AB94" i="34"/>
  <c r="AD110" i="34"/>
  <c r="J94" i="34"/>
  <c r="AG110" i="34"/>
  <c r="H110" i="34"/>
  <c r="Q109" i="34"/>
  <c r="I94" i="34"/>
  <c r="S109" i="34"/>
  <c r="AE95" i="34"/>
  <c r="AF111" i="34"/>
  <c r="AI110" i="34"/>
  <c r="P109" i="34"/>
  <c r="T91" i="34"/>
  <c r="H91" i="34"/>
  <c r="M107" i="34"/>
  <c r="AC91" i="34"/>
  <c r="N91" i="34"/>
  <c r="AB91" i="34"/>
  <c r="P91" i="34"/>
  <c r="J91" i="34"/>
  <c r="Z91" i="34"/>
  <c r="S107" i="34"/>
  <c r="U91" i="34"/>
  <c r="Y91" i="34"/>
  <c r="AC98" i="34"/>
  <c r="U113" i="34"/>
  <c r="G42" i="45"/>
  <c r="G64" i="45" s="1"/>
  <c r="W41" i="45"/>
  <c r="W63" i="45" s="1"/>
  <c r="I42" i="45"/>
  <c r="I64" i="45" s="1"/>
  <c r="N41" i="45"/>
  <c r="N63" i="45" s="1"/>
  <c r="R42" i="45"/>
  <c r="R64" i="45" s="1"/>
  <c r="K42" i="45"/>
  <c r="K64" i="45" s="1"/>
  <c r="AA41" i="45"/>
  <c r="AA63" i="45" s="1"/>
  <c r="M42" i="45"/>
  <c r="M64" i="45" s="1"/>
  <c r="H41" i="45"/>
  <c r="H63" i="45" s="1"/>
  <c r="Z41" i="45"/>
  <c r="Z63" i="45" s="1"/>
  <c r="L42" i="45"/>
  <c r="L64" i="45" s="1"/>
  <c r="Q41" i="45"/>
  <c r="Q63" i="45" s="1"/>
  <c r="J42" i="45"/>
  <c r="J64" i="45" s="1"/>
  <c r="F41" i="45"/>
  <c r="F63" i="45" s="1"/>
  <c r="X113" i="34"/>
  <c r="H98" i="34"/>
  <c r="J114" i="34"/>
  <c r="V114" i="34"/>
  <c r="R114" i="34"/>
  <c r="W98" i="34"/>
  <c r="L113" i="34"/>
  <c r="N98" i="34"/>
  <c r="L97" i="34"/>
  <c r="N114" i="34"/>
  <c r="V113" i="34"/>
  <c r="J93" i="34"/>
  <c r="V94" i="34"/>
  <c r="T93" i="34"/>
  <c r="L94" i="34"/>
  <c r="Z109" i="34"/>
  <c r="X95" i="34"/>
  <c r="J95" i="34"/>
  <c r="AI95" i="34"/>
  <c r="R109" i="34"/>
  <c r="AD94" i="34"/>
  <c r="Q93" i="34"/>
  <c r="H107" i="34"/>
  <c r="K91" i="34"/>
  <c r="AB97" i="34"/>
  <c r="P98" i="34"/>
  <c r="P97" i="34"/>
  <c r="AE110" i="34"/>
  <c r="W94" i="34"/>
  <c r="U110" i="34"/>
  <c r="O110" i="34"/>
  <c r="K109" i="34"/>
  <c r="Y110" i="34"/>
  <c r="M110" i="34"/>
  <c r="L109" i="34"/>
  <c r="AA111" i="34"/>
  <c r="X111" i="34"/>
  <c r="Z111" i="34"/>
  <c r="AB111" i="34"/>
  <c r="AD111" i="34"/>
  <c r="J111" i="34"/>
  <c r="AG111" i="34"/>
  <c r="H95" i="34"/>
  <c r="Q110" i="34"/>
  <c r="S110" i="34"/>
  <c r="W109" i="34"/>
  <c r="AC109" i="34"/>
  <c r="U93" i="34"/>
  <c r="O93" i="34"/>
  <c r="Y93" i="34"/>
  <c r="R93" i="34"/>
  <c r="N95" i="34"/>
  <c r="M91" i="34"/>
  <c r="X91" i="34"/>
  <c r="L91" i="34"/>
  <c r="J107" i="34"/>
  <c r="K107" i="34"/>
  <c r="Z107" i="34"/>
  <c r="V107" i="34"/>
  <c r="I107" i="34"/>
  <c r="O107" i="34"/>
  <c r="Z92" i="34"/>
  <c r="AC114" i="34"/>
  <c r="S97" i="34"/>
  <c r="G41" i="45"/>
  <c r="G63" i="45" s="1"/>
  <c r="I41" i="45"/>
  <c r="I63" i="45" s="1"/>
  <c r="R41" i="45"/>
  <c r="R63" i="45" s="1"/>
  <c r="K41" i="45"/>
  <c r="K63" i="45" s="1"/>
  <c r="M41" i="45"/>
  <c r="M63" i="45" s="1"/>
  <c r="O42" i="45"/>
  <c r="O64" i="45" s="1"/>
  <c r="U42" i="45"/>
  <c r="U64" i="45" s="1"/>
  <c r="L41" i="45"/>
  <c r="L63" i="45" s="1"/>
  <c r="J41" i="45"/>
  <c r="J63" i="45" s="1"/>
  <c r="P42" i="45"/>
  <c r="P64" i="45" s="1"/>
  <c r="V42" i="45"/>
  <c r="V64" i="45" s="1"/>
  <c r="T110" i="34"/>
  <c r="AA98" i="34"/>
  <c r="T114" i="34"/>
  <c r="P114" i="34"/>
  <c r="V98" i="34"/>
  <c r="Z98" i="34"/>
  <c r="AC113" i="34"/>
  <c r="O97" i="34"/>
  <c r="Z97" i="34"/>
  <c r="AA113" i="34"/>
  <c r="L95" i="34"/>
  <c r="AB93" i="34"/>
  <c r="I93" i="34"/>
  <c r="W111" i="34"/>
  <c r="AF94" i="34"/>
  <c r="Y111" i="34"/>
  <c r="N93" i="34"/>
  <c r="AH94" i="34"/>
  <c r="M94" i="34"/>
  <c r="AD95" i="34"/>
  <c r="P110" i="34"/>
  <c r="Y109" i="34"/>
  <c r="N111" i="34"/>
  <c r="X110" i="34"/>
  <c r="J110" i="34"/>
  <c r="H94" i="34"/>
  <c r="I110" i="34"/>
  <c r="AE111" i="34"/>
  <c r="AI94" i="34"/>
  <c r="L107" i="34"/>
  <c r="W107" i="34"/>
  <c r="AA91" i="34"/>
  <c r="O91" i="34"/>
  <c r="R107" i="34"/>
  <c r="T41" i="45"/>
  <c r="T63" i="45" s="1"/>
  <c r="X41" i="45"/>
  <c r="X63" i="45" s="1"/>
  <c r="F42" i="45"/>
  <c r="F64" i="45" s="1"/>
  <c r="Z114" i="34"/>
  <c r="AB98" i="34"/>
  <c r="R113" i="34"/>
  <c r="D38" i="34"/>
  <c r="D6" i="34"/>
  <c r="X93" i="34"/>
  <c r="H93" i="34"/>
  <c r="AH95" i="34"/>
  <c r="Q95" i="34"/>
  <c r="V93" i="34"/>
  <c r="AC94" i="34"/>
  <c r="O94" i="34"/>
  <c r="O109" i="34"/>
  <c r="P94" i="34"/>
  <c r="M109" i="34"/>
  <c r="AA94" i="34"/>
  <c r="X94" i="34"/>
  <c r="T107" i="34"/>
  <c r="X107" i="34"/>
  <c r="N107" i="34"/>
  <c r="Q107" i="34"/>
  <c r="W91" i="34"/>
  <c r="AA107" i="34"/>
  <c r="AB107" i="34"/>
  <c r="P107" i="34"/>
  <c r="V91" i="34"/>
  <c r="I91" i="34"/>
  <c r="U107" i="34"/>
  <c r="Y107" i="34"/>
  <c r="W92" i="34"/>
  <c r="V108" i="34"/>
  <c r="AB92" i="34"/>
  <c r="X97" i="34"/>
  <c r="I97" i="34"/>
  <c r="T42" i="45"/>
  <c r="T64" i="45" s="1"/>
  <c r="X42" i="45"/>
  <c r="X64" i="45" s="1"/>
  <c r="O41" i="45"/>
  <c r="O63" i="45" s="1"/>
  <c r="U41" i="45"/>
  <c r="U63" i="45" s="1"/>
  <c r="S42" i="45"/>
  <c r="S64" i="45" s="1"/>
  <c r="Y42" i="45"/>
  <c r="Y64" i="45" s="1"/>
  <c r="P41" i="45"/>
  <c r="P63" i="45" s="1"/>
  <c r="V41" i="45"/>
  <c r="V63" i="45" s="1"/>
  <c r="Q97" i="34"/>
  <c r="U97" i="34"/>
  <c r="S113" i="34"/>
  <c r="AA114" i="34"/>
  <c r="X114" i="34"/>
  <c r="T98" i="34"/>
  <c r="H114" i="34"/>
  <c r="J98" i="34"/>
  <c r="R98" i="34"/>
  <c r="AB114" i="34"/>
  <c r="K114" i="34"/>
  <c r="AA97" i="34"/>
  <c r="K98" i="34"/>
  <c r="P113" i="34"/>
  <c r="K56" i="36"/>
  <c r="K72" i="36"/>
  <c r="U160" i="34"/>
  <c r="Z69" i="36"/>
  <c r="W164" i="34"/>
  <c r="T163" i="34"/>
  <c r="U53" i="36"/>
  <c r="Z176" i="34"/>
  <c r="W73" i="36"/>
  <c r="T72" i="36"/>
  <c r="T56" i="36"/>
  <c r="R50" i="36"/>
  <c r="AB67" i="36"/>
  <c r="W72" i="36"/>
  <c r="W56" i="36"/>
  <c r="AB74" i="36"/>
  <c r="AB58" i="36"/>
  <c r="AB165" i="34"/>
  <c r="AB181" i="34"/>
  <c r="K165" i="34"/>
  <c r="K58" i="36"/>
  <c r="K74" i="36"/>
  <c r="K181" i="34"/>
  <c r="P165" i="34"/>
  <c r="P58" i="36"/>
  <c r="P74" i="36"/>
  <c r="P181" i="34"/>
  <c r="Z165" i="34"/>
  <c r="Z181" i="34"/>
  <c r="Z58" i="36"/>
  <c r="Z74" i="36"/>
  <c r="AG165" i="34"/>
  <c r="AG181" i="34"/>
  <c r="T58" i="36"/>
  <c r="T74" i="36"/>
  <c r="T165" i="34"/>
  <c r="T181" i="34"/>
  <c r="U58" i="36"/>
  <c r="U181" i="34"/>
  <c r="U165" i="34"/>
  <c r="U74" i="36"/>
  <c r="AE165" i="34"/>
  <c r="AE181" i="34"/>
  <c r="L74" i="36"/>
  <c r="L181" i="34"/>
  <c r="L58" i="36"/>
  <c r="L165" i="34"/>
  <c r="AC181" i="34"/>
  <c r="AC74" i="36"/>
  <c r="AC165" i="34"/>
  <c r="AC58" i="36"/>
  <c r="Q58" i="36"/>
  <c r="Q181" i="34"/>
  <c r="Q165" i="34"/>
  <c r="Q74" i="36"/>
  <c r="V181" i="34"/>
  <c r="V58" i="36"/>
  <c r="V74" i="36"/>
  <c r="V165" i="34"/>
  <c r="X165" i="34"/>
  <c r="X58" i="36"/>
  <c r="X74" i="36"/>
  <c r="X181" i="34"/>
  <c r="R181" i="34"/>
  <c r="R165" i="34"/>
  <c r="R58" i="36"/>
  <c r="R74" i="36"/>
  <c r="AI165" i="34"/>
  <c r="AI181" i="34"/>
  <c r="J74" i="36"/>
  <c r="J58" i="36"/>
  <c r="J165" i="34"/>
  <c r="J181" i="34"/>
  <c r="N165" i="34"/>
  <c r="N58" i="36"/>
  <c r="N74" i="36"/>
  <c r="N181" i="34"/>
  <c r="Y181" i="34"/>
  <c r="Y58" i="36"/>
  <c r="Y165" i="34"/>
  <c r="Y74" i="36"/>
  <c r="AH165" i="34"/>
  <c r="AH181" i="34"/>
  <c r="AF181" i="34"/>
  <c r="AF165" i="34"/>
  <c r="W58" i="36"/>
  <c r="W74" i="36"/>
  <c r="W181" i="34"/>
  <c r="W165" i="34"/>
  <c r="AD165" i="34"/>
  <c r="AD181" i="34"/>
  <c r="M181" i="34"/>
  <c r="M165" i="34"/>
  <c r="M74" i="36"/>
  <c r="M58" i="36"/>
  <c r="AA58" i="36"/>
  <c r="AA181" i="34"/>
  <c r="AA74" i="36"/>
  <c r="AA165" i="34"/>
  <c r="H181" i="34"/>
  <c r="H74" i="36"/>
  <c r="H58" i="36"/>
  <c r="H165" i="34"/>
  <c r="O181" i="34"/>
  <c r="O165" i="34"/>
  <c r="O74" i="36"/>
  <c r="O58" i="36"/>
  <c r="S165" i="34"/>
  <c r="S74" i="36"/>
  <c r="S58" i="36"/>
  <c r="S181" i="34"/>
  <c r="I181" i="34"/>
  <c r="I58" i="36"/>
  <c r="I74" i="36"/>
  <c r="I165" i="34"/>
  <c r="AC163" i="34"/>
  <c r="AC56" i="36"/>
  <c r="AC179" i="34"/>
  <c r="N179" i="34"/>
  <c r="N72" i="36"/>
  <c r="N56" i="36"/>
  <c r="U73" i="36"/>
  <c r="H179" i="34"/>
  <c r="H56" i="36"/>
  <c r="H163" i="34"/>
  <c r="H72" i="36"/>
  <c r="Y56" i="36"/>
  <c r="Y72" i="36"/>
  <c r="Y179" i="34"/>
  <c r="Y163" i="34"/>
  <c r="Y73" i="36"/>
  <c r="Y164" i="34"/>
  <c r="Y180" i="34"/>
  <c r="Y57" i="36"/>
  <c r="M179" i="34"/>
  <c r="M56" i="36"/>
  <c r="M72" i="36"/>
  <c r="M163" i="34"/>
  <c r="Z158" i="34"/>
  <c r="T53" i="36"/>
  <c r="W174" i="34"/>
  <c r="S51" i="36"/>
  <c r="Q174" i="34"/>
  <c r="T176" i="34"/>
  <c r="T160" i="34"/>
  <c r="L51" i="36"/>
  <c r="L158" i="34"/>
  <c r="I51" i="36"/>
  <c r="I174" i="34"/>
  <c r="I48" i="36"/>
  <c r="I140" i="34"/>
  <c r="I136" i="34"/>
  <c r="I88" i="34"/>
  <c r="G44" i="45" s="1"/>
  <c r="Y48" i="36"/>
  <c r="Y140" i="34"/>
  <c r="Y136" i="34"/>
  <c r="Y88" i="34"/>
  <c r="W44" i="45" s="1"/>
  <c r="K48" i="36"/>
  <c r="K136" i="34"/>
  <c r="K88" i="34"/>
  <c r="I44" i="45" s="1"/>
  <c r="K140" i="34"/>
  <c r="L78" i="36"/>
  <c r="L185" i="34"/>
  <c r="L62" i="36"/>
  <c r="L169" i="34"/>
  <c r="K62" i="36"/>
  <c r="K185" i="34"/>
  <c r="K169" i="34"/>
  <c r="K78" i="36"/>
  <c r="AI169" i="34"/>
  <c r="AI185" i="34"/>
  <c r="M48" i="36"/>
  <c r="M140" i="34"/>
  <c r="M136" i="34"/>
  <c r="M88" i="34"/>
  <c r="K44" i="45" s="1"/>
  <c r="AC48" i="36"/>
  <c r="AC140" i="34"/>
  <c r="AC136" i="34"/>
  <c r="AC88" i="34"/>
  <c r="AA44" i="45" s="1"/>
  <c r="O48" i="36"/>
  <c r="O140" i="34"/>
  <c r="O136" i="34"/>
  <c r="O88" i="34"/>
  <c r="M44" i="45" s="1"/>
  <c r="AE170" i="34"/>
  <c r="AE186" i="34"/>
  <c r="AA185" i="34"/>
  <c r="AA169" i="34"/>
  <c r="AA62" i="36"/>
  <c r="AA78" i="36"/>
  <c r="R79" i="36"/>
  <c r="R186" i="34"/>
  <c r="R170" i="34"/>
  <c r="R63" i="36"/>
  <c r="N48" i="36"/>
  <c r="N88" i="34"/>
  <c r="L44" i="45" s="1"/>
  <c r="N140" i="34"/>
  <c r="N136" i="34"/>
  <c r="L48" i="36"/>
  <c r="L140" i="34"/>
  <c r="L136" i="34"/>
  <c r="L88" i="34"/>
  <c r="J44" i="45" s="1"/>
  <c r="Q78" i="36"/>
  <c r="Q169" i="34"/>
  <c r="Q185" i="34"/>
  <c r="Q62" i="36"/>
  <c r="X79" i="36"/>
  <c r="X186" i="34"/>
  <c r="X63" i="36"/>
  <c r="X170" i="34"/>
  <c r="AH169" i="34"/>
  <c r="AH185" i="34"/>
  <c r="W63" i="36"/>
  <c r="W186" i="34"/>
  <c r="W170" i="34"/>
  <c r="W79" i="36"/>
  <c r="S62" i="36"/>
  <c r="S78" i="36"/>
  <c r="S169" i="34"/>
  <c r="S185" i="34"/>
  <c r="AF169" i="34"/>
  <c r="AF185" i="34"/>
  <c r="Y186" i="34"/>
  <c r="Y63" i="36"/>
  <c r="Y79" i="36"/>
  <c r="Y170" i="34"/>
  <c r="I144" i="34"/>
  <c r="I90" i="34"/>
  <c r="G46" i="45" s="1"/>
  <c r="Y144" i="34"/>
  <c r="Y90" i="34"/>
  <c r="W46" i="45" s="1"/>
  <c r="K144" i="34"/>
  <c r="K90" i="34"/>
  <c r="I46" i="45" s="1"/>
  <c r="V144" i="34"/>
  <c r="V90" i="34"/>
  <c r="T46" i="45" s="1"/>
  <c r="P144" i="34"/>
  <c r="P90" i="34"/>
  <c r="N46" i="45" s="1"/>
  <c r="T144" i="34"/>
  <c r="T90" i="34"/>
  <c r="R46" i="45" s="1"/>
  <c r="P185" i="34"/>
  <c r="P78" i="36"/>
  <c r="P169" i="34"/>
  <c r="P62" i="36"/>
  <c r="L186" i="34"/>
  <c r="L79" i="36"/>
  <c r="L63" i="36"/>
  <c r="L170" i="34"/>
  <c r="AD186" i="34"/>
  <c r="AD170" i="34"/>
  <c r="J63" i="36"/>
  <c r="J79" i="36"/>
  <c r="J170" i="34"/>
  <c r="J186" i="34"/>
  <c r="M144" i="34"/>
  <c r="M90" i="34"/>
  <c r="K46" i="45" s="1"/>
  <c r="AC144" i="34"/>
  <c r="AC90" i="34"/>
  <c r="AA46" i="45" s="1"/>
  <c r="O144" i="34"/>
  <c r="O90" i="34"/>
  <c r="M46" i="45" s="1"/>
  <c r="J144" i="34"/>
  <c r="J90" i="34"/>
  <c r="H46" i="45" s="1"/>
  <c r="Z144" i="34"/>
  <c r="Z90" i="34"/>
  <c r="X46" i="45" s="1"/>
  <c r="AB144" i="34"/>
  <c r="AB90" i="34"/>
  <c r="Z46" i="45" s="1"/>
  <c r="AC79" i="36"/>
  <c r="AC186" i="34"/>
  <c r="AC63" i="36"/>
  <c r="AC170" i="34"/>
  <c r="AE185" i="34"/>
  <c r="AE169" i="34"/>
  <c r="T62" i="36"/>
  <c r="T185" i="34"/>
  <c r="T169" i="34"/>
  <c r="T78" i="36"/>
  <c r="R62" i="36"/>
  <c r="R169" i="34"/>
  <c r="R78" i="36"/>
  <c r="R185" i="34"/>
  <c r="Q48" i="36"/>
  <c r="Q140" i="34"/>
  <c r="Q136" i="34"/>
  <c r="Q88" i="34"/>
  <c r="O44" i="45" s="1"/>
  <c r="W48" i="36"/>
  <c r="W140" i="34"/>
  <c r="W136" i="34"/>
  <c r="W88" i="34"/>
  <c r="U44" i="45" s="1"/>
  <c r="S48" i="36"/>
  <c r="S140" i="34"/>
  <c r="S136" i="34"/>
  <c r="S88" i="34"/>
  <c r="Q44" i="45" s="1"/>
  <c r="Z79" i="36"/>
  <c r="Z170" i="34"/>
  <c r="Z63" i="36"/>
  <c r="Z186" i="34"/>
  <c r="X78" i="36"/>
  <c r="X185" i="34"/>
  <c r="X62" i="36"/>
  <c r="X169" i="34"/>
  <c r="AB186" i="34"/>
  <c r="AB63" i="36"/>
  <c r="AB79" i="36"/>
  <c r="AB170" i="34"/>
  <c r="R48" i="36"/>
  <c r="R88" i="34"/>
  <c r="P44" i="45" s="1"/>
  <c r="R136" i="34"/>
  <c r="R140" i="34"/>
  <c r="X48" i="36"/>
  <c r="X88" i="34"/>
  <c r="V44" i="45" s="1"/>
  <c r="X136" i="34"/>
  <c r="X140" i="34"/>
  <c r="W169" i="34"/>
  <c r="W62" i="36"/>
  <c r="W185" i="34"/>
  <c r="W78" i="36"/>
  <c r="V169" i="34"/>
  <c r="V185" i="34"/>
  <c r="V78" i="36"/>
  <c r="V62" i="36"/>
  <c r="AF186" i="34"/>
  <c r="AF170" i="34"/>
  <c r="H169" i="34"/>
  <c r="H78" i="36"/>
  <c r="H62" i="36"/>
  <c r="H185" i="34"/>
  <c r="AD169" i="34"/>
  <c r="AD185" i="34"/>
  <c r="O170" i="34"/>
  <c r="O79" i="36"/>
  <c r="O63" i="36"/>
  <c r="O186" i="34"/>
  <c r="AC169" i="34"/>
  <c r="AC78" i="36"/>
  <c r="AC62" i="36"/>
  <c r="AC185" i="34"/>
  <c r="U169" i="34"/>
  <c r="U62" i="36"/>
  <c r="U78" i="36"/>
  <c r="U185" i="34"/>
  <c r="T186" i="34"/>
  <c r="T79" i="36"/>
  <c r="T170" i="34"/>
  <c r="T63" i="36"/>
  <c r="Q144" i="34"/>
  <c r="Q90" i="34"/>
  <c r="O46" i="45" s="1"/>
  <c r="W144" i="34"/>
  <c r="W90" i="34"/>
  <c r="U46" i="45" s="1"/>
  <c r="N144" i="34"/>
  <c r="N90" i="34"/>
  <c r="L46" i="45" s="1"/>
  <c r="S144" i="34"/>
  <c r="S90" i="34"/>
  <c r="Q46" i="45" s="1"/>
  <c r="L144" i="34"/>
  <c r="L90" i="34"/>
  <c r="J46" i="45" s="1"/>
  <c r="N186" i="34"/>
  <c r="N170" i="34"/>
  <c r="N79" i="36"/>
  <c r="N63" i="36"/>
  <c r="Z62" i="36"/>
  <c r="Z185" i="34"/>
  <c r="Z78" i="36"/>
  <c r="Z169" i="34"/>
  <c r="AG185" i="34"/>
  <c r="AG169" i="34"/>
  <c r="AB169" i="34"/>
  <c r="AB78" i="36"/>
  <c r="AB62" i="36"/>
  <c r="AB185" i="34"/>
  <c r="U48" i="36"/>
  <c r="U140" i="34"/>
  <c r="U136" i="34"/>
  <c r="U88" i="34"/>
  <c r="S44" i="45" s="1"/>
  <c r="H48" i="36"/>
  <c r="H88" i="34"/>
  <c r="F44" i="45" s="1"/>
  <c r="H140" i="34"/>
  <c r="H136" i="34"/>
  <c r="AA48" i="36"/>
  <c r="AA140" i="34"/>
  <c r="AA136" i="34"/>
  <c r="AA88" i="34"/>
  <c r="Y44" i="45" s="1"/>
  <c r="I79" i="36"/>
  <c r="I186" i="34"/>
  <c r="I63" i="36"/>
  <c r="I170" i="34"/>
  <c r="V186" i="34"/>
  <c r="V63" i="36"/>
  <c r="V79" i="36"/>
  <c r="V170" i="34"/>
  <c r="M63" i="36"/>
  <c r="M170" i="34"/>
  <c r="M79" i="36"/>
  <c r="M186" i="34"/>
  <c r="V48" i="36"/>
  <c r="V136" i="34"/>
  <c r="V140" i="34"/>
  <c r="V88" i="34"/>
  <c r="T44" i="45" s="1"/>
  <c r="P48" i="36"/>
  <c r="P140" i="34"/>
  <c r="P88" i="34"/>
  <c r="N44" i="45" s="1"/>
  <c r="P136" i="34"/>
  <c r="T48" i="36"/>
  <c r="T140" i="34"/>
  <c r="T136" i="34"/>
  <c r="T88" i="34"/>
  <c r="R44" i="45" s="1"/>
  <c r="K79" i="36"/>
  <c r="K186" i="34"/>
  <c r="K63" i="36"/>
  <c r="K170" i="34"/>
  <c r="H79" i="36"/>
  <c r="H63" i="36"/>
  <c r="H170" i="34"/>
  <c r="H186" i="34"/>
  <c r="J78" i="36"/>
  <c r="J185" i="34"/>
  <c r="J62" i="36"/>
  <c r="J169" i="34"/>
  <c r="AI170" i="34"/>
  <c r="AI186" i="34"/>
  <c r="J48" i="36"/>
  <c r="J136" i="34"/>
  <c r="J140" i="34"/>
  <c r="J88" i="34"/>
  <c r="H44" i="45" s="1"/>
  <c r="Z48" i="36"/>
  <c r="Z140" i="34"/>
  <c r="Z136" i="34"/>
  <c r="Z88" i="34"/>
  <c r="X44" i="45" s="1"/>
  <c r="AB48" i="36"/>
  <c r="AB140" i="34"/>
  <c r="AB136" i="34"/>
  <c r="AB88" i="34"/>
  <c r="Z44" i="45" s="1"/>
  <c r="O78" i="36"/>
  <c r="O62" i="36"/>
  <c r="O169" i="34"/>
  <c r="O185" i="34"/>
  <c r="AA186" i="34"/>
  <c r="AA79" i="36"/>
  <c r="AA63" i="36"/>
  <c r="AA170" i="34"/>
  <c r="U186" i="34"/>
  <c r="U63" i="36"/>
  <c r="U79" i="36"/>
  <c r="U170" i="34"/>
  <c r="Q186" i="34"/>
  <c r="Q63" i="36"/>
  <c r="Q79" i="36"/>
  <c r="Q170" i="34"/>
  <c r="N185" i="34"/>
  <c r="N169" i="34"/>
  <c r="N62" i="36"/>
  <c r="N78" i="36"/>
  <c r="AH186" i="34"/>
  <c r="AH170" i="34"/>
  <c r="AG186" i="34"/>
  <c r="AG170" i="34"/>
  <c r="U144" i="34"/>
  <c r="U90" i="34"/>
  <c r="S46" i="45" s="1"/>
  <c r="H90" i="34"/>
  <c r="F46" i="45" s="1"/>
  <c r="H144" i="34"/>
  <c r="AA144" i="34"/>
  <c r="AA90" i="34"/>
  <c r="Y46" i="45" s="1"/>
  <c r="R144" i="34"/>
  <c r="R90" i="34"/>
  <c r="P46" i="45" s="1"/>
  <c r="X144" i="34"/>
  <c r="X90" i="34"/>
  <c r="V46" i="45" s="1"/>
  <c r="S79" i="36"/>
  <c r="S186" i="34"/>
  <c r="S63" i="36"/>
  <c r="S170" i="34"/>
  <c r="I169" i="34"/>
  <c r="I62" i="36"/>
  <c r="I78" i="36"/>
  <c r="I185" i="34"/>
  <c r="Y62" i="36"/>
  <c r="Y185" i="34"/>
  <c r="Y78" i="36"/>
  <c r="Y169" i="34"/>
  <c r="M78" i="36"/>
  <c r="M185" i="34"/>
  <c r="M62" i="36"/>
  <c r="M169" i="34"/>
  <c r="L67" i="36"/>
  <c r="I67" i="36"/>
  <c r="Z67" i="36"/>
  <c r="W67" i="36"/>
  <c r="AB158" i="34"/>
  <c r="S174" i="34"/>
  <c r="Z174" i="34"/>
  <c r="W158" i="34"/>
  <c r="AB174" i="34"/>
  <c r="S67" i="36"/>
  <c r="Q51" i="36"/>
  <c r="O51" i="36"/>
  <c r="O158" i="34"/>
  <c r="O67" i="36"/>
  <c r="AA51" i="36"/>
  <c r="AA158" i="34"/>
  <c r="V51" i="36"/>
  <c r="AA67" i="36"/>
  <c r="N174" i="34"/>
  <c r="AA174" i="34"/>
  <c r="V174" i="34"/>
  <c r="N51" i="36"/>
  <c r="Q67" i="36"/>
  <c r="V158" i="34"/>
  <c r="N158" i="34"/>
  <c r="P51" i="36"/>
  <c r="P67" i="36"/>
  <c r="P174" i="34"/>
  <c r="P158" i="34"/>
  <c r="J158" i="34"/>
  <c r="J51" i="36"/>
  <c r="J174" i="34"/>
  <c r="J67" i="36"/>
  <c r="M174" i="34"/>
  <c r="M67" i="36"/>
  <c r="M158" i="34"/>
  <c r="M51" i="36"/>
  <c r="K67" i="36"/>
  <c r="K51" i="36"/>
  <c r="K158" i="34"/>
  <c r="K174" i="34"/>
  <c r="R174" i="34"/>
  <c r="R158" i="34"/>
  <c r="R51" i="36"/>
  <c r="R67" i="36"/>
  <c r="U158" i="34"/>
  <c r="U51" i="36"/>
  <c r="U174" i="34"/>
  <c r="U67" i="36"/>
  <c r="Y174" i="34"/>
  <c r="Y67" i="36"/>
  <c r="Y51" i="36"/>
  <c r="Y158" i="34"/>
  <c r="T174" i="34"/>
  <c r="T67" i="36"/>
  <c r="T51" i="36"/>
  <c r="T158" i="34"/>
  <c r="H174" i="34"/>
  <c r="H67" i="36"/>
  <c r="H158" i="34"/>
  <c r="H51" i="36"/>
  <c r="AC174" i="34"/>
  <c r="AC158" i="34"/>
  <c r="AC67" i="36"/>
  <c r="AC51" i="36"/>
  <c r="X67" i="36"/>
  <c r="X51" i="36"/>
  <c r="X158" i="34"/>
  <c r="X174" i="34"/>
  <c r="S70" i="36"/>
  <c r="S54" i="36"/>
  <c r="S177" i="34"/>
  <c r="S161" i="34"/>
  <c r="I70" i="36"/>
  <c r="I54" i="36"/>
  <c r="I161" i="34"/>
  <c r="I177" i="34"/>
  <c r="U70" i="36"/>
  <c r="U54" i="36"/>
  <c r="U177" i="34"/>
  <c r="U161" i="34"/>
  <c r="O54" i="36"/>
  <c r="O70" i="36"/>
  <c r="O161" i="34"/>
  <c r="O177" i="34"/>
  <c r="M70" i="36"/>
  <c r="M54" i="36"/>
  <c r="M177" i="34"/>
  <c r="M161" i="34"/>
  <c r="T70" i="36"/>
  <c r="T54" i="36"/>
  <c r="T177" i="34"/>
  <c r="T161" i="34"/>
  <c r="V70" i="36"/>
  <c r="V161" i="34"/>
  <c r="V177" i="34"/>
  <c r="V54" i="36"/>
  <c r="P70" i="36"/>
  <c r="P161" i="34"/>
  <c r="P177" i="34"/>
  <c r="P54" i="36"/>
  <c r="K70" i="36"/>
  <c r="K54" i="36"/>
  <c r="K161" i="34"/>
  <c r="K177" i="34"/>
  <c r="D38" i="33"/>
  <c r="D4" i="45"/>
  <c r="D58" i="45" s="1"/>
  <c r="D23" i="45"/>
  <c r="D12" i="45"/>
  <c r="D13" i="45" s="1"/>
  <c r="E23" i="45"/>
  <c r="B15" i="45"/>
  <c r="C23" i="45"/>
  <c r="E10" i="45"/>
  <c r="E4" i="45" s="1"/>
  <c r="C38" i="33"/>
  <c r="C20" i="34"/>
  <c r="G86" i="39"/>
  <c r="G87" i="39"/>
  <c r="G88" i="39"/>
  <c r="G89" i="39"/>
  <c r="H89" i="39" s="1"/>
  <c r="G90" i="39"/>
  <c r="G91" i="39"/>
  <c r="G92" i="39"/>
  <c r="G93" i="39"/>
  <c r="H93" i="39" s="1"/>
  <c r="G94" i="39"/>
  <c r="H94" i="39" s="1"/>
  <c r="G95" i="39"/>
  <c r="G96" i="39"/>
  <c r="G97" i="39"/>
  <c r="H97" i="39" s="1"/>
  <c r="G98" i="39"/>
  <c r="H98" i="39" s="1"/>
  <c r="G99" i="39"/>
  <c r="G100" i="39"/>
  <c r="G101" i="39"/>
  <c r="H101" i="39" s="1"/>
  <c r="G102" i="39"/>
  <c r="G85" i="39"/>
  <c r="H37" i="39"/>
  <c r="H39" i="39"/>
  <c r="H41" i="39"/>
  <c r="H43" i="39"/>
  <c r="H45" i="39"/>
  <c r="H49" i="39"/>
  <c r="H51" i="39"/>
  <c r="H53" i="39"/>
  <c r="H55" i="39"/>
  <c r="H57" i="39"/>
  <c r="H59" i="39"/>
  <c r="G37" i="39"/>
  <c r="G38" i="39"/>
  <c r="H38" i="39" s="1"/>
  <c r="G39" i="39"/>
  <c r="G40" i="39"/>
  <c r="H40" i="39" s="1"/>
  <c r="G41" i="39"/>
  <c r="G42" i="39"/>
  <c r="H42" i="39" s="1"/>
  <c r="G43" i="39"/>
  <c r="G44" i="39"/>
  <c r="H44" i="39" s="1"/>
  <c r="G45" i="39"/>
  <c r="G46" i="39"/>
  <c r="H46" i="39" s="1"/>
  <c r="G47" i="39"/>
  <c r="H47" i="39" s="1"/>
  <c r="G48" i="39"/>
  <c r="H48" i="39" s="1"/>
  <c r="G49" i="39"/>
  <c r="G50" i="39"/>
  <c r="H50" i="39" s="1"/>
  <c r="G51" i="39"/>
  <c r="G52" i="39"/>
  <c r="H52" i="39" s="1"/>
  <c r="G53" i="39"/>
  <c r="G54" i="39"/>
  <c r="H54" i="39" s="1"/>
  <c r="G55" i="39"/>
  <c r="G56" i="39"/>
  <c r="H56" i="39" s="1"/>
  <c r="G57" i="39"/>
  <c r="G58" i="39"/>
  <c r="H58" i="39" s="1"/>
  <c r="G59" i="39"/>
  <c r="G36" i="39"/>
  <c r="D13" i="36"/>
  <c r="D48" i="46" s="1"/>
  <c r="C12" i="36"/>
  <c r="D11" i="36"/>
  <c r="D46" i="46" s="1"/>
  <c r="G9" i="39"/>
  <c r="G10" i="39"/>
  <c r="G8" i="39"/>
  <c r="H8" i="39" s="1"/>
  <c r="G6" i="39"/>
  <c r="G7" i="39"/>
  <c r="G5" i="39"/>
  <c r="H133" i="39"/>
  <c r="H130" i="39"/>
  <c r="H129" i="39"/>
  <c r="H124" i="39"/>
  <c r="H121" i="39"/>
  <c r="H120" i="39"/>
  <c r="H117" i="39"/>
  <c r="H114" i="39"/>
  <c r="H132" i="39"/>
  <c r="H131" i="39"/>
  <c r="H126" i="39"/>
  <c r="H127" i="39"/>
  <c r="H128" i="39"/>
  <c r="H125" i="39"/>
  <c r="H123" i="39"/>
  <c r="H122" i="39"/>
  <c r="H116" i="39"/>
  <c r="H118" i="39"/>
  <c r="H119" i="39"/>
  <c r="H115" i="39"/>
  <c r="H112" i="39"/>
  <c r="H15" i="33" s="1"/>
  <c r="H110" i="39"/>
  <c r="H14" i="33" s="1"/>
  <c r="H105" i="39"/>
  <c r="H102" i="39"/>
  <c r="H100" i="39"/>
  <c r="H99" i="39"/>
  <c r="H96" i="39"/>
  <c r="H95" i="39"/>
  <c r="H92" i="39"/>
  <c r="H91" i="39"/>
  <c r="H90" i="39"/>
  <c r="H88" i="39"/>
  <c r="H87" i="39"/>
  <c r="H86" i="39"/>
  <c r="H85" i="39"/>
  <c r="G104" i="39"/>
  <c r="H104" i="39" s="1"/>
  <c r="G105" i="39"/>
  <c r="G106" i="39"/>
  <c r="H106" i="39" s="1"/>
  <c r="G107" i="39"/>
  <c r="H107" i="39" s="1"/>
  <c r="G108" i="39"/>
  <c r="H108" i="39" s="1"/>
  <c r="G103" i="39"/>
  <c r="H103" i="39" s="1"/>
  <c r="H83" i="39"/>
  <c r="H82" i="39"/>
  <c r="H79" i="39"/>
  <c r="H78" i="39"/>
  <c r="H75" i="39"/>
  <c r="H74" i="39"/>
  <c r="H71" i="39"/>
  <c r="H70" i="39"/>
  <c r="H67" i="39"/>
  <c r="H66" i="39"/>
  <c r="H63" i="39"/>
  <c r="H62" i="39"/>
  <c r="H36" i="39"/>
  <c r="G61" i="39"/>
  <c r="H61" i="39" s="1"/>
  <c r="G62" i="39"/>
  <c r="G63" i="39"/>
  <c r="G64" i="39"/>
  <c r="H64" i="39" s="1"/>
  <c r="G65" i="39"/>
  <c r="H65" i="39" s="1"/>
  <c r="G66" i="39"/>
  <c r="G67" i="39"/>
  <c r="G68" i="39"/>
  <c r="H68" i="39" s="1"/>
  <c r="G69" i="39"/>
  <c r="H69" i="39" s="1"/>
  <c r="G70" i="39"/>
  <c r="G71" i="39"/>
  <c r="G72" i="39"/>
  <c r="H72" i="39" s="1"/>
  <c r="G73" i="39"/>
  <c r="H73" i="39" s="1"/>
  <c r="G74" i="39"/>
  <c r="G75" i="39"/>
  <c r="G76" i="39"/>
  <c r="H76" i="39" s="1"/>
  <c r="G77" i="39"/>
  <c r="H77" i="39" s="1"/>
  <c r="G78" i="39"/>
  <c r="G79" i="39"/>
  <c r="G80" i="39"/>
  <c r="H80" i="39" s="1"/>
  <c r="G81" i="39"/>
  <c r="H81" i="39" s="1"/>
  <c r="G82" i="39"/>
  <c r="G83" i="39"/>
  <c r="G60" i="39"/>
  <c r="H60" i="39" s="1"/>
  <c r="H28" i="39"/>
  <c r="H31" i="39"/>
  <c r="H32" i="39"/>
  <c r="H25" i="39"/>
  <c r="H9" i="33" s="1"/>
  <c r="H26" i="39"/>
  <c r="H23" i="39"/>
  <c r="H24" i="39"/>
  <c r="H15" i="39"/>
  <c r="H16" i="39"/>
  <c r="H19" i="39"/>
  <c r="H20" i="39"/>
  <c r="H6" i="39"/>
  <c r="H7" i="39"/>
  <c r="H9" i="39"/>
  <c r="H10" i="39"/>
  <c r="H5" i="39"/>
  <c r="G30" i="39"/>
  <c r="H30" i="39" s="1"/>
  <c r="G31" i="39"/>
  <c r="G32" i="39"/>
  <c r="G33" i="39"/>
  <c r="H33" i="39" s="1"/>
  <c r="G34" i="39"/>
  <c r="H34" i="39" s="1"/>
  <c r="G29" i="39"/>
  <c r="H29" i="39" s="1"/>
  <c r="H13" i="39"/>
  <c r="H14" i="39"/>
  <c r="H17" i="39"/>
  <c r="H18" i="39"/>
  <c r="H21" i="39"/>
  <c r="H22" i="39"/>
  <c r="H27" i="39"/>
  <c r="H12" i="39"/>
  <c r="C133" i="39"/>
  <c r="B133" i="39"/>
  <c r="C132" i="39"/>
  <c r="B132" i="39"/>
  <c r="C131" i="39"/>
  <c r="B131" i="39"/>
  <c r="C130" i="39"/>
  <c r="B130" i="39"/>
  <c r="C129" i="39"/>
  <c r="B129" i="39"/>
  <c r="C128" i="39"/>
  <c r="B128" i="39"/>
  <c r="C127" i="39"/>
  <c r="B127" i="39"/>
  <c r="C126" i="39"/>
  <c r="B126" i="39"/>
  <c r="C125" i="39"/>
  <c r="B125" i="39"/>
  <c r="C124" i="39"/>
  <c r="B124" i="39"/>
  <c r="C123" i="39"/>
  <c r="B123" i="39"/>
  <c r="C122" i="39"/>
  <c r="B122" i="39"/>
  <c r="C121" i="39"/>
  <c r="B121" i="39"/>
  <c r="C120" i="39"/>
  <c r="B120" i="39"/>
  <c r="C119" i="39"/>
  <c r="B119" i="39"/>
  <c r="C118" i="39"/>
  <c r="B118" i="39"/>
  <c r="C117" i="39"/>
  <c r="B117" i="39"/>
  <c r="C116" i="39"/>
  <c r="B116" i="39"/>
  <c r="C115" i="39"/>
  <c r="B115" i="39"/>
  <c r="C114" i="39"/>
  <c r="B114" i="39"/>
  <c r="C112" i="39"/>
  <c r="B112" i="39"/>
  <c r="C110" i="39"/>
  <c r="B110" i="39"/>
  <c r="C108" i="39"/>
  <c r="B108" i="39"/>
  <c r="C107" i="39"/>
  <c r="B107" i="39"/>
  <c r="C106" i="39"/>
  <c r="B106" i="39"/>
  <c r="C105" i="39"/>
  <c r="B105" i="39"/>
  <c r="C104" i="39"/>
  <c r="B104" i="39"/>
  <c r="C103" i="39"/>
  <c r="B103" i="39"/>
  <c r="C102" i="39"/>
  <c r="B102" i="39"/>
  <c r="C101" i="39"/>
  <c r="B101" i="39"/>
  <c r="C100" i="39"/>
  <c r="B100" i="39"/>
  <c r="C99" i="39"/>
  <c r="B99" i="39"/>
  <c r="C98" i="39"/>
  <c r="B98" i="39"/>
  <c r="C97" i="39"/>
  <c r="B97" i="39"/>
  <c r="C96" i="39"/>
  <c r="B96" i="39"/>
  <c r="C95" i="39"/>
  <c r="B95" i="39"/>
  <c r="C94" i="39"/>
  <c r="B94" i="39"/>
  <c r="C93" i="39"/>
  <c r="B93" i="39"/>
  <c r="C92" i="39"/>
  <c r="B92" i="39"/>
  <c r="C91" i="39"/>
  <c r="B91" i="39"/>
  <c r="C90" i="39"/>
  <c r="B90" i="39"/>
  <c r="C89" i="39"/>
  <c r="B89" i="39"/>
  <c r="C88" i="39"/>
  <c r="B88" i="39"/>
  <c r="C87" i="39"/>
  <c r="B87" i="39"/>
  <c r="C86" i="39"/>
  <c r="B86" i="39"/>
  <c r="C85" i="39"/>
  <c r="B85" i="39"/>
  <c r="C83" i="39"/>
  <c r="B83" i="39"/>
  <c r="C82" i="39"/>
  <c r="B82" i="39"/>
  <c r="C81" i="39"/>
  <c r="B81" i="39"/>
  <c r="C80" i="39"/>
  <c r="B80" i="39"/>
  <c r="C79" i="39"/>
  <c r="B79" i="39"/>
  <c r="C78" i="39"/>
  <c r="B78" i="39"/>
  <c r="C77" i="39"/>
  <c r="B77" i="39"/>
  <c r="C76" i="39"/>
  <c r="B76" i="39"/>
  <c r="C75" i="39"/>
  <c r="B75" i="39"/>
  <c r="C74" i="39"/>
  <c r="B74" i="39"/>
  <c r="C73" i="39"/>
  <c r="B73" i="39"/>
  <c r="C72" i="39"/>
  <c r="B72" i="39"/>
  <c r="C71" i="39"/>
  <c r="B71" i="39"/>
  <c r="C70" i="39"/>
  <c r="B70" i="39"/>
  <c r="C69" i="39"/>
  <c r="B69" i="39"/>
  <c r="C68" i="39"/>
  <c r="B68" i="39"/>
  <c r="C67" i="39"/>
  <c r="B67" i="39"/>
  <c r="C66" i="39"/>
  <c r="B66" i="39"/>
  <c r="C65" i="39"/>
  <c r="B65" i="39"/>
  <c r="C64" i="39"/>
  <c r="B64" i="39"/>
  <c r="C63" i="39"/>
  <c r="B63" i="39"/>
  <c r="C62" i="39"/>
  <c r="B62" i="39"/>
  <c r="C61" i="39"/>
  <c r="B61" i="39"/>
  <c r="C60" i="39"/>
  <c r="B60" i="39"/>
  <c r="C59" i="39"/>
  <c r="B59" i="39"/>
  <c r="C58" i="39"/>
  <c r="B58" i="39"/>
  <c r="C57" i="39"/>
  <c r="B57" i="39"/>
  <c r="C56" i="39"/>
  <c r="B56" i="39"/>
  <c r="C55" i="39"/>
  <c r="B55" i="39"/>
  <c r="C54" i="39"/>
  <c r="B54" i="39"/>
  <c r="C53" i="39"/>
  <c r="B53" i="39"/>
  <c r="C52" i="39"/>
  <c r="B52" i="39"/>
  <c r="C51" i="39"/>
  <c r="B51" i="39"/>
  <c r="C50" i="39"/>
  <c r="B50" i="39"/>
  <c r="C49" i="39"/>
  <c r="B49" i="39"/>
  <c r="C48" i="39"/>
  <c r="B48" i="39"/>
  <c r="C47" i="39"/>
  <c r="B47" i="39"/>
  <c r="C46" i="39"/>
  <c r="B46" i="39"/>
  <c r="C45" i="39"/>
  <c r="B45" i="39"/>
  <c r="C44" i="39"/>
  <c r="B44" i="39"/>
  <c r="C43" i="39"/>
  <c r="B43" i="39"/>
  <c r="C42" i="39"/>
  <c r="B42" i="39"/>
  <c r="C41" i="39"/>
  <c r="B41" i="39"/>
  <c r="C40" i="39"/>
  <c r="B40" i="39"/>
  <c r="C39" i="39"/>
  <c r="B39" i="39"/>
  <c r="C38" i="39"/>
  <c r="B38" i="39"/>
  <c r="C37" i="39"/>
  <c r="B37" i="39"/>
  <c r="C36" i="39"/>
  <c r="B36" i="39"/>
  <c r="C34" i="39"/>
  <c r="B34" i="39"/>
  <c r="C33" i="39"/>
  <c r="B33" i="39"/>
  <c r="C32" i="39"/>
  <c r="B32" i="39"/>
  <c r="C31" i="39"/>
  <c r="B31" i="39"/>
  <c r="C30" i="39"/>
  <c r="B30" i="39"/>
  <c r="C29" i="39"/>
  <c r="B29" i="39"/>
  <c r="C28" i="39"/>
  <c r="B28" i="39"/>
  <c r="C27" i="39"/>
  <c r="B27" i="39"/>
  <c r="C26" i="39"/>
  <c r="B26" i="39"/>
  <c r="C25" i="39"/>
  <c r="B25" i="39"/>
  <c r="C24" i="39"/>
  <c r="B24" i="39"/>
  <c r="C23" i="39"/>
  <c r="B23" i="39"/>
  <c r="C22" i="39"/>
  <c r="B22" i="39"/>
  <c r="C21" i="39"/>
  <c r="B21" i="39"/>
  <c r="C20" i="39"/>
  <c r="B20" i="39"/>
  <c r="C19" i="39"/>
  <c r="B19" i="39"/>
  <c r="C18" i="39"/>
  <c r="B18" i="39"/>
  <c r="C17" i="39"/>
  <c r="B17" i="39"/>
  <c r="C16" i="39"/>
  <c r="B16" i="39"/>
  <c r="C15" i="39"/>
  <c r="B15" i="39"/>
  <c r="C14" i="39"/>
  <c r="B14" i="39"/>
  <c r="C13" i="39"/>
  <c r="B13" i="39"/>
  <c r="C12" i="39"/>
  <c r="B12" i="39"/>
  <c r="C10" i="39"/>
  <c r="B10" i="39"/>
  <c r="C9" i="39"/>
  <c r="B9" i="39"/>
  <c r="C8" i="39"/>
  <c r="B8" i="39"/>
  <c r="C7" i="39"/>
  <c r="B7" i="39"/>
  <c r="C6" i="39"/>
  <c r="B6" i="39"/>
  <c r="K15" i="34" l="1"/>
  <c r="O15" i="34"/>
  <c r="S15" i="34"/>
  <c r="W15" i="34"/>
  <c r="AA15" i="34"/>
  <c r="AE15" i="34"/>
  <c r="AI15" i="34"/>
  <c r="AM15" i="34"/>
  <c r="L15" i="34"/>
  <c r="P15" i="34"/>
  <c r="T15" i="34"/>
  <c r="X15" i="34"/>
  <c r="AB15" i="34"/>
  <c r="AF15" i="34"/>
  <c r="AJ15" i="34"/>
  <c r="AN15" i="34"/>
  <c r="M15" i="34"/>
  <c r="U15" i="34"/>
  <c r="AC15" i="34"/>
  <c r="AK15" i="34"/>
  <c r="AQ15" i="34"/>
  <c r="AU15" i="34"/>
  <c r="AY15" i="34"/>
  <c r="BC15" i="34"/>
  <c r="BG15" i="34"/>
  <c r="BK15" i="34"/>
  <c r="BO15" i="34"/>
  <c r="N15" i="34"/>
  <c r="V15" i="34"/>
  <c r="AD15" i="34"/>
  <c r="AL15" i="34"/>
  <c r="AR15" i="34"/>
  <c r="AV15" i="34"/>
  <c r="AZ15" i="34"/>
  <c r="BD15" i="34"/>
  <c r="BH15" i="34"/>
  <c r="BL15" i="34"/>
  <c r="BP15" i="34"/>
  <c r="Q15" i="34"/>
  <c r="Y15" i="34"/>
  <c r="AG15" i="34"/>
  <c r="AO15" i="34"/>
  <c r="AS15" i="34"/>
  <c r="AW15" i="34"/>
  <c r="BA15" i="34"/>
  <c r="BE15" i="34"/>
  <c r="BI15" i="34"/>
  <c r="BM15" i="34"/>
  <c r="J15" i="34"/>
  <c r="R15" i="34"/>
  <c r="Z15" i="34"/>
  <c r="AH15" i="34"/>
  <c r="AP15" i="34"/>
  <c r="AT15" i="34"/>
  <c r="AX15" i="34"/>
  <c r="BB15" i="34"/>
  <c r="BF15" i="34"/>
  <c r="BJ15" i="34"/>
  <c r="BN15" i="34"/>
  <c r="I15" i="34"/>
  <c r="H15" i="34"/>
  <c r="K9" i="34"/>
  <c r="O9" i="34"/>
  <c r="S9" i="34"/>
  <c r="W9" i="34"/>
  <c r="AA9" i="34"/>
  <c r="AE9" i="34"/>
  <c r="AI9" i="34"/>
  <c r="AM9" i="34"/>
  <c r="AQ9" i="34"/>
  <c r="AU9" i="34"/>
  <c r="AY9" i="34"/>
  <c r="L9" i="34"/>
  <c r="P9" i="34"/>
  <c r="T9" i="34"/>
  <c r="X9" i="34"/>
  <c r="AB9" i="34"/>
  <c r="AF9" i="34"/>
  <c r="AN9" i="34"/>
  <c r="AR9" i="34"/>
  <c r="AV9" i="34"/>
  <c r="AZ9" i="34"/>
  <c r="M9" i="34"/>
  <c r="Q9" i="34"/>
  <c r="U9" i="34"/>
  <c r="Y9" i="34"/>
  <c r="AC9" i="34"/>
  <c r="AG9" i="34"/>
  <c r="AK9" i="34"/>
  <c r="AO9" i="34"/>
  <c r="AS9" i="34"/>
  <c r="AW9" i="34"/>
  <c r="BA9" i="34"/>
  <c r="J9" i="34"/>
  <c r="N9" i="34"/>
  <c r="R9" i="34"/>
  <c r="V9" i="34"/>
  <c r="Z9" i="34"/>
  <c r="AD9" i="34"/>
  <c r="AH9" i="34"/>
  <c r="AL9" i="34"/>
  <c r="AP9" i="34"/>
  <c r="AT9" i="34"/>
  <c r="AX9" i="34"/>
  <c r="BB9" i="34"/>
  <c r="BC9" i="34"/>
  <c r="BG9" i="34"/>
  <c r="BK9" i="34"/>
  <c r="BO9" i="34"/>
  <c r="BD9" i="34"/>
  <c r="BH9" i="34"/>
  <c r="BL9" i="34"/>
  <c r="BP9" i="34"/>
  <c r="BE9" i="34"/>
  <c r="BI9" i="34"/>
  <c r="BM9" i="34"/>
  <c r="BF9" i="34"/>
  <c r="BJ9" i="34"/>
  <c r="BN9" i="34"/>
  <c r="I9" i="34"/>
  <c r="H9" i="34"/>
  <c r="L14" i="34"/>
  <c r="P14" i="34"/>
  <c r="T14" i="34"/>
  <c r="X14" i="34"/>
  <c r="AB14" i="34"/>
  <c r="AF14" i="34"/>
  <c r="AJ14" i="34"/>
  <c r="AN14" i="34"/>
  <c r="AR14" i="34"/>
  <c r="AV14" i="34"/>
  <c r="AZ14" i="34"/>
  <c r="BD14" i="34"/>
  <c r="BH14" i="34"/>
  <c r="BL14" i="34"/>
  <c r="M14" i="34"/>
  <c r="Q14" i="34"/>
  <c r="U14" i="34"/>
  <c r="Y14" i="34"/>
  <c r="AC14" i="34"/>
  <c r="AG14" i="34"/>
  <c r="AK14" i="34"/>
  <c r="AO14" i="34"/>
  <c r="AS14" i="34"/>
  <c r="AW14" i="34"/>
  <c r="BA14" i="34"/>
  <c r="BE14" i="34"/>
  <c r="J14" i="34"/>
  <c r="N14" i="34"/>
  <c r="R14" i="34"/>
  <c r="V14" i="34"/>
  <c r="Z14" i="34"/>
  <c r="AD14" i="34"/>
  <c r="AH14" i="34"/>
  <c r="AL14" i="34"/>
  <c r="AP14" i="34"/>
  <c r="AT14" i="34"/>
  <c r="AX14" i="34"/>
  <c r="BB14" i="34"/>
  <c r="BF14" i="34"/>
  <c r="BJ14" i="34"/>
  <c r="BN14" i="34"/>
  <c r="K14" i="34"/>
  <c r="O14" i="34"/>
  <c r="S14" i="34"/>
  <c r="W14" i="34"/>
  <c r="AA14" i="34"/>
  <c r="AE14" i="34"/>
  <c r="AI14" i="34"/>
  <c r="AM14" i="34"/>
  <c r="AQ14" i="34"/>
  <c r="AU14" i="34"/>
  <c r="AY14" i="34"/>
  <c r="BC14" i="34"/>
  <c r="BG14" i="34"/>
  <c r="BK14" i="34"/>
  <c r="BO14" i="34"/>
  <c r="BI14" i="34"/>
  <c r="BM14" i="34"/>
  <c r="BP14" i="34"/>
  <c r="I14" i="34"/>
  <c r="H14" i="34"/>
  <c r="D94" i="46"/>
  <c r="E94" i="46" s="1"/>
  <c r="E78" i="46"/>
  <c r="D66" i="46"/>
  <c r="E48" i="46"/>
  <c r="D64" i="46"/>
  <c r="E46" i="46"/>
  <c r="E89" i="46"/>
  <c r="D105" i="46"/>
  <c r="E105" i="46" s="1"/>
  <c r="D104" i="46"/>
  <c r="E104" i="46" s="1"/>
  <c r="E88" i="46"/>
  <c r="K95" i="34"/>
  <c r="T95" i="34"/>
  <c r="O111" i="34"/>
  <c r="S95" i="34"/>
  <c r="H108" i="34"/>
  <c r="P92" i="34"/>
  <c r="Q108" i="34"/>
  <c r="I108" i="34"/>
  <c r="H104" i="34"/>
  <c r="V104" i="34"/>
  <c r="W119" i="34"/>
  <c r="J120" i="34"/>
  <c r="L120" i="34"/>
  <c r="S119" i="34"/>
  <c r="AE104" i="34"/>
  <c r="AI103" i="34"/>
  <c r="U115" i="34"/>
  <c r="AI111" i="34"/>
  <c r="V111" i="34"/>
  <c r="I111" i="34"/>
  <c r="M92" i="34"/>
  <c r="J108" i="34"/>
  <c r="N92" i="34"/>
  <c r="I119" i="34"/>
  <c r="AG104" i="34"/>
  <c r="O119" i="34"/>
  <c r="AI120" i="34"/>
  <c r="J119" i="34"/>
  <c r="H120" i="34"/>
  <c r="K120" i="34"/>
  <c r="M104" i="34"/>
  <c r="I120" i="34"/>
  <c r="AG103" i="34"/>
  <c r="Z103" i="34"/>
  <c r="U119" i="34"/>
  <c r="AC103" i="34"/>
  <c r="O104" i="34"/>
  <c r="H103" i="34"/>
  <c r="AF104" i="34"/>
  <c r="V119" i="34"/>
  <c r="AB120" i="34"/>
  <c r="X103" i="34"/>
  <c r="Z104" i="34"/>
  <c r="R119" i="34"/>
  <c r="AC104" i="34"/>
  <c r="J104" i="34"/>
  <c r="AD120" i="34"/>
  <c r="S103" i="34"/>
  <c r="W104" i="34"/>
  <c r="AH103" i="34"/>
  <c r="X120" i="34"/>
  <c r="Q119" i="34"/>
  <c r="R120" i="34"/>
  <c r="AI119" i="34"/>
  <c r="K103" i="34"/>
  <c r="L119" i="34"/>
  <c r="M97" i="34"/>
  <c r="Y113" i="34"/>
  <c r="H97" i="34"/>
  <c r="N113" i="34"/>
  <c r="I115" i="34"/>
  <c r="S99" i="34"/>
  <c r="O115" i="34"/>
  <c r="H99" i="34"/>
  <c r="AA115" i="34"/>
  <c r="M115" i="34"/>
  <c r="AD115" i="34"/>
  <c r="N115" i="34"/>
  <c r="AI99" i="34"/>
  <c r="R99" i="34"/>
  <c r="X115" i="34"/>
  <c r="V115" i="34"/>
  <c r="L99" i="34"/>
  <c r="AG99" i="34"/>
  <c r="Z99" i="34"/>
  <c r="P115" i="34"/>
  <c r="K115" i="34"/>
  <c r="W113" i="34"/>
  <c r="T97" i="34"/>
  <c r="M95" i="34"/>
  <c r="I95" i="34"/>
  <c r="X92" i="34"/>
  <c r="T108" i="34"/>
  <c r="U104" i="34"/>
  <c r="AA120" i="34"/>
  <c r="AB119" i="34"/>
  <c r="AG119" i="34"/>
  <c r="T119" i="34"/>
  <c r="AE103" i="34"/>
  <c r="Y104" i="34"/>
  <c r="N97" i="34"/>
  <c r="O99" i="34"/>
  <c r="M99" i="34"/>
  <c r="AD99" i="34"/>
  <c r="AH115" i="34"/>
  <c r="AC99" i="34"/>
  <c r="Z115" i="34"/>
  <c r="P111" i="34"/>
  <c r="M111" i="34"/>
  <c r="U111" i="34"/>
  <c r="R108" i="34"/>
  <c r="Y119" i="34"/>
  <c r="AH120" i="34"/>
  <c r="P95" i="34"/>
  <c r="AC92" i="34"/>
  <c r="H92" i="34"/>
  <c r="Y92" i="34"/>
  <c r="R92" i="34"/>
  <c r="AA108" i="34"/>
  <c r="O92" i="34"/>
  <c r="W108" i="34"/>
  <c r="L108" i="34"/>
  <c r="I103" i="34"/>
  <c r="N119" i="34"/>
  <c r="N104" i="34"/>
  <c r="T120" i="34"/>
  <c r="U103" i="34"/>
  <c r="AC119" i="34"/>
  <c r="O120" i="34"/>
  <c r="H119" i="34"/>
  <c r="AF120" i="34"/>
  <c r="W103" i="34"/>
  <c r="AB104" i="34"/>
  <c r="AE119" i="34"/>
  <c r="P103" i="34"/>
  <c r="AF119" i="34"/>
  <c r="W120" i="34"/>
  <c r="Q103" i="34"/>
  <c r="R104" i="34"/>
  <c r="AA119" i="34"/>
  <c r="K119" i="34"/>
  <c r="L92" i="34"/>
  <c r="S92" i="34"/>
  <c r="Y114" i="34"/>
  <c r="Y97" i="34"/>
  <c r="AC97" i="34"/>
  <c r="I99" i="34"/>
  <c r="S115" i="34"/>
  <c r="H115" i="34"/>
  <c r="W115" i="34"/>
  <c r="AF115" i="34"/>
  <c r="AH99" i="34"/>
  <c r="Y99" i="34"/>
  <c r="N99" i="34"/>
  <c r="J99" i="34"/>
  <c r="X99" i="34"/>
  <c r="V99" i="34"/>
  <c r="AC115" i="34"/>
  <c r="AE99" i="34"/>
  <c r="T115" i="34"/>
  <c r="P99" i="34"/>
  <c r="K99" i="34"/>
  <c r="AB99" i="34"/>
  <c r="AB108" i="34"/>
  <c r="T113" i="34"/>
  <c r="K113" i="34"/>
  <c r="U95" i="34"/>
  <c r="K108" i="34"/>
  <c r="S108" i="34"/>
  <c r="AG120" i="34"/>
  <c r="Q104" i="34"/>
  <c r="O103" i="34"/>
  <c r="T104" i="34"/>
  <c r="AD119" i="34"/>
  <c r="V103" i="34"/>
  <c r="P119" i="34"/>
  <c r="T94" i="34"/>
  <c r="M113" i="34"/>
  <c r="Y115" i="34"/>
  <c r="R115" i="34"/>
  <c r="Q115" i="34"/>
  <c r="W97" i="34"/>
  <c r="W114" i="34"/>
  <c r="Z110" i="34"/>
  <c r="K111" i="34"/>
  <c r="T111" i="34"/>
  <c r="O95" i="34"/>
  <c r="S111" i="34"/>
  <c r="X108" i="34"/>
  <c r="U108" i="34"/>
  <c r="AA92" i="34"/>
  <c r="M103" i="34"/>
  <c r="S104" i="34"/>
  <c r="V95" i="34"/>
  <c r="AC108" i="34"/>
  <c r="T92" i="34"/>
  <c r="Y108" i="34"/>
  <c r="U92" i="34"/>
  <c r="K92" i="34"/>
  <c r="M108" i="34"/>
  <c r="J92" i="34"/>
  <c r="P108" i="34"/>
  <c r="V92" i="34"/>
  <c r="O108" i="34"/>
  <c r="Q92" i="34"/>
  <c r="Z108" i="34"/>
  <c r="M119" i="34"/>
  <c r="Y103" i="34"/>
  <c r="S120" i="34"/>
  <c r="AH104" i="34"/>
  <c r="N103" i="34"/>
  <c r="Q120" i="34"/>
  <c r="U120" i="34"/>
  <c r="AA104" i="34"/>
  <c r="AI104" i="34"/>
  <c r="J103" i="34"/>
  <c r="K104" i="34"/>
  <c r="M120" i="34"/>
  <c r="V120" i="34"/>
  <c r="I104" i="34"/>
  <c r="AB103" i="34"/>
  <c r="Z119" i="34"/>
  <c r="N120" i="34"/>
  <c r="AD103" i="34"/>
  <c r="X119" i="34"/>
  <c r="Z120" i="34"/>
  <c r="R103" i="34"/>
  <c r="T103" i="34"/>
  <c r="AC120" i="34"/>
  <c r="AD104" i="34"/>
  <c r="L104" i="34"/>
  <c r="Y120" i="34"/>
  <c r="AF103" i="34"/>
  <c r="AH119" i="34"/>
  <c r="X104" i="34"/>
  <c r="AA103" i="34"/>
  <c r="AE120" i="34"/>
  <c r="L103" i="34"/>
  <c r="I92" i="34"/>
  <c r="Y98" i="34"/>
  <c r="H113" i="34"/>
  <c r="U114" i="34"/>
  <c r="AA99" i="34"/>
  <c r="W99" i="34"/>
  <c r="AF99" i="34"/>
  <c r="J115" i="34"/>
  <c r="AI115" i="34"/>
  <c r="Q99" i="34"/>
  <c r="L115" i="34"/>
  <c r="AE115" i="34"/>
  <c r="U99" i="34"/>
  <c r="T99" i="34"/>
  <c r="AG115" i="34"/>
  <c r="AB115" i="34"/>
  <c r="R91" i="34"/>
  <c r="U94" i="34"/>
  <c r="K97" i="34"/>
  <c r="H182" i="34"/>
  <c r="H75" i="36"/>
  <c r="H166" i="34"/>
  <c r="H59" i="36"/>
  <c r="M182" i="34"/>
  <c r="M166" i="34"/>
  <c r="M75" i="36"/>
  <c r="M59" i="36"/>
  <c r="W182" i="34"/>
  <c r="W75" i="36"/>
  <c r="W166" i="34"/>
  <c r="W59" i="36"/>
  <c r="AH182" i="34"/>
  <c r="AH166" i="34"/>
  <c r="N182" i="34"/>
  <c r="N75" i="36"/>
  <c r="N59" i="36"/>
  <c r="N166" i="34"/>
  <c r="AI182" i="34"/>
  <c r="AI166" i="34"/>
  <c r="S75" i="36"/>
  <c r="S182" i="34"/>
  <c r="S59" i="36"/>
  <c r="S166" i="34"/>
  <c r="T166" i="34"/>
  <c r="T59" i="36"/>
  <c r="T182" i="34"/>
  <c r="T75" i="36"/>
  <c r="Z182" i="34"/>
  <c r="Z59" i="36"/>
  <c r="Z166" i="34"/>
  <c r="Z75" i="36"/>
  <c r="K59" i="36"/>
  <c r="K182" i="34"/>
  <c r="K75" i="36"/>
  <c r="K166" i="34"/>
  <c r="R182" i="34"/>
  <c r="R75" i="36"/>
  <c r="R59" i="36"/>
  <c r="R166" i="34"/>
  <c r="V75" i="36"/>
  <c r="V182" i="34"/>
  <c r="V59" i="36"/>
  <c r="V166" i="34"/>
  <c r="AC59" i="36"/>
  <c r="AC75" i="36"/>
  <c r="AC166" i="34"/>
  <c r="AC182" i="34"/>
  <c r="AE182" i="34"/>
  <c r="AE166" i="34"/>
  <c r="AA166" i="34"/>
  <c r="AA59" i="36"/>
  <c r="AA182" i="34"/>
  <c r="AA75" i="36"/>
  <c r="AD166" i="34"/>
  <c r="AD182" i="34"/>
  <c r="AF182" i="34"/>
  <c r="AF166" i="34"/>
  <c r="Y182" i="34"/>
  <c r="Y59" i="36"/>
  <c r="Y166" i="34"/>
  <c r="Y75" i="36"/>
  <c r="J75" i="36"/>
  <c r="J59" i="36"/>
  <c r="J182" i="34"/>
  <c r="J166" i="34"/>
  <c r="I182" i="34"/>
  <c r="I166" i="34"/>
  <c r="I75" i="36"/>
  <c r="I59" i="36"/>
  <c r="O75" i="36"/>
  <c r="O166" i="34"/>
  <c r="O59" i="36"/>
  <c r="O182" i="34"/>
  <c r="AG182" i="34"/>
  <c r="AG166" i="34"/>
  <c r="P75" i="36"/>
  <c r="P59" i="36"/>
  <c r="P166" i="34"/>
  <c r="P182" i="34"/>
  <c r="AB182" i="34"/>
  <c r="AB166" i="34"/>
  <c r="AB75" i="36"/>
  <c r="AB59" i="36"/>
  <c r="X166" i="34"/>
  <c r="X59" i="36"/>
  <c r="X182" i="34"/>
  <c r="X75" i="36"/>
  <c r="Q75" i="36"/>
  <c r="Q182" i="34"/>
  <c r="Q166" i="34"/>
  <c r="Q59" i="36"/>
  <c r="L166" i="34"/>
  <c r="L75" i="36"/>
  <c r="L59" i="36"/>
  <c r="L182" i="34"/>
  <c r="U166" i="34"/>
  <c r="U75" i="36"/>
  <c r="U59" i="36"/>
  <c r="U182" i="34"/>
  <c r="U164" i="34"/>
  <c r="U180" i="34"/>
  <c r="U57" i="36"/>
  <c r="S180" i="34"/>
  <c r="S57" i="36"/>
  <c r="S73" i="36"/>
  <c r="S164" i="34"/>
  <c r="O180" i="34"/>
  <c r="O57" i="36"/>
  <c r="O73" i="36"/>
  <c r="O164" i="34"/>
  <c r="I57" i="36"/>
  <c r="I164" i="34"/>
  <c r="I73" i="36"/>
  <c r="I180" i="34"/>
  <c r="L164" i="34"/>
  <c r="L73" i="36"/>
  <c r="L180" i="34"/>
  <c r="L57" i="36"/>
  <c r="Q57" i="36"/>
  <c r="Q180" i="34"/>
  <c r="Q164" i="34"/>
  <c r="Q73" i="36"/>
  <c r="M164" i="34"/>
  <c r="M180" i="34"/>
  <c r="M73" i="36"/>
  <c r="M57" i="36"/>
  <c r="P137" i="34"/>
  <c r="P89" i="34"/>
  <c r="P141" i="34"/>
  <c r="V137" i="34"/>
  <c r="V141" i="34"/>
  <c r="V89" i="34"/>
  <c r="AA89" i="34"/>
  <c r="AA141" i="34"/>
  <c r="AA137" i="34"/>
  <c r="X89" i="34"/>
  <c r="X141" i="34"/>
  <c r="X137" i="34"/>
  <c r="R89" i="34"/>
  <c r="R137" i="34"/>
  <c r="R141" i="34"/>
  <c r="AB141" i="34"/>
  <c r="AB89" i="34"/>
  <c r="AB137" i="34"/>
  <c r="Z141" i="34"/>
  <c r="Z89" i="34"/>
  <c r="Z137" i="34"/>
  <c r="J137" i="34"/>
  <c r="J141" i="34"/>
  <c r="J89" i="34"/>
  <c r="T141" i="34"/>
  <c r="T89" i="34"/>
  <c r="T137" i="34"/>
  <c r="H141" i="34"/>
  <c r="H137" i="34"/>
  <c r="H89" i="34"/>
  <c r="U89" i="34"/>
  <c r="U141" i="34"/>
  <c r="U137" i="34"/>
  <c r="P63" i="36"/>
  <c r="P79" i="36"/>
  <c r="P186" i="34"/>
  <c r="P170" i="34"/>
  <c r="S89" i="34"/>
  <c r="S141" i="34"/>
  <c r="S137" i="34"/>
  <c r="W137" i="34"/>
  <c r="W89" i="34"/>
  <c r="W141" i="34"/>
  <c r="Q141" i="34"/>
  <c r="Q137" i="34"/>
  <c r="Q89" i="34"/>
  <c r="L141" i="34"/>
  <c r="L89" i="34"/>
  <c r="L137" i="34"/>
  <c r="N141" i="34"/>
  <c r="N89" i="34"/>
  <c r="N137" i="34"/>
  <c r="O141" i="34"/>
  <c r="O137" i="34"/>
  <c r="O89" i="34"/>
  <c r="AC137" i="34"/>
  <c r="AC89" i="34"/>
  <c r="AC141" i="34"/>
  <c r="M141" i="34"/>
  <c r="M137" i="34"/>
  <c r="M89" i="34"/>
  <c r="K141" i="34"/>
  <c r="K137" i="34"/>
  <c r="K89" i="34"/>
  <c r="Y141" i="34"/>
  <c r="Y137" i="34"/>
  <c r="Y89" i="34"/>
  <c r="I89" i="34"/>
  <c r="I141" i="34"/>
  <c r="I137" i="34"/>
  <c r="D24" i="45"/>
  <c r="E24" i="45"/>
  <c r="D14" i="45"/>
  <c r="E12" i="45"/>
  <c r="B16" i="45"/>
  <c r="D84" i="46" l="1"/>
  <c r="E66" i="46"/>
  <c r="E64" i="46"/>
  <c r="D82" i="46"/>
  <c r="M98" i="34"/>
  <c r="L98" i="34"/>
  <c r="AB116" i="34"/>
  <c r="V100" i="34"/>
  <c r="K116" i="34"/>
  <c r="S100" i="34"/>
  <c r="M114" i="34"/>
  <c r="I114" i="34"/>
  <c r="O114" i="34"/>
  <c r="S114" i="34"/>
  <c r="U116" i="34"/>
  <c r="L116" i="34"/>
  <c r="X100" i="34"/>
  <c r="P100" i="34"/>
  <c r="AG116" i="34"/>
  <c r="J100" i="34"/>
  <c r="Y100" i="34"/>
  <c r="AD116" i="34"/>
  <c r="AA100" i="34"/>
  <c r="AC116" i="34"/>
  <c r="R116" i="34"/>
  <c r="Z100" i="34"/>
  <c r="T100" i="34"/>
  <c r="AI116" i="34"/>
  <c r="N116" i="34"/>
  <c r="AH100" i="34"/>
  <c r="W116" i="34"/>
  <c r="H116" i="34"/>
  <c r="U98" i="34"/>
  <c r="AE116" i="34"/>
  <c r="R100" i="34"/>
  <c r="N100" i="34"/>
  <c r="AH116" i="34"/>
  <c r="M116" i="34"/>
  <c r="L114" i="34"/>
  <c r="O98" i="34"/>
  <c r="S98" i="34"/>
  <c r="Q116" i="34"/>
  <c r="P116" i="34"/>
  <c r="O116" i="34"/>
  <c r="J116" i="34"/>
  <c r="AF100" i="34"/>
  <c r="AD100" i="34"/>
  <c r="AE100" i="34"/>
  <c r="AC100" i="34"/>
  <c r="V116" i="34"/>
  <c r="K100" i="34"/>
  <c r="S116" i="34"/>
  <c r="P104" i="34"/>
  <c r="Q114" i="34"/>
  <c r="U100" i="34"/>
  <c r="L100" i="34"/>
  <c r="O100" i="34"/>
  <c r="I116" i="34"/>
  <c r="P120" i="34"/>
  <c r="Q98" i="34"/>
  <c r="I98" i="34"/>
  <c r="Q100" i="34"/>
  <c r="X116" i="34"/>
  <c r="AB100" i="34"/>
  <c r="AG100" i="34"/>
  <c r="I100" i="34"/>
  <c r="Y116" i="34"/>
  <c r="AF116" i="34"/>
  <c r="AA116" i="34"/>
  <c r="Z116" i="34"/>
  <c r="T116" i="34"/>
  <c r="AI100" i="34"/>
  <c r="W100" i="34"/>
  <c r="M100" i="34"/>
  <c r="H100" i="34"/>
  <c r="E25" i="45"/>
  <c r="D25" i="45"/>
  <c r="B17" i="45"/>
  <c r="D15" i="45"/>
  <c r="E13" i="45"/>
  <c r="D98" i="46" l="1"/>
  <c r="E98" i="46" s="1"/>
  <c r="E82" i="46"/>
  <c r="D100" i="46"/>
  <c r="E100" i="46" s="1"/>
  <c r="E84" i="46"/>
  <c r="D63" i="36"/>
  <c r="D52" i="36"/>
  <c r="D62" i="36"/>
  <c r="D26" i="45"/>
  <c r="E26" i="45"/>
  <c r="E14" i="45"/>
  <c r="B18" i="45"/>
  <c r="D16" i="45"/>
  <c r="E52" i="36" l="1"/>
  <c r="D93" i="34"/>
  <c r="D68" i="36"/>
  <c r="E63" i="36"/>
  <c r="D104" i="34"/>
  <c r="D79" i="36"/>
  <c r="D78" i="36"/>
  <c r="E62" i="36"/>
  <c r="D103" i="34"/>
  <c r="E19" i="45"/>
  <c r="D19" i="45"/>
  <c r="D60" i="45" s="1"/>
  <c r="B11" i="45"/>
  <c r="B59" i="45" s="1"/>
  <c r="D17" i="45"/>
  <c r="E15" i="45"/>
  <c r="E78" i="36" l="1"/>
  <c r="D218" i="33"/>
  <c r="E218" i="33" s="1"/>
  <c r="D169" i="34"/>
  <c r="E68" i="36"/>
  <c r="D159" i="34"/>
  <c r="D208" i="33"/>
  <c r="E208" i="33" s="1"/>
  <c r="E79" i="36"/>
  <c r="D170" i="34"/>
  <c r="D219" i="33"/>
  <c r="E219" i="33" s="1"/>
  <c r="D58" i="36"/>
  <c r="D109" i="34"/>
  <c r="E109" i="34" s="1"/>
  <c r="E93" i="34"/>
  <c r="D56" i="36"/>
  <c r="D119" i="34"/>
  <c r="E119" i="34" s="1"/>
  <c r="E103" i="34"/>
  <c r="D120" i="34"/>
  <c r="E120" i="34" s="1"/>
  <c r="E104" i="34"/>
  <c r="D18" i="45"/>
  <c r="E16" i="45"/>
  <c r="D186" i="34" l="1"/>
  <c r="E186" i="34" s="1"/>
  <c r="E170" i="34"/>
  <c r="E169" i="34"/>
  <c r="D185" i="34"/>
  <c r="E185" i="34" s="1"/>
  <c r="E159" i="34"/>
  <c r="D175" i="34"/>
  <c r="E175" i="34" s="1"/>
  <c r="E56" i="36"/>
  <c r="D97" i="34"/>
  <c r="D72" i="36"/>
  <c r="E58" i="36"/>
  <c r="D99" i="34"/>
  <c r="D74" i="36"/>
  <c r="D11" i="45"/>
  <c r="D59" i="45" s="1"/>
  <c r="E17" i="45"/>
  <c r="E74" i="36" l="1"/>
  <c r="D214" i="33"/>
  <c r="E214" i="33" s="1"/>
  <c r="D165" i="34"/>
  <c r="E72" i="36"/>
  <c r="D212" i="33"/>
  <c r="E212" i="33" s="1"/>
  <c r="D163" i="34"/>
  <c r="E97" i="34"/>
  <c r="D113" i="34"/>
  <c r="E113" i="34" s="1"/>
  <c r="D115" i="34"/>
  <c r="E115" i="34" s="1"/>
  <c r="E99" i="34"/>
  <c r="E18" i="45"/>
  <c r="E165" i="34" l="1"/>
  <c r="D181" i="34"/>
  <c r="E181" i="34" s="1"/>
  <c r="D179" i="34"/>
  <c r="E179" i="34" s="1"/>
  <c r="E163" i="34"/>
  <c r="E11" i="45"/>
  <c r="E18" i="34" l="1"/>
  <c r="E19" i="34" s="1"/>
  <c r="E4" i="34"/>
  <c r="E5" i="34" s="1"/>
  <c r="E18" i="33"/>
  <c r="E36" i="33" s="1"/>
  <c r="E4" i="33"/>
  <c r="E21" i="34" l="1"/>
  <c r="E22" i="34" s="1"/>
  <c r="E23" i="34" s="1"/>
  <c r="E24" i="34" s="1"/>
  <c r="E25" i="34" s="1"/>
  <c r="E26" i="34" s="1"/>
  <c r="E27" i="34" s="1"/>
  <c r="E28" i="34" s="1"/>
  <c r="E29" i="34" s="1"/>
  <c r="E30" i="34" s="1"/>
  <c r="E20" i="34"/>
  <c r="E7" i="34"/>
  <c r="E8" i="34" s="1"/>
  <c r="E9" i="34" s="1"/>
  <c r="E10" i="34" s="1"/>
  <c r="E11" i="34" s="1"/>
  <c r="E12" i="34" s="1"/>
  <c r="E13" i="34" s="1"/>
  <c r="E14" i="34" s="1"/>
  <c r="E15" i="34" s="1"/>
  <c r="E16" i="34" s="1"/>
  <c r="E17" i="34" s="1"/>
  <c r="E6" i="34"/>
  <c r="H77" i="36" l="1"/>
  <c r="H61" i="36"/>
  <c r="H168" i="34"/>
  <c r="H184" i="34"/>
  <c r="E31" i="34"/>
  <c r="E32" i="34" s="1"/>
  <c r="E33" i="34" s="1"/>
  <c r="E34" i="34" s="1"/>
  <c r="E35" i="34" s="1"/>
  <c r="E36" i="34" s="1"/>
  <c r="E37" i="34" s="1"/>
  <c r="F9" i="45" l="1"/>
  <c r="F16" i="45"/>
  <c r="H102" i="34"/>
  <c r="F24" i="45"/>
  <c r="H118" i="34"/>
  <c r="I61" i="36"/>
  <c r="I77" i="36"/>
  <c r="I168" i="34"/>
  <c r="I184" i="34"/>
  <c r="E39" i="34"/>
  <c r="E40" i="34" s="1"/>
  <c r="E41" i="34" s="1"/>
  <c r="E42" i="34" s="1"/>
  <c r="E43" i="34" s="1"/>
  <c r="E44" i="34" s="1"/>
  <c r="E45" i="34" s="1"/>
  <c r="E46" i="34" s="1"/>
  <c r="E47" i="34" s="1"/>
  <c r="E48" i="34" s="1"/>
  <c r="E49" i="34" s="1"/>
  <c r="E50" i="34" s="1"/>
  <c r="E51" i="34" s="1"/>
  <c r="E52" i="34" s="1"/>
  <c r="E53" i="34" s="1"/>
  <c r="E38" i="34"/>
  <c r="G16" i="45" l="1"/>
  <c r="I102" i="34"/>
  <c r="G24" i="45"/>
  <c r="G9" i="45"/>
  <c r="I118" i="34"/>
  <c r="K61" i="36" l="1"/>
  <c r="K77" i="36"/>
  <c r="K168" i="34"/>
  <c r="K184" i="34"/>
  <c r="J77" i="36"/>
  <c r="J61" i="36"/>
  <c r="J168" i="34"/>
  <c r="J184" i="34"/>
  <c r="I24" i="45" l="1"/>
  <c r="J102" i="34"/>
  <c r="H16" i="45"/>
  <c r="H9" i="45"/>
  <c r="J118" i="34"/>
  <c r="K118" i="34"/>
  <c r="I9" i="45"/>
  <c r="I16" i="45"/>
  <c r="H24" i="45"/>
  <c r="K102" i="34"/>
  <c r="L77" i="36"/>
  <c r="L61" i="36"/>
  <c r="L168" i="34"/>
  <c r="L184" i="34"/>
  <c r="J16" i="45" l="1"/>
  <c r="J9" i="45"/>
  <c r="L102" i="34"/>
  <c r="J24" i="45"/>
  <c r="L118" i="34"/>
  <c r="M77" i="36"/>
  <c r="M61" i="36"/>
  <c r="M184" i="34"/>
  <c r="M168" i="34"/>
  <c r="K9" i="45" l="1"/>
  <c r="K24" i="45"/>
  <c r="M102" i="34"/>
  <c r="M118" i="34"/>
  <c r="K16" i="45"/>
  <c r="N77" i="36"/>
  <c r="N61" i="36"/>
  <c r="N184" i="34"/>
  <c r="N168" i="34"/>
  <c r="L16" i="45" l="1"/>
  <c r="L9" i="45"/>
  <c r="N102" i="34"/>
  <c r="L24" i="45"/>
  <c r="N118" i="34"/>
  <c r="O61" i="36"/>
  <c r="O77" i="36"/>
  <c r="O168" i="34"/>
  <c r="O184" i="34"/>
  <c r="M9" i="45" l="1"/>
  <c r="O102" i="34"/>
  <c r="M24" i="45"/>
  <c r="M16" i="45"/>
  <c r="O118" i="34"/>
  <c r="P77" i="36"/>
  <c r="P61" i="36"/>
  <c r="P168" i="34"/>
  <c r="P184" i="34"/>
  <c r="N16" i="45" l="1"/>
  <c r="P102" i="34"/>
  <c r="P118" i="34"/>
  <c r="N24" i="45"/>
  <c r="N9" i="45"/>
  <c r="Q77" i="36"/>
  <c r="Q61" i="36"/>
  <c r="Q168" i="34"/>
  <c r="Q184" i="34"/>
  <c r="O24" i="45" l="1"/>
  <c r="O9" i="45"/>
  <c r="Q118" i="34"/>
  <c r="Q102" i="34"/>
  <c r="O16" i="45"/>
  <c r="R77" i="36"/>
  <c r="R61" i="36"/>
  <c r="R184" i="34"/>
  <c r="R168" i="34"/>
  <c r="R102" i="34" l="1"/>
  <c r="R118" i="34"/>
  <c r="P16" i="45"/>
  <c r="P24" i="45"/>
  <c r="P9" i="45"/>
  <c r="S61" i="36"/>
  <c r="S77" i="36"/>
  <c r="S184" i="34"/>
  <c r="S168" i="34"/>
  <c r="Q24" i="45" l="1"/>
  <c r="Q16" i="45"/>
  <c r="S102" i="34"/>
  <c r="Q9" i="45"/>
  <c r="S118" i="34"/>
  <c r="T77" i="36"/>
  <c r="T61" i="36"/>
  <c r="T184" i="34"/>
  <c r="T168" i="34"/>
  <c r="R9" i="45" l="1"/>
  <c r="T102" i="34"/>
  <c r="R16" i="45"/>
  <c r="T118" i="34"/>
  <c r="R24" i="45"/>
  <c r="U77" i="36"/>
  <c r="U61" i="36"/>
  <c r="U168" i="34"/>
  <c r="U184" i="34"/>
  <c r="U102" i="34" l="1"/>
  <c r="U118" i="34"/>
  <c r="S9" i="45"/>
  <c r="S24" i="45"/>
  <c r="S16" i="45"/>
  <c r="V77" i="36"/>
  <c r="V61" i="36"/>
  <c r="V168" i="34"/>
  <c r="V184" i="34"/>
  <c r="T9" i="45" l="1"/>
  <c r="T24" i="45"/>
  <c r="V118" i="34"/>
  <c r="V102" i="34"/>
  <c r="T16" i="45"/>
  <c r="W77" i="36"/>
  <c r="W61" i="36"/>
  <c r="W168" i="34"/>
  <c r="W184" i="34"/>
  <c r="U24" i="45" l="1"/>
  <c r="W118" i="34"/>
  <c r="U9" i="45"/>
  <c r="U16" i="45"/>
  <c r="W102" i="34"/>
  <c r="X61" i="36"/>
  <c r="X77" i="36"/>
  <c r="X168" i="34"/>
  <c r="X184" i="34"/>
  <c r="X102" i="34" l="1"/>
  <c r="V9" i="45"/>
  <c r="V24" i="45"/>
  <c r="X118" i="34"/>
  <c r="V16" i="45"/>
  <c r="Y61" i="36"/>
  <c r="Y77" i="36"/>
  <c r="Y184" i="34"/>
  <c r="Y168" i="34"/>
  <c r="W9" i="45" l="1"/>
  <c r="Y102" i="34"/>
  <c r="Y118" i="34"/>
  <c r="W24" i="45"/>
  <c r="W16" i="45"/>
  <c r="Z77" i="36"/>
  <c r="Z61" i="36"/>
  <c r="Z168" i="34"/>
  <c r="Z184" i="34"/>
  <c r="Z102" i="34" l="1"/>
  <c r="X24" i="45"/>
  <c r="Z118" i="34"/>
  <c r="X16" i="45"/>
  <c r="X9" i="45"/>
  <c r="AA77" i="36"/>
  <c r="AA61" i="36"/>
  <c r="AA168" i="34"/>
  <c r="AA184" i="34"/>
  <c r="Y9" i="45" l="1"/>
  <c r="Y16" i="45"/>
  <c r="AA102" i="34"/>
  <c r="Y24" i="45"/>
  <c r="AA118" i="34"/>
  <c r="AB77" i="36"/>
  <c r="AB61" i="36"/>
  <c r="AB168" i="34"/>
  <c r="AB184" i="34"/>
  <c r="Z9" i="45" l="1"/>
  <c r="Z24" i="45"/>
  <c r="AB118" i="34"/>
  <c r="AB102" i="34"/>
  <c r="Z16" i="45"/>
  <c r="AC77" i="36"/>
  <c r="AC61" i="36"/>
  <c r="AC168" i="34"/>
  <c r="AC184" i="34"/>
  <c r="AA9" i="45" l="1"/>
  <c r="AC118" i="34"/>
  <c r="AC102" i="34"/>
  <c r="AA24" i="45"/>
  <c r="AA16" i="45"/>
  <c r="AD184" i="34"/>
  <c r="AD168" i="34"/>
  <c r="AD118" i="34" l="1"/>
  <c r="AB24" i="45"/>
  <c r="AB9" i="45"/>
  <c r="AD102" i="34"/>
  <c r="AB16" i="45"/>
  <c r="AE168" i="34"/>
  <c r="AE184" i="34"/>
  <c r="AE118" i="34" l="1"/>
  <c r="AC9" i="45"/>
  <c r="AE102" i="34"/>
  <c r="AC24" i="45"/>
  <c r="AC16" i="45"/>
  <c r="AF168" i="34"/>
  <c r="AF184" i="34"/>
  <c r="AF118" i="34" l="1"/>
  <c r="AD9" i="45"/>
  <c r="AD16" i="45"/>
  <c r="AD24" i="45"/>
  <c r="AF102" i="34"/>
  <c r="AG168" i="34"/>
  <c r="AG184" i="34"/>
  <c r="AE16" i="45" l="1"/>
  <c r="AE24" i="45"/>
  <c r="AE9" i="45"/>
  <c r="AG102" i="34"/>
  <c r="AG118" i="34"/>
  <c r="AH184" i="34"/>
  <c r="AH168" i="34"/>
  <c r="AF16" i="45" l="1"/>
  <c r="AF24" i="45"/>
  <c r="AF9" i="45"/>
  <c r="AH102" i="34"/>
  <c r="AH118" i="34"/>
  <c r="AI184" i="34"/>
  <c r="AI168" i="34"/>
  <c r="AG24" i="45" l="1"/>
  <c r="AI118" i="34"/>
  <c r="AG9" i="45"/>
  <c r="AG16" i="45"/>
  <c r="AI102" i="34"/>
  <c r="AJ77" i="36" l="1"/>
  <c r="AJ168" i="34"/>
  <c r="AJ184" i="34"/>
  <c r="AJ61" i="36"/>
  <c r="AH16" i="45" l="1"/>
  <c r="AH9" i="45"/>
  <c r="AH24" i="45"/>
  <c r="AJ102" i="34"/>
  <c r="AJ118" i="34"/>
  <c r="AK77" i="36"/>
  <c r="AK168" i="34"/>
  <c r="AK184" i="34"/>
  <c r="AK61" i="36"/>
  <c r="AK102" i="34" l="1"/>
  <c r="AI24" i="45"/>
  <c r="AI16" i="45"/>
  <c r="AK118" i="34"/>
  <c r="AI9" i="45"/>
  <c r="AL77" i="36"/>
  <c r="AL168" i="34"/>
  <c r="AL184" i="34"/>
  <c r="AL61" i="36"/>
  <c r="AL102" i="34" l="1"/>
  <c r="AJ9" i="45"/>
  <c r="AJ24" i="45"/>
  <c r="AJ16" i="45"/>
  <c r="AL118" i="34"/>
  <c r="AM77" i="36"/>
  <c r="AM168" i="34"/>
  <c r="AM184" i="34"/>
  <c r="AM61" i="36"/>
  <c r="AM102" i="34" l="1"/>
  <c r="AK24" i="45"/>
  <c r="AK9" i="45"/>
  <c r="AM118" i="34"/>
  <c r="AK16" i="45"/>
  <c r="AN77" i="36"/>
  <c r="AN168" i="34"/>
  <c r="AN184" i="34"/>
  <c r="AN61" i="36"/>
  <c r="AL9" i="45" l="1"/>
  <c r="AN102" i="34"/>
  <c r="AN118" i="34"/>
  <c r="AL24" i="45"/>
  <c r="AL16" i="45"/>
  <c r="AO77" i="36"/>
  <c r="AO168" i="34"/>
  <c r="AO184" i="34"/>
  <c r="AO61" i="36"/>
  <c r="AM16" i="45" l="1"/>
  <c r="AO118" i="34"/>
  <c r="AM9" i="45"/>
  <c r="AO102" i="34"/>
  <c r="AM24" i="45"/>
  <c r="AP77" i="36"/>
  <c r="AP168" i="34"/>
  <c r="AP184" i="34"/>
  <c r="AP61" i="36"/>
  <c r="AP102" i="34" l="1"/>
  <c r="AP118" i="34"/>
  <c r="AN9" i="45"/>
  <c r="AN24" i="45"/>
  <c r="AN16" i="45"/>
  <c r="AQ77" i="36"/>
  <c r="AQ168" i="34"/>
  <c r="AQ184" i="34"/>
  <c r="AQ61" i="36"/>
  <c r="AO9" i="45" l="1"/>
  <c r="AQ118" i="34"/>
  <c r="AO24" i="45"/>
  <c r="AQ102" i="34"/>
  <c r="AO16" i="45"/>
  <c r="AR77" i="36"/>
  <c r="AR168" i="34"/>
  <c r="AR184" i="34"/>
  <c r="AR61" i="36"/>
  <c r="AP16" i="45" l="1"/>
  <c r="AR118" i="34"/>
  <c r="AP24" i="45"/>
  <c r="AR102" i="34"/>
  <c r="AP9" i="45"/>
  <c r="AS77" i="36"/>
  <c r="AS168" i="34"/>
  <c r="AS184" i="34"/>
  <c r="AS61" i="36"/>
  <c r="AQ16" i="45" l="1"/>
  <c r="AS102" i="34"/>
  <c r="AS118" i="34"/>
  <c r="AQ9" i="45"/>
  <c r="AQ24" i="45"/>
  <c r="AT77" i="36"/>
  <c r="AT168" i="34"/>
  <c r="AT184" i="34"/>
  <c r="AT61" i="36"/>
  <c r="AR16" i="45" l="1"/>
  <c r="AT102" i="34"/>
  <c r="AT118" i="34"/>
  <c r="AR9" i="45"/>
  <c r="AR24" i="45"/>
  <c r="AU77" i="36"/>
  <c r="AU168" i="34"/>
  <c r="AU184" i="34"/>
  <c r="AU61" i="36"/>
  <c r="AU102" i="34" l="1"/>
  <c r="AU118" i="34"/>
  <c r="AS16" i="45"/>
  <c r="AS9" i="45"/>
  <c r="AS24" i="45"/>
  <c r="AV77" i="36"/>
  <c r="AV168" i="34"/>
  <c r="AV184" i="34"/>
  <c r="AV61" i="36"/>
  <c r="AV102" i="34" l="1"/>
  <c r="AV118" i="34"/>
  <c r="AT16" i="45"/>
  <c r="AT24" i="45"/>
  <c r="AT9" i="45"/>
  <c r="AW77" i="36"/>
  <c r="AW168" i="34"/>
  <c r="AW184" i="34"/>
  <c r="AW61" i="36"/>
  <c r="AU9" i="45" l="1"/>
  <c r="AW118" i="34"/>
  <c r="AW102" i="34"/>
  <c r="AU24" i="45"/>
  <c r="AU16" i="45"/>
  <c r="AX77" i="36"/>
  <c r="AX168" i="34"/>
  <c r="AX184" i="34"/>
  <c r="AX61" i="36"/>
  <c r="AV9" i="45" l="1"/>
  <c r="AX102" i="34"/>
  <c r="AX118" i="34"/>
  <c r="AV24" i="45"/>
  <c r="AV16" i="45"/>
  <c r="AY77" i="36"/>
  <c r="AY168" i="34"/>
  <c r="AY184" i="34"/>
  <c r="AY61" i="36"/>
  <c r="AY102" i="34" l="1"/>
  <c r="AW9" i="45"/>
  <c r="AW24" i="45"/>
  <c r="AW16" i="45"/>
  <c r="AY118" i="34"/>
  <c r="AZ77" i="36"/>
  <c r="AZ168" i="34"/>
  <c r="AZ184" i="34"/>
  <c r="AZ61" i="36"/>
  <c r="AZ102" i="34" l="1"/>
  <c r="AZ118" i="34"/>
  <c r="AX16" i="45"/>
  <c r="AX24" i="45"/>
  <c r="AX9" i="45"/>
  <c r="BA77" i="36"/>
  <c r="BA168" i="34"/>
  <c r="BA184" i="34"/>
  <c r="BA61" i="36"/>
  <c r="AY9" i="45" l="1"/>
  <c r="BA102" i="34"/>
  <c r="BA118" i="34"/>
  <c r="AY24" i="45"/>
  <c r="AY16" i="45"/>
  <c r="BB77" i="36"/>
  <c r="BB168" i="34"/>
  <c r="BB184" i="34"/>
  <c r="BB61" i="36"/>
  <c r="AZ9" i="45" l="1"/>
  <c r="BB102" i="34"/>
  <c r="BB118" i="34"/>
  <c r="AZ24" i="45"/>
  <c r="AZ16" i="45"/>
  <c r="BC77" i="36"/>
  <c r="BC168" i="34"/>
  <c r="BC184" i="34"/>
  <c r="BC61" i="36"/>
  <c r="BA16" i="45" l="1"/>
  <c r="BC118" i="34"/>
  <c r="BA9" i="45"/>
  <c r="BA24" i="45"/>
  <c r="BC102" i="34"/>
  <c r="BD77" i="36"/>
  <c r="BD168" i="34"/>
  <c r="BD184" i="34"/>
  <c r="BD61" i="36"/>
  <c r="BB16" i="45" l="1"/>
  <c r="BD102" i="34"/>
  <c r="BD118" i="34"/>
  <c r="BB9" i="45"/>
  <c r="BB24" i="45"/>
  <c r="BE77" i="36"/>
  <c r="BE168" i="34"/>
  <c r="BE184" i="34"/>
  <c r="BE61" i="36"/>
  <c r="BC9" i="45" l="1"/>
  <c r="BE102" i="34"/>
  <c r="BE118" i="34"/>
  <c r="BC24" i="45"/>
  <c r="BC16" i="45"/>
  <c r="BF77" i="36"/>
  <c r="BF168" i="34"/>
  <c r="BF184" i="34"/>
  <c r="BF61" i="36"/>
  <c r="BD9" i="45" l="1"/>
  <c r="BF102" i="34"/>
  <c r="BF118" i="34"/>
  <c r="BD16" i="45"/>
  <c r="BD24" i="45"/>
  <c r="BG77" i="36"/>
  <c r="BG168" i="34"/>
  <c r="BG184" i="34"/>
  <c r="BG61" i="36"/>
  <c r="BE9" i="45" l="1"/>
  <c r="BG102" i="34"/>
  <c r="BG118" i="34"/>
  <c r="BE24" i="45"/>
  <c r="BE16" i="45"/>
  <c r="BH77" i="36"/>
  <c r="BH184" i="34"/>
  <c r="BH168" i="34"/>
  <c r="BH61" i="36"/>
  <c r="BH118" i="34" l="1"/>
  <c r="BF24" i="45"/>
  <c r="BF9" i="45"/>
  <c r="BH102" i="34"/>
  <c r="BF16" i="45"/>
  <c r="BI77" i="36"/>
  <c r="BI168" i="34"/>
  <c r="BI184" i="34"/>
  <c r="BI61" i="36"/>
  <c r="BG16" i="45" l="1"/>
  <c r="BI102" i="34"/>
  <c r="BI118" i="34"/>
  <c r="BG9" i="45"/>
  <c r="BG24" i="45"/>
  <c r="BJ77" i="36"/>
  <c r="BJ168" i="34"/>
  <c r="BJ184" i="34"/>
  <c r="BJ61" i="36"/>
  <c r="BH9" i="45" l="1"/>
  <c r="BH16" i="45"/>
  <c r="BJ102" i="34"/>
  <c r="BJ118" i="34"/>
  <c r="BH24" i="45"/>
  <c r="BK77" i="36"/>
  <c r="BK168" i="34"/>
  <c r="BK184" i="34"/>
  <c r="BK61" i="36"/>
  <c r="BI16" i="45" l="1"/>
  <c r="BK102" i="34"/>
  <c r="BK118" i="34"/>
  <c r="BI9" i="45"/>
  <c r="BI24" i="45"/>
  <c r="BL77" i="36"/>
  <c r="BL168" i="34"/>
  <c r="BL184" i="34"/>
  <c r="BL61" i="36"/>
  <c r="BL102" i="34" l="1"/>
  <c r="BJ9" i="45"/>
  <c r="BL118" i="34"/>
  <c r="BJ24" i="45"/>
  <c r="BJ16" i="45"/>
  <c r="BM77" i="36"/>
  <c r="BM168" i="34"/>
  <c r="BM184" i="34"/>
  <c r="BM61" i="36"/>
  <c r="BK16" i="45" l="1"/>
  <c r="BM102" i="34"/>
  <c r="BM118" i="34"/>
  <c r="BK9" i="45"/>
  <c r="BK24" i="45"/>
  <c r="BN77" i="36"/>
  <c r="BN168" i="34"/>
  <c r="BN184" i="34"/>
  <c r="BN61" i="36"/>
  <c r="BL9" i="45" l="1"/>
  <c r="BN102" i="34"/>
  <c r="BN118" i="34"/>
  <c r="BL24" i="45"/>
  <c r="BL16" i="45"/>
  <c r="BP77" i="36"/>
  <c r="BP168" i="34"/>
  <c r="BP184" i="34"/>
  <c r="BO77" i="36"/>
  <c r="BO168" i="34"/>
  <c r="BO184" i="34"/>
  <c r="BP61" i="36"/>
  <c r="BO61" i="36"/>
  <c r="BN16" i="45" l="1"/>
  <c r="BO102" i="34"/>
  <c r="BM24" i="45"/>
  <c r="BP118" i="34"/>
  <c r="BM9" i="45"/>
  <c r="BN9" i="45"/>
  <c r="BM16" i="45"/>
  <c r="BP102" i="34"/>
  <c r="BO118" i="34"/>
  <c r="BN24" i="45"/>
  <c r="G55" i="33"/>
  <c r="F55" i="33"/>
  <c r="F5" i="33"/>
  <c r="E19" i="33"/>
  <c r="E5" i="33"/>
  <c r="E6" i="33" s="1"/>
  <c r="G5" i="33"/>
  <c r="D20" i="36"/>
  <c r="D55" i="46" s="1"/>
  <c r="D21" i="36"/>
  <c r="D56" i="46" s="1"/>
  <c r="D22" i="36"/>
  <c r="D57" i="46" s="1"/>
  <c r="D19" i="36"/>
  <c r="D54" i="46" s="1"/>
  <c r="C19" i="36"/>
  <c r="C17" i="36"/>
  <c r="D16" i="36"/>
  <c r="D51" i="46" s="1"/>
  <c r="C16" i="36"/>
  <c r="D15" i="36"/>
  <c r="D50" i="46" s="1"/>
  <c r="C15" i="36"/>
  <c r="C13" i="36"/>
  <c r="D12" i="36"/>
  <c r="D47" i="46" s="1"/>
  <c r="C11" i="36"/>
  <c r="D10" i="36"/>
  <c r="D45" i="46" s="1"/>
  <c r="D9" i="36"/>
  <c r="D44" i="46" s="1"/>
  <c r="D8" i="36"/>
  <c r="D43" i="46" s="1"/>
  <c r="F6" i="36"/>
  <c r="F5" i="34"/>
  <c r="D6" i="36"/>
  <c r="D41" i="46" s="1"/>
  <c r="D5" i="36"/>
  <c r="D40" i="46" s="1"/>
  <c r="E5" i="36"/>
  <c r="E6" i="36" s="1"/>
  <c r="C5" i="36"/>
  <c r="G5" i="34"/>
  <c r="D68" i="46" l="1"/>
  <c r="E50" i="46"/>
  <c r="D58" i="46"/>
  <c r="E40" i="46"/>
  <c r="D61" i="46"/>
  <c r="E43" i="46"/>
  <c r="D65" i="46"/>
  <c r="E47" i="46"/>
  <c r="D72" i="46"/>
  <c r="E54" i="46"/>
  <c r="D62" i="46"/>
  <c r="E44" i="46"/>
  <c r="D69" i="46"/>
  <c r="E51" i="46"/>
  <c r="D75" i="46"/>
  <c r="E75" i="46" s="1"/>
  <c r="E57" i="46"/>
  <c r="D73" i="46"/>
  <c r="E55" i="46"/>
  <c r="E41" i="46"/>
  <c r="D59" i="46"/>
  <c r="D63" i="46"/>
  <c r="E45" i="46"/>
  <c r="D74" i="46"/>
  <c r="E74" i="46" s="1"/>
  <c r="E56" i="46"/>
  <c r="E20" i="33"/>
  <c r="E38" i="33" s="1"/>
  <c r="E37" i="33"/>
  <c r="G7" i="34"/>
  <c r="G8" i="34" s="1"/>
  <c r="G9" i="34" s="1"/>
  <c r="G10" i="34" s="1"/>
  <c r="G11" i="34" s="1"/>
  <c r="G12" i="34" s="1"/>
  <c r="G13" i="34" s="1"/>
  <c r="G14" i="34" s="1"/>
  <c r="G15" i="34" s="1"/>
  <c r="G16" i="34" s="1"/>
  <c r="G6" i="34"/>
  <c r="F7" i="34"/>
  <c r="F8" i="34" s="1"/>
  <c r="F9" i="34" s="1"/>
  <c r="F10" i="34" s="1"/>
  <c r="F11" i="34" s="1"/>
  <c r="F12" i="34" s="1"/>
  <c r="F13" i="34" s="1"/>
  <c r="F14" i="34" s="1"/>
  <c r="F15" i="34" s="1"/>
  <c r="F16" i="34" s="1"/>
  <c r="F6" i="34"/>
  <c r="C18" i="36"/>
  <c r="F57" i="33"/>
  <c r="F58" i="33" s="1"/>
  <c r="F59" i="33" s="1"/>
  <c r="F60" i="33" s="1"/>
  <c r="F61" i="33" s="1"/>
  <c r="F62" i="33" s="1"/>
  <c r="F63" i="33" s="1"/>
  <c r="F64" i="33" s="1"/>
  <c r="F65" i="33" s="1"/>
  <c r="F66" i="33" s="1"/>
  <c r="F67" i="33" s="1"/>
  <c r="F68" i="33" s="1"/>
  <c r="F69" i="33" s="1"/>
  <c r="F70" i="33" s="1"/>
  <c r="F71" i="33" s="1"/>
  <c r="F56" i="33"/>
  <c r="G57" i="33"/>
  <c r="G58" i="33" s="1"/>
  <c r="G59" i="33" s="1"/>
  <c r="G60" i="33" s="1"/>
  <c r="G61" i="33" s="1"/>
  <c r="G62" i="33" s="1"/>
  <c r="G63" i="33" s="1"/>
  <c r="G64" i="33" s="1"/>
  <c r="G65" i="33" s="1"/>
  <c r="G66" i="33" s="1"/>
  <c r="G67" i="33" s="1"/>
  <c r="G68" i="33" s="1"/>
  <c r="G69" i="33" s="1"/>
  <c r="G70" i="33" s="1"/>
  <c r="G71" i="33" s="1"/>
  <c r="G56" i="33"/>
  <c r="G7" i="33"/>
  <c r="G8" i="33" s="1"/>
  <c r="G9" i="33" s="1"/>
  <c r="G10" i="33" s="1"/>
  <c r="G11" i="33" s="1"/>
  <c r="G12" i="33" s="1"/>
  <c r="G13" i="33" s="1"/>
  <c r="G14" i="33" s="1"/>
  <c r="G15" i="33" s="1"/>
  <c r="G16" i="33" s="1"/>
  <c r="G17" i="33" s="1"/>
  <c r="G6" i="33"/>
  <c r="F7" i="33"/>
  <c r="F8" i="33" s="1"/>
  <c r="F9" i="33" s="1"/>
  <c r="F10" i="33" s="1"/>
  <c r="F11" i="33" s="1"/>
  <c r="F12" i="33" s="1"/>
  <c r="F13" i="33" s="1"/>
  <c r="F14" i="33" s="1"/>
  <c r="F15" i="33" s="1"/>
  <c r="F16" i="33" s="1"/>
  <c r="F17" i="33" s="1"/>
  <c r="F18" i="33" s="1"/>
  <c r="F19" i="33" s="1"/>
  <c r="F6" i="33"/>
  <c r="E8" i="36"/>
  <c r="E9" i="36" s="1"/>
  <c r="E10" i="36" s="1"/>
  <c r="E11" i="36" s="1"/>
  <c r="E12" i="36" s="1"/>
  <c r="E13" i="36" s="1"/>
  <c r="E14" i="36" s="1"/>
  <c r="E15" i="36" s="1"/>
  <c r="E16" i="36" s="1"/>
  <c r="E17" i="36" s="1"/>
  <c r="E18" i="36" s="1"/>
  <c r="E19" i="36" s="1"/>
  <c r="E20" i="36" s="1"/>
  <c r="E21" i="36" s="1"/>
  <c r="E22" i="36" s="1"/>
  <c r="E7" i="36"/>
  <c r="F8" i="36"/>
  <c r="F9" i="36" s="1"/>
  <c r="F10" i="36" s="1"/>
  <c r="F11" i="36" s="1"/>
  <c r="F12" i="36" s="1"/>
  <c r="F13" i="36" s="1"/>
  <c r="F14" i="36" s="1"/>
  <c r="F15" i="36" s="1"/>
  <c r="F16" i="36" s="1"/>
  <c r="F17" i="36" s="1"/>
  <c r="F18" i="36" s="1"/>
  <c r="F19" i="36" s="1"/>
  <c r="F20" i="36" s="1"/>
  <c r="F21" i="36" s="1"/>
  <c r="F22" i="36" s="1"/>
  <c r="F7" i="36"/>
  <c r="C14" i="36"/>
  <c r="E21" i="33"/>
  <c r="E39" i="33" s="1"/>
  <c r="E7" i="33"/>
  <c r="D18" i="33"/>
  <c r="D54" i="33"/>
  <c r="D4" i="33"/>
  <c r="C24" i="33"/>
  <c r="C60" i="33"/>
  <c r="C10" i="33"/>
  <c r="D16" i="33"/>
  <c r="D30" i="33"/>
  <c r="D66" i="33"/>
  <c r="D33" i="33"/>
  <c r="D69" i="33"/>
  <c r="D55" i="33"/>
  <c r="D19" i="33"/>
  <c r="D5" i="33"/>
  <c r="D57" i="33"/>
  <c r="D7" i="33"/>
  <c r="D21" i="33"/>
  <c r="D10" i="33"/>
  <c r="D24" i="33"/>
  <c r="D60" i="33"/>
  <c r="D26" i="33"/>
  <c r="D62" i="33"/>
  <c r="D12" i="33"/>
  <c r="C15" i="33"/>
  <c r="C29" i="33"/>
  <c r="C65" i="33"/>
  <c r="D68" i="33"/>
  <c r="D32" i="33"/>
  <c r="D28" i="33"/>
  <c r="D64" i="33"/>
  <c r="D14" i="33"/>
  <c r="C6" i="36"/>
  <c r="C54" i="33"/>
  <c r="C4" i="33"/>
  <c r="C18" i="33"/>
  <c r="D71" i="33"/>
  <c r="D35" i="33"/>
  <c r="C9" i="36"/>
  <c r="C57" i="33"/>
  <c r="C21" i="33"/>
  <c r="C7" i="33"/>
  <c r="C12" i="33"/>
  <c r="C62" i="33"/>
  <c r="C26" i="33"/>
  <c r="D58" i="33"/>
  <c r="D8" i="33"/>
  <c r="D22" i="33"/>
  <c r="D29" i="33"/>
  <c r="D65" i="33"/>
  <c r="D15" i="33"/>
  <c r="C68" i="33"/>
  <c r="C32" i="33"/>
  <c r="D23" i="33"/>
  <c r="D59" i="33"/>
  <c r="D9" i="33"/>
  <c r="D14" i="36"/>
  <c r="D49" i="46" s="1"/>
  <c r="D61" i="33"/>
  <c r="D11" i="33"/>
  <c r="D25" i="33"/>
  <c r="C64" i="33"/>
  <c r="C14" i="33"/>
  <c r="C28" i="33"/>
  <c r="C30" i="33"/>
  <c r="C66" i="33"/>
  <c r="C16" i="33"/>
  <c r="D31" i="33"/>
  <c r="D67" i="33"/>
  <c r="D17" i="33"/>
  <c r="C20" i="36"/>
  <c r="A58" i="57" s="1"/>
  <c r="A76" i="57" s="1"/>
  <c r="D34" i="33"/>
  <c r="D70" i="33"/>
  <c r="A50" i="57" l="1"/>
  <c r="A70" i="57" s="1"/>
  <c r="D80" i="46"/>
  <c r="E62" i="46"/>
  <c r="D83" i="46"/>
  <c r="E65" i="46"/>
  <c r="E58" i="46"/>
  <c r="D76" i="46"/>
  <c r="E59" i="46"/>
  <c r="D77" i="46"/>
  <c r="D67" i="46"/>
  <c r="E49" i="46"/>
  <c r="D81" i="46"/>
  <c r="E63" i="46"/>
  <c r="D91" i="46"/>
  <c r="E73" i="46"/>
  <c r="D87" i="46"/>
  <c r="E69" i="46"/>
  <c r="D90" i="46"/>
  <c r="E72" i="46"/>
  <c r="E61" i="46"/>
  <c r="D79" i="46"/>
  <c r="D86" i="46"/>
  <c r="E68" i="46"/>
  <c r="D11" i="34"/>
  <c r="D41" i="34"/>
  <c r="D15" i="34"/>
  <c r="D8" i="34"/>
  <c r="C12" i="34"/>
  <c r="C4" i="34"/>
  <c r="D46" i="34"/>
  <c r="C47" i="34"/>
  <c r="D44" i="34"/>
  <c r="D10" i="34"/>
  <c r="D5" i="34"/>
  <c r="C10" i="34"/>
  <c r="D36" i="34"/>
  <c r="C16" i="34"/>
  <c r="C14" i="34"/>
  <c r="D43" i="34"/>
  <c r="D47" i="34"/>
  <c r="D40" i="34"/>
  <c r="C7" i="34"/>
  <c r="C36" i="34"/>
  <c r="D48" i="34"/>
  <c r="C42" i="34"/>
  <c r="D17" i="34"/>
  <c r="C48" i="34"/>
  <c r="C46" i="34"/>
  <c r="D53" i="34"/>
  <c r="C15" i="34"/>
  <c r="D42" i="34"/>
  <c r="D7" i="34"/>
  <c r="D37" i="34"/>
  <c r="D52" i="34"/>
  <c r="D49" i="34"/>
  <c r="D9" i="34"/>
  <c r="C50" i="34"/>
  <c r="C44" i="34"/>
  <c r="C39" i="34"/>
  <c r="D14" i="34"/>
  <c r="D50" i="34"/>
  <c r="D12" i="34"/>
  <c r="D39" i="34"/>
  <c r="D51" i="34"/>
  <c r="D16" i="34"/>
  <c r="D4" i="34"/>
  <c r="D34" i="34"/>
  <c r="D52" i="33"/>
  <c r="D31" i="34"/>
  <c r="D49" i="33"/>
  <c r="C28" i="34"/>
  <c r="C46" i="33"/>
  <c r="D33" i="34"/>
  <c r="D51" i="33"/>
  <c r="D23" i="34"/>
  <c r="D41" i="33"/>
  <c r="D35" i="34"/>
  <c r="D53" i="33"/>
  <c r="D28" i="34"/>
  <c r="D46" i="33"/>
  <c r="C29" i="34"/>
  <c r="C47" i="33"/>
  <c r="D26" i="34"/>
  <c r="D44" i="33"/>
  <c r="D21" i="34"/>
  <c r="D39" i="33"/>
  <c r="D19" i="34"/>
  <c r="D37" i="33"/>
  <c r="D18" i="34"/>
  <c r="D36" i="33"/>
  <c r="C32" i="34"/>
  <c r="C50" i="33"/>
  <c r="D29" i="34"/>
  <c r="D47" i="33"/>
  <c r="C26" i="34"/>
  <c r="C44" i="33"/>
  <c r="C21" i="34"/>
  <c r="C39" i="33"/>
  <c r="D32" i="34"/>
  <c r="D50" i="33"/>
  <c r="D30" i="34"/>
  <c r="D48" i="33"/>
  <c r="C24" i="34"/>
  <c r="C42" i="33"/>
  <c r="C30" i="34"/>
  <c r="C48" i="33"/>
  <c r="D25" i="34"/>
  <c r="D43" i="33"/>
  <c r="D22" i="34"/>
  <c r="D40" i="33"/>
  <c r="C18" i="34"/>
  <c r="C36" i="33"/>
  <c r="D24" i="34"/>
  <c r="D42" i="33"/>
  <c r="F17" i="34"/>
  <c r="F18" i="34" s="1"/>
  <c r="F19" i="34" s="1"/>
  <c r="G17" i="34"/>
  <c r="G18" i="34" s="1"/>
  <c r="G19" i="34" s="1"/>
  <c r="F21" i="33"/>
  <c r="F22" i="33" s="1"/>
  <c r="F23" i="33" s="1"/>
  <c r="F24" i="33" s="1"/>
  <c r="F25" i="33" s="1"/>
  <c r="F26" i="33" s="1"/>
  <c r="F27" i="33" s="1"/>
  <c r="F28" i="33" s="1"/>
  <c r="F29" i="33" s="1"/>
  <c r="F30" i="33" s="1"/>
  <c r="F31" i="33" s="1"/>
  <c r="F32" i="33" s="1"/>
  <c r="F33" i="33" s="1"/>
  <c r="F34" i="33" s="1"/>
  <c r="F35" i="33" s="1"/>
  <c r="F20" i="33"/>
  <c r="C10" i="36"/>
  <c r="G37" i="34"/>
  <c r="E22" i="33"/>
  <c r="E40" i="33" s="1"/>
  <c r="E8" i="33"/>
  <c r="C61" i="33"/>
  <c r="C11" i="33"/>
  <c r="C25" i="33"/>
  <c r="C69" i="33"/>
  <c r="C33" i="33"/>
  <c r="C21" i="36"/>
  <c r="A59" i="57" s="1"/>
  <c r="A77" i="57" s="1"/>
  <c r="C19" i="33"/>
  <c r="C55" i="33"/>
  <c r="C5" i="33"/>
  <c r="C58" i="33"/>
  <c r="C8" i="33"/>
  <c r="C22" i="33"/>
  <c r="D63" i="33"/>
  <c r="D13" i="33"/>
  <c r="D27" i="33"/>
  <c r="E77" i="46" l="1"/>
  <c r="D93" i="46"/>
  <c r="E93" i="46" s="1"/>
  <c r="D103" i="46"/>
  <c r="E103" i="46" s="1"/>
  <c r="E87" i="46"/>
  <c r="D97" i="46"/>
  <c r="E97" i="46" s="1"/>
  <c r="E81" i="46"/>
  <c r="D99" i="46"/>
  <c r="E99" i="46" s="1"/>
  <c r="E83" i="46"/>
  <c r="D95" i="46"/>
  <c r="E95" i="46" s="1"/>
  <c r="E79" i="46"/>
  <c r="D92" i="46"/>
  <c r="E92" i="46" s="1"/>
  <c r="E76" i="46"/>
  <c r="D102" i="46"/>
  <c r="E102" i="46" s="1"/>
  <c r="E86" i="46"/>
  <c r="D106" i="46"/>
  <c r="E106" i="46" s="1"/>
  <c r="E90" i="46"/>
  <c r="D107" i="46"/>
  <c r="E107" i="46" s="1"/>
  <c r="E91" i="46"/>
  <c r="D85" i="46"/>
  <c r="E67" i="46"/>
  <c r="D96" i="46"/>
  <c r="E96" i="46" s="1"/>
  <c r="E80" i="46"/>
  <c r="C8" i="34"/>
  <c r="C40" i="34"/>
  <c r="C11" i="34"/>
  <c r="D13" i="34"/>
  <c r="D45" i="34"/>
  <c r="C5" i="34"/>
  <c r="C43" i="34"/>
  <c r="C37" i="34"/>
  <c r="C51" i="34"/>
  <c r="C23" i="33"/>
  <c r="C41" i="33" s="1"/>
  <c r="C22" i="34"/>
  <c r="C40" i="33"/>
  <c r="C33" i="34"/>
  <c r="C51" i="33"/>
  <c r="D27" i="34"/>
  <c r="D45" i="33"/>
  <c r="C19" i="34"/>
  <c r="C37" i="33"/>
  <c r="C25" i="34"/>
  <c r="C43" i="33"/>
  <c r="G39" i="34"/>
  <c r="G40" i="34" s="1"/>
  <c r="G41" i="34" s="1"/>
  <c r="G42" i="34" s="1"/>
  <c r="G43" i="34" s="1"/>
  <c r="G44" i="34" s="1"/>
  <c r="G45" i="34" s="1"/>
  <c r="G46" i="34" s="1"/>
  <c r="G47" i="34" s="1"/>
  <c r="G48" i="34" s="1"/>
  <c r="G49" i="34" s="1"/>
  <c r="G50" i="34" s="1"/>
  <c r="G51" i="34" s="1"/>
  <c r="G52" i="34" s="1"/>
  <c r="G53" i="34" s="1"/>
  <c r="G38" i="34"/>
  <c r="G21" i="34"/>
  <c r="G22" i="34" s="1"/>
  <c r="G23" i="34" s="1"/>
  <c r="G24" i="34" s="1"/>
  <c r="G25" i="34" s="1"/>
  <c r="G26" i="34" s="1"/>
  <c r="G27" i="34" s="1"/>
  <c r="G28" i="34" s="1"/>
  <c r="G29" i="34" s="1"/>
  <c r="G30" i="34" s="1"/>
  <c r="G31" i="34" s="1"/>
  <c r="G32" i="34" s="1"/>
  <c r="G33" i="34" s="1"/>
  <c r="G34" i="34" s="1"/>
  <c r="G35" i="34" s="1"/>
  <c r="G20" i="34"/>
  <c r="F21" i="34"/>
  <c r="F22" i="34" s="1"/>
  <c r="F23" i="34" s="1"/>
  <c r="F24" i="34" s="1"/>
  <c r="F25" i="34" s="1"/>
  <c r="F26" i="34" s="1"/>
  <c r="F27" i="34" s="1"/>
  <c r="F28" i="34" s="1"/>
  <c r="F29" i="34" s="1"/>
  <c r="F30" i="34" s="1"/>
  <c r="F31" i="34" s="1"/>
  <c r="F32" i="34" s="1"/>
  <c r="F33" i="34" s="1"/>
  <c r="F34" i="34" s="1"/>
  <c r="F35" i="34" s="1"/>
  <c r="F20" i="34"/>
  <c r="C9" i="33"/>
  <c r="C59" i="33"/>
  <c r="E23" i="33"/>
  <c r="E41" i="33" s="1"/>
  <c r="E9" i="33"/>
  <c r="C63" i="33"/>
  <c r="C27" i="33"/>
  <c r="C13" i="33"/>
  <c r="C67" i="33"/>
  <c r="C17" i="33"/>
  <c r="C31" i="33"/>
  <c r="C22" i="36"/>
  <c r="A60" i="57" s="1"/>
  <c r="A78" i="57" s="1"/>
  <c r="C34" i="33"/>
  <c r="C70" i="33"/>
  <c r="E85" i="46" l="1"/>
  <c r="D101" i="46"/>
  <c r="E101" i="46" s="1"/>
  <c r="C52" i="34"/>
  <c r="C9" i="34"/>
  <c r="C49" i="34"/>
  <c r="C13" i="34"/>
  <c r="C23" i="34"/>
  <c r="C45" i="34"/>
  <c r="C41" i="34"/>
  <c r="C17" i="34"/>
  <c r="C31" i="34"/>
  <c r="C49" i="33"/>
  <c r="C27" i="34"/>
  <c r="C45" i="33"/>
  <c r="C34" i="34"/>
  <c r="C52" i="33"/>
  <c r="E24" i="33"/>
  <c r="E10" i="33"/>
  <c r="E11" i="33" s="1"/>
  <c r="E12" i="33" s="1"/>
  <c r="E13" i="33" s="1"/>
  <c r="E14" i="33" s="1"/>
  <c r="E15" i="33" s="1"/>
  <c r="E16" i="33" s="1"/>
  <c r="E17" i="33" s="1"/>
  <c r="C71" i="33"/>
  <c r="C35" i="33"/>
  <c r="C53" i="34" l="1"/>
  <c r="D57" i="36"/>
  <c r="D61" i="36"/>
  <c r="D54" i="36"/>
  <c r="D55" i="36"/>
  <c r="D64" i="36"/>
  <c r="D50" i="36"/>
  <c r="D65" i="36"/>
  <c r="D53" i="36"/>
  <c r="D51" i="36"/>
  <c r="D60" i="36"/>
  <c r="E25" i="33"/>
  <c r="E42" i="33"/>
  <c r="C35" i="34"/>
  <c r="C53" i="33"/>
  <c r="E51" i="36" l="1"/>
  <c r="D67" i="36"/>
  <c r="D92" i="34"/>
  <c r="D94" i="34"/>
  <c r="D69" i="36"/>
  <c r="E53" i="36"/>
  <c r="E61" i="36"/>
  <c r="D102" i="34"/>
  <c r="D77" i="36"/>
  <c r="E50" i="36"/>
  <c r="D66" i="36"/>
  <c r="D91" i="34"/>
  <c r="E60" i="36"/>
  <c r="D101" i="34"/>
  <c r="D76" i="36"/>
  <c r="D59" i="36"/>
  <c r="E65" i="36"/>
  <c r="D106" i="34"/>
  <c r="D81" i="36"/>
  <c r="E64" i="36"/>
  <c r="D80" i="36"/>
  <c r="D105" i="34"/>
  <c r="D95" i="34"/>
  <c r="E54" i="36"/>
  <c r="D70" i="36"/>
  <c r="E57" i="36"/>
  <c r="D98" i="34"/>
  <c r="D73" i="36"/>
  <c r="E55" i="36"/>
  <c r="D96" i="34"/>
  <c r="D71" i="36"/>
  <c r="E26" i="33"/>
  <c r="E43" i="33"/>
  <c r="E71" i="36" l="1"/>
  <c r="D162" i="34"/>
  <c r="D211" i="33"/>
  <c r="E211" i="33" s="1"/>
  <c r="E76" i="36"/>
  <c r="D167" i="34"/>
  <c r="D216" i="33"/>
  <c r="E216" i="33" s="1"/>
  <c r="E66" i="36"/>
  <c r="D206" i="33"/>
  <c r="E206" i="33" s="1"/>
  <c r="D157" i="34"/>
  <c r="H71" i="36"/>
  <c r="H55" i="36"/>
  <c r="H178" i="34"/>
  <c r="F54" i="45" s="1"/>
  <c r="H162" i="34"/>
  <c r="F53" i="45" s="1"/>
  <c r="E70" i="36"/>
  <c r="D210" i="33"/>
  <c r="E210" i="33" s="1"/>
  <c r="D161" i="34"/>
  <c r="E80" i="36"/>
  <c r="D171" i="34"/>
  <c r="D220" i="33"/>
  <c r="E220" i="33" s="1"/>
  <c r="E67" i="36"/>
  <c r="D158" i="34"/>
  <c r="D207" i="33"/>
  <c r="E207" i="33" s="1"/>
  <c r="E81" i="36"/>
  <c r="D172" i="34"/>
  <c r="D221" i="33"/>
  <c r="E221" i="33" s="1"/>
  <c r="E73" i="36"/>
  <c r="D164" i="34"/>
  <c r="D213" i="33"/>
  <c r="E213" i="33" s="1"/>
  <c r="E77" i="36"/>
  <c r="D168" i="34"/>
  <c r="D217" i="33"/>
  <c r="E217" i="33" s="1"/>
  <c r="E69" i="36"/>
  <c r="D160" i="34"/>
  <c r="D209" i="33"/>
  <c r="E209" i="33" s="1"/>
  <c r="D111" i="34"/>
  <c r="E111" i="34" s="1"/>
  <c r="E95" i="34"/>
  <c r="D107" i="34"/>
  <c r="E107" i="34" s="1"/>
  <c r="E91" i="34"/>
  <c r="D118" i="34"/>
  <c r="E118" i="34" s="1"/>
  <c r="E102" i="34"/>
  <c r="E94" i="34"/>
  <c r="D110" i="34"/>
  <c r="E110" i="34" s="1"/>
  <c r="D112" i="34"/>
  <c r="E112" i="34" s="1"/>
  <c r="E96" i="34"/>
  <c r="E105" i="34"/>
  <c r="D121" i="34"/>
  <c r="E121" i="34" s="1"/>
  <c r="D122" i="34"/>
  <c r="E122" i="34" s="1"/>
  <c r="E106" i="34"/>
  <c r="D108" i="34"/>
  <c r="E108" i="34" s="1"/>
  <c r="E92" i="34"/>
  <c r="D75" i="36"/>
  <c r="E59" i="36"/>
  <c r="D100" i="34"/>
  <c r="D114" i="34"/>
  <c r="E114" i="34" s="1"/>
  <c r="E98" i="34"/>
  <c r="E101" i="34"/>
  <c r="D117" i="34"/>
  <c r="E117" i="34" s="1"/>
  <c r="E27" i="33"/>
  <c r="E44" i="33"/>
  <c r="F17" i="45" l="1"/>
  <c r="H14" i="45"/>
  <c r="G22" i="45"/>
  <c r="F13" i="45"/>
  <c r="F23" i="45"/>
  <c r="F25" i="45"/>
  <c r="H22" i="45"/>
  <c r="F14" i="45"/>
  <c r="F8" i="45"/>
  <c r="F21" i="45"/>
  <c r="H7" i="45"/>
  <c r="F22" i="45"/>
  <c r="G7" i="45"/>
  <c r="F10" i="45"/>
  <c r="F7" i="45"/>
  <c r="G14" i="45"/>
  <c r="F15" i="45"/>
  <c r="F6" i="45"/>
  <c r="F52" i="45"/>
  <c r="F67" i="45" s="1"/>
  <c r="F18" i="45"/>
  <c r="F26" i="45"/>
  <c r="E172" i="34"/>
  <c r="D188" i="34"/>
  <c r="E188" i="34" s="1"/>
  <c r="D177" i="34"/>
  <c r="E177" i="34" s="1"/>
  <c r="E161" i="34"/>
  <c r="E75" i="36"/>
  <c r="D166" i="34"/>
  <c r="D215" i="33"/>
  <c r="E215" i="33" s="1"/>
  <c r="D180" i="34"/>
  <c r="E180" i="34" s="1"/>
  <c r="E164" i="34"/>
  <c r="H96" i="34"/>
  <c r="F45" i="45" s="1"/>
  <c r="H138" i="34"/>
  <c r="H142" i="34"/>
  <c r="I71" i="36"/>
  <c r="I55" i="36"/>
  <c r="I162" i="34"/>
  <c r="G53" i="45" s="1"/>
  <c r="I178" i="34"/>
  <c r="G54" i="45" s="1"/>
  <c r="D184" i="34"/>
  <c r="E184" i="34" s="1"/>
  <c r="E168" i="34"/>
  <c r="E171" i="34"/>
  <c r="D187" i="34"/>
  <c r="E187" i="34" s="1"/>
  <c r="H112" i="34"/>
  <c r="F47" i="45" s="1"/>
  <c r="H139" i="34"/>
  <c r="H143" i="34"/>
  <c r="D178" i="34"/>
  <c r="E178" i="34" s="1"/>
  <c r="E162" i="34"/>
  <c r="D176" i="34"/>
  <c r="E176" i="34" s="1"/>
  <c r="E160" i="34"/>
  <c r="E158" i="34"/>
  <c r="D174" i="34"/>
  <c r="E174" i="34" s="1"/>
  <c r="D173" i="34"/>
  <c r="E173" i="34" s="1"/>
  <c r="E157" i="34"/>
  <c r="E167" i="34"/>
  <c r="D183" i="34"/>
  <c r="E183" i="34" s="1"/>
  <c r="D116" i="34"/>
  <c r="E116" i="34" s="1"/>
  <c r="E100" i="34"/>
  <c r="E28" i="33"/>
  <c r="E45" i="33"/>
  <c r="F51" i="45" l="1"/>
  <c r="G25" i="45"/>
  <c r="I22" i="45"/>
  <c r="G8" i="45"/>
  <c r="G13" i="45"/>
  <c r="G18" i="45"/>
  <c r="G17" i="45"/>
  <c r="G6" i="45"/>
  <c r="I14" i="45"/>
  <c r="G15" i="45"/>
  <c r="G23" i="45"/>
  <c r="G26" i="45"/>
  <c r="G10" i="45"/>
  <c r="G21" i="45"/>
  <c r="I7" i="45"/>
  <c r="G52" i="45"/>
  <c r="G67" i="45" s="1"/>
  <c r="F50" i="45"/>
  <c r="F43" i="45"/>
  <c r="F65" i="45" s="1"/>
  <c r="I96" i="34"/>
  <c r="G45" i="45" s="1"/>
  <c r="I142" i="34"/>
  <c r="I138" i="34"/>
  <c r="D182" i="34"/>
  <c r="E182" i="34" s="1"/>
  <c r="E166" i="34"/>
  <c r="J71" i="36"/>
  <c r="J55" i="36"/>
  <c r="J162" i="34"/>
  <c r="H53" i="45" s="1"/>
  <c r="J178" i="34"/>
  <c r="H54" i="45" s="1"/>
  <c r="I112" i="34"/>
  <c r="G47" i="45" s="1"/>
  <c r="I139" i="34"/>
  <c r="I143" i="34"/>
  <c r="E29" i="33"/>
  <c r="E46" i="33"/>
  <c r="G51" i="45" l="1"/>
  <c r="H26" i="45"/>
  <c r="H17" i="45"/>
  <c r="H15" i="45"/>
  <c r="H13" i="45"/>
  <c r="H18" i="45"/>
  <c r="H6" i="45"/>
  <c r="H10" i="45"/>
  <c r="H8" i="45"/>
  <c r="J14" i="45"/>
  <c r="H21" i="45"/>
  <c r="J22" i="45"/>
  <c r="H25" i="45"/>
  <c r="H23" i="45"/>
  <c r="J7" i="45"/>
  <c r="F49" i="45"/>
  <c r="F66" i="45" s="1"/>
  <c r="F72" i="45" s="1"/>
  <c r="G43" i="45"/>
  <c r="G65" i="45" s="1"/>
  <c r="H52" i="45"/>
  <c r="H67" i="45" s="1"/>
  <c r="G50" i="45"/>
  <c r="J96" i="34"/>
  <c r="H45" i="45" s="1"/>
  <c r="J138" i="34"/>
  <c r="J142" i="34"/>
  <c r="J112" i="34"/>
  <c r="H47" i="45" s="1"/>
  <c r="J143" i="34"/>
  <c r="J139" i="34"/>
  <c r="K71" i="36"/>
  <c r="K55" i="36"/>
  <c r="K178" i="34"/>
  <c r="I54" i="45" s="1"/>
  <c r="K162" i="34"/>
  <c r="I53" i="45" s="1"/>
  <c r="E30" i="33"/>
  <c r="E47" i="33"/>
  <c r="H51" i="45" l="1"/>
  <c r="H43" i="45"/>
  <c r="H65" i="45" s="1"/>
  <c r="G49" i="45"/>
  <c r="G66" i="45" s="1"/>
  <c r="G72" i="45" s="1"/>
  <c r="I26" i="45"/>
  <c r="I21" i="45"/>
  <c r="I6" i="45"/>
  <c r="K7" i="45"/>
  <c r="I8" i="45"/>
  <c r="I10" i="45"/>
  <c r="I23" i="45"/>
  <c r="I25" i="45"/>
  <c r="I15" i="45"/>
  <c r="I17" i="45"/>
  <c r="K22" i="45"/>
  <c r="I13" i="45"/>
  <c r="K14" i="45"/>
  <c r="I18" i="45"/>
  <c r="I52" i="45"/>
  <c r="I67" i="45" s="1"/>
  <c r="H50" i="45"/>
  <c r="L71" i="36"/>
  <c r="L55" i="36"/>
  <c r="L178" i="34"/>
  <c r="J54" i="45" s="1"/>
  <c r="L162" i="34"/>
  <c r="J53" i="45" s="1"/>
  <c r="K112" i="34"/>
  <c r="I47" i="45" s="1"/>
  <c r="K143" i="34"/>
  <c r="K139" i="34"/>
  <c r="K96" i="34"/>
  <c r="I45" i="45" s="1"/>
  <c r="K142" i="34"/>
  <c r="K138" i="34"/>
  <c r="E31" i="33"/>
  <c r="E48" i="33"/>
  <c r="I51" i="45" l="1"/>
  <c r="J15" i="45"/>
  <c r="J13" i="45"/>
  <c r="L22" i="45"/>
  <c r="J8" i="45"/>
  <c r="I50" i="45"/>
  <c r="J26" i="45"/>
  <c r="J6" i="45"/>
  <c r="J10" i="45"/>
  <c r="J23" i="45"/>
  <c r="L7" i="45"/>
  <c r="J17" i="45"/>
  <c r="J18" i="45"/>
  <c r="J25" i="45"/>
  <c r="L14" i="45"/>
  <c r="J21" i="45"/>
  <c r="H49" i="45"/>
  <c r="H66" i="45" s="1"/>
  <c r="H72" i="45" s="1"/>
  <c r="I43" i="45"/>
  <c r="I65" i="45" s="1"/>
  <c r="J52" i="45"/>
  <c r="J67" i="45" s="1"/>
  <c r="M71" i="36"/>
  <c r="M55" i="36"/>
  <c r="M178" i="34"/>
  <c r="K54" i="45" s="1"/>
  <c r="M162" i="34"/>
  <c r="K53" i="45" s="1"/>
  <c r="L96" i="34"/>
  <c r="J45" i="45" s="1"/>
  <c r="L138" i="34"/>
  <c r="L142" i="34"/>
  <c r="L112" i="34"/>
  <c r="J47" i="45" s="1"/>
  <c r="L139" i="34"/>
  <c r="L143" i="34"/>
  <c r="E32" i="33"/>
  <c r="E49" i="33"/>
  <c r="J51" i="45" l="1"/>
  <c r="I49" i="45"/>
  <c r="I66" i="45" s="1"/>
  <c r="I72" i="45" s="1"/>
  <c r="K10" i="45"/>
  <c r="K26" i="45"/>
  <c r="K21" i="45"/>
  <c r="K8" i="45"/>
  <c r="M7" i="45"/>
  <c r="K6" i="45"/>
  <c r="M14" i="45"/>
  <c r="K17" i="45"/>
  <c r="K15" i="45"/>
  <c r="M22" i="45"/>
  <c r="K25" i="45"/>
  <c r="K23" i="45"/>
  <c r="K18" i="45"/>
  <c r="K13" i="45"/>
  <c r="J50" i="45"/>
  <c r="J43" i="45"/>
  <c r="J65" i="45" s="1"/>
  <c r="K52" i="45"/>
  <c r="K67" i="45" s="1"/>
  <c r="M96" i="34"/>
  <c r="K45" i="45" s="1"/>
  <c r="M138" i="34"/>
  <c r="M142" i="34"/>
  <c r="N55" i="36"/>
  <c r="N71" i="36"/>
  <c r="N178" i="34"/>
  <c r="L54" i="45" s="1"/>
  <c r="N162" i="34"/>
  <c r="L53" i="45" s="1"/>
  <c r="M112" i="34"/>
  <c r="K47" i="45" s="1"/>
  <c r="M143" i="34"/>
  <c r="M139" i="34"/>
  <c r="E33" i="33"/>
  <c r="E50" i="33"/>
  <c r="K51" i="45" l="1"/>
  <c r="L10" i="45"/>
  <c r="L8" i="45"/>
  <c r="N14" i="45"/>
  <c r="L26" i="45"/>
  <c r="L23" i="45"/>
  <c r="N22" i="45"/>
  <c r="L21" i="45"/>
  <c r="L17" i="45"/>
  <c r="L25" i="45"/>
  <c r="L6" i="45"/>
  <c r="L15" i="45"/>
  <c r="N7" i="45"/>
  <c r="L13" i="45"/>
  <c r="L18" i="45"/>
  <c r="L52" i="45"/>
  <c r="L67" i="45" s="1"/>
  <c r="J49" i="45"/>
  <c r="J66" i="45" s="1"/>
  <c r="J72" i="45" s="1"/>
  <c r="K43" i="45"/>
  <c r="K65" i="45" s="1"/>
  <c r="K50" i="45"/>
  <c r="O71" i="36"/>
  <c r="O55" i="36"/>
  <c r="O162" i="34"/>
  <c r="M53" i="45" s="1"/>
  <c r="O178" i="34"/>
  <c r="M54" i="45" s="1"/>
  <c r="N112" i="34"/>
  <c r="L47" i="45" s="1"/>
  <c r="N139" i="34"/>
  <c r="N143" i="34"/>
  <c r="N96" i="34"/>
  <c r="L45" i="45" s="1"/>
  <c r="N138" i="34"/>
  <c r="N142" i="34"/>
  <c r="E34" i="33"/>
  <c r="E51" i="33"/>
  <c r="L51" i="45" l="1"/>
  <c r="L50" i="45"/>
  <c r="M21" i="45"/>
  <c r="M23" i="45"/>
  <c r="M26" i="45"/>
  <c r="O22" i="45"/>
  <c r="L43" i="45"/>
  <c r="L65" i="45" s="1"/>
  <c r="M15" i="45"/>
  <c r="M18" i="45"/>
  <c r="M25" i="45"/>
  <c r="O7" i="45"/>
  <c r="M13" i="45"/>
  <c r="M10" i="45"/>
  <c r="M8" i="45"/>
  <c r="M6" i="45"/>
  <c r="M17" i="45"/>
  <c r="O14" i="45"/>
  <c r="M52" i="45"/>
  <c r="M67" i="45" s="1"/>
  <c r="K49" i="45"/>
  <c r="K66" i="45" s="1"/>
  <c r="K72" i="45" s="1"/>
  <c r="O96" i="34"/>
  <c r="M45" i="45" s="1"/>
  <c r="O142" i="34"/>
  <c r="O138" i="34"/>
  <c r="O112" i="34"/>
  <c r="M47" i="45" s="1"/>
  <c r="O139" i="34"/>
  <c r="O143" i="34"/>
  <c r="P71" i="36"/>
  <c r="P55" i="36"/>
  <c r="P178" i="34"/>
  <c r="N54" i="45" s="1"/>
  <c r="P162" i="34"/>
  <c r="N53" i="45" s="1"/>
  <c r="E35" i="33"/>
  <c r="E52" i="33"/>
  <c r="M51" i="45" l="1"/>
  <c r="L49" i="45"/>
  <c r="L66" i="45" s="1"/>
  <c r="L72" i="45" s="1"/>
  <c r="N13" i="45"/>
  <c r="P14" i="45"/>
  <c r="N6" i="45"/>
  <c r="N17" i="45"/>
  <c r="N8" i="45"/>
  <c r="N15" i="45"/>
  <c r="P7" i="45"/>
  <c r="N21" i="45"/>
  <c r="N25" i="45"/>
  <c r="N23" i="45"/>
  <c r="N18" i="45"/>
  <c r="P22" i="45"/>
  <c r="N26" i="45"/>
  <c r="N10" i="45"/>
  <c r="M50" i="45"/>
  <c r="N52" i="45"/>
  <c r="N67" i="45" s="1"/>
  <c r="M43" i="45"/>
  <c r="M65" i="45" s="1"/>
  <c r="Q71" i="36"/>
  <c r="Q55" i="36"/>
  <c r="Q162" i="34"/>
  <c r="O53" i="45" s="1"/>
  <c r="Q178" i="34"/>
  <c r="O54" i="45" s="1"/>
  <c r="P96" i="34"/>
  <c r="N45" i="45" s="1"/>
  <c r="P138" i="34"/>
  <c r="P142" i="34"/>
  <c r="P112" i="34"/>
  <c r="N47" i="45" s="1"/>
  <c r="P139" i="34"/>
  <c r="P143" i="34"/>
  <c r="E54" i="33"/>
  <c r="E55" i="33" s="1"/>
  <c r="E56" i="33" s="1"/>
  <c r="E53" i="33"/>
  <c r="N51" i="45" l="1"/>
  <c r="O15" i="45"/>
  <c r="O18" i="45"/>
  <c r="O8" i="45"/>
  <c r="O26" i="45"/>
  <c r="Q7" i="45"/>
  <c r="O25" i="45"/>
  <c r="O23" i="45"/>
  <c r="O13" i="45"/>
  <c r="Q14" i="45"/>
  <c r="O17" i="45"/>
  <c r="O21" i="45"/>
  <c r="Q22" i="45"/>
  <c r="O10" i="45"/>
  <c r="O6" i="45"/>
  <c r="M49" i="45"/>
  <c r="M66" i="45" s="1"/>
  <c r="M72" i="45" s="1"/>
  <c r="O52" i="45"/>
  <c r="O67" i="45" s="1"/>
  <c r="N50" i="45"/>
  <c r="N43" i="45"/>
  <c r="N65" i="45" s="1"/>
  <c r="Q96" i="34"/>
  <c r="O45" i="45" s="1"/>
  <c r="Q142" i="34"/>
  <c r="Q138" i="34"/>
  <c r="R71" i="36"/>
  <c r="R55" i="36"/>
  <c r="R178" i="34"/>
  <c r="P54" i="45" s="1"/>
  <c r="R162" i="34"/>
  <c r="P53" i="45" s="1"/>
  <c r="Q112" i="34"/>
  <c r="O47" i="45" s="1"/>
  <c r="Q143" i="34"/>
  <c r="Q139" i="34"/>
  <c r="O51" i="45" l="1"/>
  <c r="N49" i="45"/>
  <c r="N66" i="45" s="1"/>
  <c r="N72" i="45" s="1"/>
  <c r="P13" i="45"/>
  <c r="R14" i="45"/>
  <c r="P8" i="45"/>
  <c r="P6" i="45"/>
  <c r="P18" i="45"/>
  <c r="P17" i="45"/>
  <c r="R22" i="45"/>
  <c r="P23" i="45"/>
  <c r="P10" i="45"/>
  <c r="P21" i="45"/>
  <c r="P26" i="45"/>
  <c r="R7" i="45"/>
  <c r="P15" i="45"/>
  <c r="P25" i="45"/>
  <c r="O43" i="45"/>
  <c r="O65" i="45" s="1"/>
  <c r="P52" i="45"/>
  <c r="P67" i="45" s="1"/>
  <c r="O50" i="45"/>
  <c r="R112" i="34"/>
  <c r="P47" i="45" s="1"/>
  <c r="R143" i="34"/>
  <c r="R139" i="34"/>
  <c r="S71" i="36"/>
  <c r="S55" i="36"/>
  <c r="S178" i="34"/>
  <c r="Q54" i="45" s="1"/>
  <c r="S162" i="34"/>
  <c r="Q53" i="45" s="1"/>
  <c r="R96" i="34"/>
  <c r="P45" i="45" s="1"/>
  <c r="R138" i="34"/>
  <c r="R142" i="34"/>
  <c r="P51" i="45" l="1"/>
  <c r="S22" i="45"/>
  <c r="S7" i="45"/>
  <c r="Q18" i="45"/>
  <c r="Q6" i="45"/>
  <c r="Q10" i="45"/>
  <c r="Q26" i="45"/>
  <c r="Q21" i="45"/>
  <c r="Q17" i="45"/>
  <c r="Q8" i="45"/>
  <c r="O49" i="45"/>
  <c r="O66" i="45" s="1"/>
  <c r="O72" i="45" s="1"/>
  <c r="Q13" i="45"/>
  <c r="Q15" i="45"/>
  <c r="S14" i="45"/>
  <c r="Q25" i="45"/>
  <c r="Q23" i="45"/>
  <c r="P50" i="45"/>
  <c r="P43" i="45"/>
  <c r="P65" i="45" s="1"/>
  <c r="Q52" i="45"/>
  <c r="Q67" i="45" s="1"/>
  <c r="T55" i="36"/>
  <c r="T71" i="36"/>
  <c r="T162" i="34"/>
  <c r="R53" i="45" s="1"/>
  <c r="T178" i="34"/>
  <c r="R54" i="45" s="1"/>
  <c r="S96" i="34"/>
  <c r="Q45" i="45" s="1"/>
  <c r="S142" i="34"/>
  <c r="S138" i="34"/>
  <c r="S112" i="34"/>
  <c r="Q47" i="45" s="1"/>
  <c r="S139" i="34"/>
  <c r="S143" i="34"/>
  <c r="P49" i="45" l="1"/>
  <c r="P66" i="45" s="1"/>
  <c r="P72" i="45" s="1"/>
  <c r="Q51" i="45"/>
  <c r="R8" i="45"/>
  <c r="R23" i="45"/>
  <c r="T7" i="45"/>
  <c r="R21" i="45"/>
  <c r="R18" i="45"/>
  <c r="T22" i="45"/>
  <c r="R17" i="45"/>
  <c r="R15" i="45"/>
  <c r="R26" i="45"/>
  <c r="R10" i="45"/>
  <c r="R13" i="45"/>
  <c r="T14" i="45"/>
  <c r="R25" i="45"/>
  <c r="R6" i="45"/>
  <c r="Q50" i="45"/>
  <c r="R52" i="45"/>
  <c r="R67" i="45" s="1"/>
  <c r="Q43" i="45"/>
  <c r="Q65" i="45" s="1"/>
  <c r="T112" i="34"/>
  <c r="R47" i="45" s="1"/>
  <c r="T143" i="34"/>
  <c r="T139" i="34"/>
  <c r="U71" i="36"/>
  <c r="U55" i="36"/>
  <c r="U162" i="34"/>
  <c r="S53" i="45" s="1"/>
  <c r="U178" i="34"/>
  <c r="S54" i="45" s="1"/>
  <c r="T96" i="34"/>
  <c r="R45" i="45" s="1"/>
  <c r="T142" i="34"/>
  <c r="T138" i="34"/>
  <c r="R51" i="45" l="1"/>
  <c r="Q49" i="45"/>
  <c r="Q66" i="45" s="1"/>
  <c r="Q72" i="45" s="1"/>
  <c r="S13" i="45"/>
  <c r="S15" i="45"/>
  <c r="S26" i="45"/>
  <c r="S10" i="45"/>
  <c r="S23" i="45"/>
  <c r="U14" i="45"/>
  <c r="S8" i="45"/>
  <c r="S17" i="45"/>
  <c r="S21" i="45"/>
  <c r="S25" i="45"/>
  <c r="S6" i="45"/>
  <c r="U22" i="45"/>
  <c r="S18" i="45"/>
  <c r="U7" i="45"/>
  <c r="R43" i="45"/>
  <c r="R65" i="45" s="1"/>
  <c r="R50" i="45"/>
  <c r="S52" i="45"/>
  <c r="S67" i="45" s="1"/>
  <c r="U96" i="34"/>
  <c r="S45" i="45" s="1"/>
  <c r="U138" i="34"/>
  <c r="U142" i="34"/>
  <c r="V71" i="36"/>
  <c r="V55" i="36"/>
  <c r="V162" i="34"/>
  <c r="T53" i="45" s="1"/>
  <c r="V178" i="34"/>
  <c r="T54" i="45" s="1"/>
  <c r="U112" i="34"/>
  <c r="S47" i="45" s="1"/>
  <c r="U139" i="34"/>
  <c r="U143" i="34"/>
  <c r="S51" i="45" l="1"/>
  <c r="R49" i="45"/>
  <c r="R66" i="45" s="1"/>
  <c r="R72" i="45" s="1"/>
  <c r="T26" i="45"/>
  <c r="T6" i="45"/>
  <c r="T10" i="45"/>
  <c r="V22" i="45"/>
  <c r="T8" i="45"/>
  <c r="T18" i="45"/>
  <c r="T17" i="45"/>
  <c r="V14" i="45"/>
  <c r="T15" i="45"/>
  <c r="T13" i="45"/>
  <c r="T25" i="45"/>
  <c r="T23" i="45"/>
  <c r="T21" i="45"/>
  <c r="V7" i="45"/>
  <c r="S43" i="45"/>
  <c r="S65" i="45" s="1"/>
  <c r="T52" i="45"/>
  <c r="T67" i="45" s="1"/>
  <c r="S50" i="45"/>
  <c r="W71" i="36"/>
  <c r="W55" i="36"/>
  <c r="W178" i="34"/>
  <c r="U54" i="45" s="1"/>
  <c r="W162" i="34"/>
  <c r="U53" i="45" s="1"/>
  <c r="V112" i="34"/>
  <c r="T47" i="45" s="1"/>
  <c r="V143" i="34"/>
  <c r="V139" i="34"/>
  <c r="V96" i="34"/>
  <c r="T45" i="45" s="1"/>
  <c r="V138" i="34"/>
  <c r="V142" i="34"/>
  <c r="T51" i="45" l="1"/>
  <c r="W22" i="45"/>
  <c r="U23" i="45"/>
  <c r="U17" i="45"/>
  <c r="U18" i="45"/>
  <c r="U25" i="45"/>
  <c r="W14" i="45"/>
  <c r="U6" i="45"/>
  <c r="U15" i="45"/>
  <c r="U10" i="45"/>
  <c r="U26" i="45"/>
  <c r="U13" i="45"/>
  <c r="W7" i="45"/>
  <c r="U21" i="45"/>
  <c r="U8" i="45"/>
  <c r="U52" i="45"/>
  <c r="U67" i="45" s="1"/>
  <c r="S49" i="45"/>
  <c r="S66" i="45" s="1"/>
  <c r="S72" i="45" s="1"/>
  <c r="T50" i="45"/>
  <c r="T43" i="45"/>
  <c r="T65" i="45" s="1"/>
  <c r="X71" i="36"/>
  <c r="X55" i="36"/>
  <c r="X162" i="34"/>
  <c r="V53" i="45" s="1"/>
  <c r="X178" i="34"/>
  <c r="V54" i="45" s="1"/>
  <c r="W96" i="34"/>
  <c r="U45" i="45" s="1"/>
  <c r="W142" i="34"/>
  <c r="W138" i="34"/>
  <c r="W112" i="34"/>
  <c r="U47" i="45" s="1"/>
  <c r="W139" i="34"/>
  <c r="W143" i="34"/>
  <c r="E57" i="33"/>
  <c r="U51" i="45" l="1"/>
  <c r="T49" i="45"/>
  <c r="T66" i="45" s="1"/>
  <c r="T72" i="45" s="1"/>
  <c r="X14" i="45"/>
  <c r="V8" i="45"/>
  <c r="X7" i="45"/>
  <c r="V25" i="45"/>
  <c r="X22" i="45"/>
  <c r="V18" i="45"/>
  <c r="V10" i="45"/>
  <c r="V13" i="45"/>
  <c r="V17" i="45"/>
  <c r="V21" i="45"/>
  <c r="V23" i="45"/>
  <c r="V26" i="45"/>
  <c r="V15" i="45"/>
  <c r="V6" i="45"/>
  <c r="U50" i="45"/>
  <c r="V52" i="45"/>
  <c r="V67" i="45" s="1"/>
  <c r="U43" i="45"/>
  <c r="U65" i="45" s="1"/>
  <c r="Y71" i="36"/>
  <c r="Y55" i="36"/>
  <c r="Y162" i="34"/>
  <c r="W53" i="45" s="1"/>
  <c r="Y178" i="34"/>
  <c r="W54" i="45" s="1"/>
  <c r="X96" i="34"/>
  <c r="V45" i="45" s="1"/>
  <c r="X142" i="34"/>
  <c r="X138" i="34"/>
  <c r="X112" i="34"/>
  <c r="V47" i="45" s="1"/>
  <c r="X143" i="34"/>
  <c r="X139" i="34"/>
  <c r="E58" i="33"/>
  <c r="V51" i="45" l="1"/>
  <c r="W26" i="45"/>
  <c r="W8" i="45"/>
  <c r="W17" i="45"/>
  <c r="W13" i="45"/>
  <c r="W18" i="45"/>
  <c r="W15" i="45"/>
  <c r="W6" i="45"/>
  <c r="Y14" i="45"/>
  <c r="W10" i="45"/>
  <c r="Y7" i="45"/>
  <c r="Y22" i="45"/>
  <c r="W25" i="45"/>
  <c r="W23" i="45"/>
  <c r="W21" i="45"/>
  <c r="V50" i="45"/>
  <c r="U49" i="45"/>
  <c r="U66" i="45" s="1"/>
  <c r="U72" i="45" s="1"/>
  <c r="W52" i="45"/>
  <c r="W67" i="45" s="1"/>
  <c r="V43" i="45"/>
  <c r="V65" i="45" s="1"/>
  <c r="Z71" i="36"/>
  <c r="Z55" i="36"/>
  <c r="Z162" i="34"/>
  <c r="X53" i="45" s="1"/>
  <c r="Z178" i="34"/>
  <c r="X54" i="45" s="1"/>
  <c r="Y96" i="34"/>
  <c r="W45" i="45" s="1"/>
  <c r="Y142" i="34"/>
  <c r="Y138" i="34"/>
  <c r="Y112" i="34"/>
  <c r="W47" i="45" s="1"/>
  <c r="Y143" i="34"/>
  <c r="Y139" i="34"/>
  <c r="E59" i="33"/>
  <c r="W51" i="45" l="1"/>
  <c r="X13" i="45"/>
  <c r="Z22" i="45"/>
  <c r="X21" i="45"/>
  <c r="X15" i="45"/>
  <c r="Z14" i="45"/>
  <c r="X17" i="45"/>
  <c r="X8" i="45"/>
  <c r="V49" i="45"/>
  <c r="V66" i="45" s="1"/>
  <c r="V72" i="45" s="1"/>
  <c r="X18" i="45"/>
  <c r="X10" i="45"/>
  <c r="X26" i="45"/>
  <c r="X6" i="45"/>
  <c r="Z7" i="45"/>
  <c r="X25" i="45"/>
  <c r="X23" i="45"/>
  <c r="X52" i="45"/>
  <c r="X67" i="45" s="1"/>
  <c r="W50" i="45"/>
  <c r="W43" i="45"/>
  <c r="W65" i="45" s="1"/>
  <c r="AA71" i="36"/>
  <c r="AA55" i="36"/>
  <c r="AA162" i="34"/>
  <c r="Y53" i="45" s="1"/>
  <c r="AA178" i="34"/>
  <c r="Y54" i="45" s="1"/>
  <c r="Z96" i="34"/>
  <c r="X45" i="45" s="1"/>
  <c r="Z142" i="34"/>
  <c r="Z138" i="34"/>
  <c r="Z112" i="34"/>
  <c r="X47" i="45" s="1"/>
  <c r="Z143" i="34"/>
  <c r="Z139" i="34"/>
  <c r="E60" i="33"/>
  <c r="E61" i="33" s="1"/>
  <c r="E62" i="33" s="1"/>
  <c r="E63" i="33" s="1"/>
  <c r="E64" i="33" s="1"/>
  <c r="E65" i="33" s="1"/>
  <c r="E66" i="33" s="1"/>
  <c r="E67" i="33" s="1"/>
  <c r="E68" i="33" s="1"/>
  <c r="E69" i="33" s="1"/>
  <c r="E70" i="33" s="1"/>
  <c r="E71" i="33" s="1"/>
  <c r="X51" i="45" l="1"/>
  <c r="Y25" i="45"/>
  <c r="AA14" i="45"/>
  <c r="Y18" i="45"/>
  <c r="Y10" i="45"/>
  <c r="Y21" i="45"/>
  <c r="Y15" i="45"/>
  <c r="AA7" i="45"/>
  <c r="Y13" i="45"/>
  <c r="Y26" i="45"/>
  <c r="W49" i="45"/>
  <c r="W66" i="45" s="1"/>
  <c r="W72" i="45" s="1"/>
  <c r="Y23" i="45"/>
  <c r="Y17" i="45"/>
  <c r="Y8" i="45"/>
  <c r="AA22" i="45"/>
  <c r="Y6" i="45"/>
  <c r="X50" i="45"/>
  <c r="Y52" i="45"/>
  <c r="Y67" i="45" s="1"/>
  <c r="X43" i="45"/>
  <c r="X65" i="45" s="1"/>
  <c r="AA96" i="34"/>
  <c r="Y45" i="45" s="1"/>
  <c r="AA138" i="34"/>
  <c r="AA142" i="34"/>
  <c r="AB71" i="36"/>
  <c r="AB55" i="36"/>
  <c r="AB162" i="34"/>
  <c r="Z53" i="45" s="1"/>
  <c r="AB178" i="34"/>
  <c r="Z54" i="45" s="1"/>
  <c r="AA112" i="34"/>
  <c r="Y47" i="45" s="1"/>
  <c r="AA143" i="34"/>
  <c r="AA139" i="34"/>
  <c r="Y51" i="45" l="1"/>
  <c r="X49" i="45"/>
  <c r="X66" i="45" s="1"/>
  <c r="X72" i="45" s="1"/>
  <c r="Z8" i="45"/>
  <c r="Z25" i="45"/>
  <c r="AB22" i="45"/>
  <c r="Z18" i="45"/>
  <c r="Z21" i="45"/>
  <c r="AB7" i="45"/>
  <c r="Z6" i="45"/>
  <c r="Z15" i="45"/>
  <c r="Z10" i="45"/>
  <c r="Z26" i="45"/>
  <c r="Z17" i="45"/>
  <c r="Z23" i="45"/>
  <c r="AB14" i="45"/>
  <c r="Z13" i="45"/>
  <c r="Y43" i="45"/>
  <c r="Y65" i="45" s="1"/>
  <c r="Y50" i="45"/>
  <c r="Z52" i="45"/>
  <c r="Z67" i="45" s="1"/>
  <c r="AB96" i="34"/>
  <c r="Z45" i="45" s="1"/>
  <c r="AB142" i="34"/>
  <c r="AB138" i="34"/>
  <c r="AC71" i="36"/>
  <c r="AC55" i="36"/>
  <c r="AC162" i="34"/>
  <c r="AA53" i="45" s="1"/>
  <c r="AC178" i="34"/>
  <c r="AA54" i="45" s="1"/>
  <c r="AB112" i="34"/>
  <c r="Z47" i="45" s="1"/>
  <c r="AB139" i="34"/>
  <c r="AB143" i="34"/>
  <c r="Z51" i="45" l="1"/>
  <c r="AC7" i="45"/>
  <c r="AA26" i="45"/>
  <c r="AC22" i="45"/>
  <c r="AA10" i="45"/>
  <c r="AA13" i="45"/>
  <c r="AA8" i="45"/>
  <c r="AA25" i="45"/>
  <c r="AA21" i="45"/>
  <c r="AA15" i="45"/>
  <c r="AC14" i="45"/>
  <c r="AA18" i="45"/>
  <c r="AA6" i="45"/>
  <c r="AA23" i="45"/>
  <c r="AA17" i="45"/>
  <c r="Y49" i="45"/>
  <c r="Y66" i="45" s="1"/>
  <c r="Y72" i="45" s="1"/>
  <c r="AA52" i="45"/>
  <c r="AA67" i="45" s="1"/>
  <c r="Z43" i="45"/>
  <c r="Z65" i="45" s="1"/>
  <c r="Z50" i="45"/>
  <c r="AC96" i="34"/>
  <c r="AA45" i="45" s="1"/>
  <c r="AC138" i="34"/>
  <c r="AC142" i="34"/>
  <c r="AD178" i="34"/>
  <c r="AD162" i="34"/>
  <c r="AC112" i="34"/>
  <c r="AA47" i="45" s="1"/>
  <c r="AC139" i="34"/>
  <c r="AC143" i="34"/>
  <c r="AA51" i="45" l="1"/>
  <c r="AD14" i="45"/>
  <c r="AB17" i="45"/>
  <c r="AD22" i="45"/>
  <c r="AB15" i="45"/>
  <c r="AB10" i="45"/>
  <c r="AD7" i="45"/>
  <c r="AB23" i="45"/>
  <c r="AB8" i="45"/>
  <c r="AB25" i="45"/>
  <c r="AA43" i="45"/>
  <c r="AA65" i="45" s="1"/>
  <c r="Z49" i="45"/>
  <c r="Z66" i="45" s="1"/>
  <c r="AE178" i="34"/>
  <c r="AE162" i="34"/>
  <c r="AA50" i="45"/>
  <c r="AD112" i="34"/>
  <c r="AD96" i="34"/>
  <c r="AC8" i="45" l="1"/>
  <c r="AE22" i="45"/>
  <c r="AC10" i="45"/>
  <c r="AC23" i="45"/>
  <c r="AC25" i="45"/>
  <c r="AC15" i="45"/>
  <c r="AE7" i="45"/>
  <c r="AC17" i="45"/>
  <c r="AE14" i="45"/>
  <c r="AA49" i="45"/>
  <c r="AA66" i="45" s="1"/>
  <c r="AF162" i="34"/>
  <c r="AF178" i="34"/>
  <c r="AE96" i="34"/>
  <c r="AE112" i="34"/>
  <c r="AD23" i="45" l="1"/>
  <c r="AF22" i="45"/>
  <c r="AD10" i="45"/>
  <c r="AD15" i="45"/>
  <c r="AF7" i="45"/>
  <c r="AD25" i="45"/>
  <c r="AF14" i="45"/>
  <c r="AD17" i="45"/>
  <c r="AD8" i="45"/>
  <c r="AF96" i="34"/>
  <c r="AG162" i="34"/>
  <c r="AG178" i="34"/>
  <c r="AF112" i="34"/>
  <c r="AE25" i="45" l="1"/>
  <c r="AE10" i="45"/>
  <c r="AG22" i="45"/>
  <c r="AE15" i="45"/>
  <c r="AE23" i="45"/>
  <c r="AG7" i="45"/>
  <c r="AE17" i="45"/>
  <c r="AE8" i="45"/>
  <c r="AG14" i="45"/>
  <c r="AH178" i="34"/>
  <c r="AH162" i="34"/>
  <c r="AG96" i="34"/>
  <c r="AG112" i="34"/>
  <c r="AF25" i="45" l="1"/>
  <c r="AF15" i="45"/>
  <c r="AF17" i="45"/>
  <c r="AF8" i="45"/>
  <c r="AF10" i="45"/>
  <c r="AF23" i="45"/>
  <c r="AI178" i="34"/>
  <c r="AI162" i="34"/>
  <c r="AH96" i="34"/>
  <c r="AH112" i="34"/>
  <c r="AG8" i="45" l="1"/>
  <c r="AG23" i="45"/>
  <c r="AG10" i="45"/>
  <c r="AG17" i="45"/>
  <c r="AG15" i="45"/>
  <c r="AG25" i="45"/>
  <c r="AI96" i="34"/>
  <c r="AI112" i="34"/>
  <c r="AH22" i="45" l="1"/>
  <c r="AH14" i="45" l="1"/>
  <c r="AH7" i="45"/>
  <c r="AI22" i="45"/>
  <c r="AH23" i="45" l="1"/>
  <c r="AI14" i="45"/>
  <c r="AI7" i="45"/>
  <c r="AJ22" i="45"/>
  <c r="AI23" i="45" l="1"/>
  <c r="AH8" i="45"/>
  <c r="AH15" i="45"/>
  <c r="AJ14" i="45"/>
  <c r="AK22" i="45"/>
  <c r="AJ7" i="45"/>
  <c r="AK71" i="36"/>
  <c r="AK162" i="34"/>
  <c r="AK178" i="34"/>
  <c r="AK55" i="36"/>
  <c r="AI15" i="45" l="1"/>
  <c r="AI8" i="45"/>
  <c r="AJ23" i="45"/>
  <c r="AL22" i="45"/>
  <c r="AK14" i="45"/>
  <c r="AK7" i="45"/>
  <c r="AK112" i="34"/>
  <c r="AL71" i="36"/>
  <c r="AL162" i="34"/>
  <c r="AL178" i="34"/>
  <c r="AK96" i="34"/>
  <c r="AL55" i="36"/>
  <c r="AJ15" i="45" l="1"/>
  <c r="AJ8" i="45"/>
  <c r="AK23" i="45"/>
  <c r="AL14" i="45"/>
  <c r="AL7" i="45"/>
  <c r="AM22" i="45"/>
  <c r="AL112" i="34"/>
  <c r="AM71" i="36"/>
  <c r="AM162" i="34"/>
  <c r="AM178" i="34"/>
  <c r="AL96" i="34"/>
  <c r="AM55" i="36"/>
  <c r="AK15" i="45" l="1"/>
  <c r="AK8" i="45"/>
  <c r="AL23" i="45"/>
  <c r="AN22" i="45"/>
  <c r="AM7" i="45"/>
  <c r="AM14" i="45"/>
  <c r="AM112" i="34"/>
  <c r="AN71" i="36"/>
  <c r="AN178" i="34"/>
  <c r="AN162" i="34"/>
  <c r="AM96" i="34"/>
  <c r="AN55" i="36"/>
  <c r="AM23" i="45" l="1"/>
  <c r="AL8" i="45"/>
  <c r="AL15" i="45"/>
  <c r="AN7" i="45"/>
  <c r="AO22" i="45"/>
  <c r="AN14" i="45"/>
  <c r="AN112" i="34"/>
  <c r="AO71" i="36"/>
  <c r="AO162" i="34"/>
  <c r="AO178" i="34"/>
  <c r="AN96" i="34"/>
  <c r="AO55" i="36"/>
  <c r="AN23" i="45" l="1"/>
  <c r="AM8" i="45"/>
  <c r="AM15" i="45"/>
  <c r="AO14" i="45"/>
  <c r="AO7" i="45"/>
  <c r="AP22" i="45"/>
  <c r="AO112" i="34"/>
  <c r="AP71" i="36"/>
  <c r="AP162" i="34"/>
  <c r="AP178" i="34"/>
  <c r="AO96" i="34"/>
  <c r="AP55" i="36"/>
  <c r="AN15" i="45" l="1"/>
  <c r="AO23" i="45"/>
  <c r="AN8" i="45"/>
  <c r="AQ22" i="45"/>
  <c r="AP7" i="45"/>
  <c r="AP14" i="45"/>
  <c r="AP112" i="34"/>
  <c r="AQ71" i="36"/>
  <c r="AQ162" i="34"/>
  <c r="AQ178" i="34"/>
  <c r="AP96" i="34"/>
  <c r="AQ55" i="36"/>
  <c r="AO15" i="45" l="1"/>
  <c r="AP23" i="45"/>
  <c r="AO8" i="45"/>
  <c r="AR22" i="45"/>
  <c r="AQ7" i="45"/>
  <c r="AQ14" i="45"/>
  <c r="AQ112" i="34"/>
  <c r="AR71" i="36"/>
  <c r="AR162" i="34"/>
  <c r="AR178" i="34"/>
  <c r="AQ96" i="34"/>
  <c r="AR55" i="36"/>
  <c r="AP15" i="45" l="1"/>
  <c r="AQ23" i="45"/>
  <c r="AP8" i="45"/>
  <c r="AS22" i="45"/>
  <c r="AR14" i="45"/>
  <c r="AR7" i="45"/>
  <c r="AR112" i="34"/>
  <c r="AS71" i="36"/>
  <c r="AS162" i="34"/>
  <c r="AS178" i="34"/>
  <c r="AR96" i="34"/>
  <c r="AS55" i="36"/>
  <c r="AQ15" i="45" l="1"/>
  <c r="AQ8" i="45"/>
  <c r="AR23" i="45"/>
  <c r="AS14" i="45"/>
  <c r="AT22" i="45"/>
  <c r="AS7" i="45"/>
  <c r="AS112" i="34"/>
  <c r="AT71" i="36"/>
  <c r="AT162" i="34"/>
  <c r="AT178" i="34"/>
  <c r="AS96" i="34"/>
  <c r="AT55" i="36"/>
  <c r="AR15" i="45" l="1"/>
  <c r="AS23" i="45"/>
  <c r="AR8" i="45"/>
  <c r="AT7" i="45"/>
  <c r="AU22" i="45"/>
  <c r="AT14" i="45"/>
  <c r="AT112" i="34"/>
  <c r="AU71" i="36"/>
  <c r="AU162" i="34"/>
  <c r="AU178" i="34"/>
  <c r="AT96" i="34"/>
  <c r="AU55" i="36"/>
  <c r="AT23" i="45" l="1"/>
  <c r="AS15" i="45"/>
  <c r="AS8" i="45"/>
  <c r="AU7" i="45"/>
  <c r="AV22" i="45"/>
  <c r="AU14" i="45"/>
  <c r="AU112" i="34"/>
  <c r="AV71" i="36"/>
  <c r="AV178" i="34"/>
  <c r="AV162" i="34"/>
  <c r="AU96" i="34"/>
  <c r="AV55" i="36"/>
  <c r="AU23" i="45" l="1"/>
  <c r="AT8" i="45"/>
  <c r="AT15" i="45"/>
  <c r="AV7" i="45"/>
  <c r="AW22" i="45"/>
  <c r="AV14" i="45"/>
  <c r="AV112" i="34"/>
  <c r="AW71" i="36"/>
  <c r="AW162" i="34"/>
  <c r="AW178" i="34"/>
  <c r="AV96" i="34"/>
  <c r="AW55" i="36"/>
  <c r="AV23" i="45" l="1"/>
  <c r="AU8" i="45"/>
  <c r="AU15" i="45"/>
  <c r="AW7" i="45"/>
  <c r="AX22" i="45"/>
  <c r="AW14" i="45"/>
  <c r="AW112" i="34"/>
  <c r="AX71" i="36"/>
  <c r="AX162" i="34"/>
  <c r="AX178" i="34"/>
  <c r="AW96" i="34"/>
  <c r="AX55" i="36"/>
  <c r="AV8" i="45" l="1"/>
  <c r="AW23" i="45"/>
  <c r="AV15" i="45"/>
  <c r="AX7" i="45"/>
  <c r="AY22" i="45"/>
  <c r="AX14" i="45"/>
  <c r="AX112" i="34"/>
  <c r="AY71" i="36"/>
  <c r="AY162" i="34"/>
  <c r="AY178" i="34"/>
  <c r="AX96" i="34"/>
  <c r="AY55" i="36"/>
  <c r="AX23" i="45" l="1"/>
  <c r="AW8" i="45"/>
  <c r="AW15" i="45"/>
  <c r="AY7" i="45"/>
  <c r="AY14" i="45"/>
  <c r="AZ22" i="45"/>
  <c r="AY112" i="34"/>
  <c r="AZ71" i="36"/>
  <c r="AZ162" i="34"/>
  <c r="AZ178" i="34"/>
  <c r="AY96" i="34"/>
  <c r="AZ55" i="36"/>
  <c r="AX8" i="45" l="1"/>
  <c r="AY23" i="45"/>
  <c r="AX15" i="45"/>
  <c r="BA22" i="45"/>
  <c r="AZ7" i="45"/>
  <c r="AZ14" i="45"/>
  <c r="AZ112" i="34"/>
  <c r="BA71" i="36"/>
  <c r="BA162" i="34"/>
  <c r="BA178" i="34"/>
  <c r="AZ96" i="34"/>
  <c r="BA55" i="36"/>
  <c r="AY15" i="45" l="1"/>
  <c r="AY8" i="45"/>
  <c r="AZ23" i="45"/>
  <c r="BA14" i="45"/>
  <c r="BA7" i="45"/>
  <c r="BB22" i="45"/>
  <c r="BA112" i="34"/>
  <c r="BB71" i="36"/>
  <c r="BB162" i="34"/>
  <c r="BB178" i="34"/>
  <c r="BA96" i="34"/>
  <c r="BB55" i="36"/>
  <c r="G5" i="45" l="1"/>
  <c r="G4" i="45" s="1"/>
  <c r="G58" i="45" s="1"/>
  <c r="F5" i="45"/>
  <c r="F4" i="45" s="1"/>
  <c r="F58" i="45" s="1"/>
  <c r="G12" i="45"/>
  <c r="G11" i="45" s="1"/>
  <c r="G59" i="45" s="1"/>
  <c r="AZ8" i="45"/>
  <c r="BA23" i="45"/>
  <c r="F12" i="45"/>
  <c r="F11" i="45" s="1"/>
  <c r="F59" i="45" s="1"/>
  <c r="G20" i="45"/>
  <c r="G19" i="45" s="1"/>
  <c r="G60" i="45" s="1"/>
  <c r="AZ15" i="45"/>
  <c r="F20" i="45"/>
  <c r="F19" i="45" s="1"/>
  <c r="F60" i="45" s="1"/>
  <c r="BB7" i="45"/>
  <c r="BC22" i="45"/>
  <c r="BB14" i="45"/>
  <c r="BB112" i="34"/>
  <c r="BC71" i="36"/>
  <c r="BC162" i="34"/>
  <c r="BC178" i="34"/>
  <c r="BB96" i="34"/>
  <c r="BC55" i="36"/>
  <c r="F71" i="45" l="1"/>
  <c r="F73" i="45" s="1"/>
  <c r="F77" i="45" s="1"/>
  <c r="G71" i="45"/>
  <c r="G73" i="45" s="1"/>
  <c r="G77" i="45" s="1"/>
  <c r="BB23" i="45"/>
  <c r="H5" i="45"/>
  <c r="H4" i="45" s="1"/>
  <c r="H58" i="45" s="1"/>
  <c r="H20" i="45"/>
  <c r="H19" i="45" s="1"/>
  <c r="H60" i="45" s="1"/>
  <c r="H12" i="45"/>
  <c r="H11" i="45" s="1"/>
  <c r="H59" i="45" s="1"/>
  <c r="BA15" i="45"/>
  <c r="BA8" i="45"/>
  <c r="BC7" i="45"/>
  <c r="BC14" i="45"/>
  <c r="BD22" i="45"/>
  <c r="BC112" i="34"/>
  <c r="BD71" i="36"/>
  <c r="BD178" i="34"/>
  <c r="BD162" i="34"/>
  <c r="BC96" i="34"/>
  <c r="BD55" i="36"/>
  <c r="H71" i="45" l="1"/>
  <c r="H73" i="45" s="1"/>
  <c r="H77" i="45" s="1"/>
  <c r="I20" i="45"/>
  <c r="I19" i="45" s="1"/>
  <c r="I60" i="45" s="1"/>
  <c r="BB8" i="45"/>
  <c r="BB15" i="45"/>
  <c r="I5" i="45"/>
  <c r="I4" i="45" s="1"/>
  <c r="I58" i="45" s="1"/>
  <c r="BC23" i="45"/>
  <c r="I12" i="45"/>
  <c r="I11" i="45" s="1"/>
  <c r="I59" i="45" s="1"/>
  <c r="BD14" i="45"/>
  <c r="BE22" i="45"/>
  <c r="BD7" i="45"/>
  <c r="BD112" i="34"/>
  <c r="BE71" i="36"/>
  <c r="BE162" i="34"/>
  <c r="BE178" i="34"/>
  <c r="BD96" i="34"/>
  <c r="BE55" i="36"/>
  <c r="I71" i="45" l="1"/>
  <c r="I73" i="45" s="1"/>
  <c r="I77" i="45" s="1"/>
  <c r="BD23" i="45"/>
  <c r="J20" i="45"/>
  <c r="J19" i="45" s="1"/>
  <c r="J60" i="45" s="1"/>
  <c r="J5" i="45"/>
  <c r="J4" i="45" s="1"/>
  <c r="J58" i="45" s="1"/>
  <c r="BC8" i="45"/>
  <c r="BC15" i="45"/>
  <c r="J12" i="45"/>
  <c r="J11" i="45" s="1"/>
  <c r="J59" i="45" s="1"/>
  <c r="BE14" i="45"/>
  <c r="BE7" i="45"/>
  <c r="BF22" i="45"/>
  <c r="BE112" i="34"/>
  <c r="BF71" i="36"/>
  <c r="BF162" i="34"/>
  <c r="BF178" i="34"/>
  <c r="BE96" i="34"/>
  <c r="BF55" i="36"/>
  <c r="J71" i="45" l="1"/>
  <c r="J73" i="45" s="1"/>
  <c r="J77" i="45" s="1"/>
  <c r="K20" i="45"/>
  <c r="K19" i="45" s="1"/>
  <c r="K60" i="45" s="1"/>
  <c r="BD15" i="45"/>
  <c r="K5" i="45"/>
  <c r="K4" i="45" s="1"/>
  <c r="K58" i="45" s="1"/>
  <c r="BE23" i="45"/>
  <c r="BD8" i="45"/>
  <c r="K12" i="45"/>
  <c r="K11" i="45" s="1"/>
  <c r="K59" i="45" s="1"/>
  <c r="BF7" i="45"/>
  <c r="BG22" i="45"/>
  <c r="BF14" i="45"/>
  <c r="BF112" i="34"/>
  <c r="BG71" i="36"/>
  <c r="BG162" i="34"/>
  <c r="BG178" i="34"/>
  <c r="BF96" i="34"/>
  <c r="BG55" i="36"/>
  <c r="K71" i="45" l="1"/>
  <c r="K73" i="45" s="1"/>
  <c r="K77" i="45" s="1"/>
  <c r="BF23" i="45"/>
  <c r="L5" i="45"/>
  <c r="L4" i="45" s="1"/>
  <c r="L58" i="45" s="1"/>
  <c r="BE15" i="45"/>
  <c r="L20" i="45"/>
  <c r="L19" i="45" s="1"/>
  <c r="L60" i="45" s="1"/>
  <c r="BE8" i="45"/>
  <c r="L12" i="45"/>
  <c r="L11" i="45" s="1"/>
  <c r="L59" i="45" s="1"/>
  <c r="BG14" i="45"/>
  <c r="BG7" i="45"/>
  <c r="BH22" i="45"/>
  <c r="BG112" i="34"/>
  <c r="BH71" i="36"/>
  <c r="BH162" i="34"/>
  <c r="BH178" i="34"/>
  <c r="BG96" i="34"/>
  <c r="BH55" i="36"/>
  <c r="L71" i="45" l="1"/>
  <c r="L73" i="45" s="1"/>
  <c r="L77" i="45" s="1"/>
  <c r="M20" i="45"/>
  <c r="M19" i="45" s="1"/>
  <c r="M60" i="45" s="1"/>
  <c r="BF15" i="45"/>
  <c r="M12" i="45"/>
  <c r="M11" i="45" s="1"/>
  <c r="M59" i="45" s="1"/>
  <c r="BG23" i="45"/>
  <c r="BF8" i="45"/>
  <c r="M5" i="45"/>
  <c r="M4" i="45" s="1"/>
  <c r="M58" i="45" s="1"/>
  <c r="BI22" i="45"/>
  <c r="BH14" i="45"/>
  <c r="BH7" i="45"/>
  <c r="BH112" i="34"/>
  <c r="BI71" i="36"/>
  <c r="BI162" i="34"/>
  <c r="BI178" i="34"/>
  <c r="BH96" i="34"/>
  <c r="BI55" i="36"/>
  <c r="M71" i="45" l="1"/>
  <c r="M73" i="45" s="1"/>
  <c r="M77" i="45" s="1"/>
  <c r="BG8" i="45"/>
  <c r="N20" i="45"/>
  <c r="N19" i="45" s="1"/>
  <c r="N60" i="45" s="1"/>
  <c r="BG15" i="45"/>
  <c r="N12" i="45"/>
  <c r="N11" i="45" s="1"/>
  <c r="N59" i="45" s="1"/>
  <c r="BH23" i="45"/>
  <c r="N5" i="45"/>
  <c r="N4" i="45" s="1"/>
  <c r="N58" i="45" s="1"/>
  <c r="BI14" i="45"/>
  <c r="BJ22" i="45"/>
  <c r="BI7" i="45"/>
  <c r="BI112" i="34"/>
  <c r="BJ71" i="36"/>
  <c r="BJ162" i="34"/>
  <c r="BJ178" i="34"/>
  <c r="BI96" i="34"/>
  <c r="BJ55" i="36"/>
  <c r="N71" i="45" l="1"/>
  <c r="N73" i="45" s="1"/>
  <c r="N77" i="45" s="1"/>
  <c r="BH15" i="45"/>
  <c r="O20" i="45"/>
  <c r="O19" i="45" s="1"/>
  <c r="O60" i="45" s="1"/>
  <c r="BH8" i="45"/>
  <c r="O12" i="45"/>
  <c r="O11" i="45" s="1"/>
  <c r="O59" i="45" s="1"/>
  <c r="BI23" i="45"/>
  <c r="O5" i="45"/>
  <c r="O4" i="45" s="1"/>
  <c r="O58" i="45" s="1"/>
  <c r="BK22" i="45"/>
  <c r="BJ14" i="45"/>
  <c r="BJ7" i="45"/>
  <c r="BJ112" i="34"/>
  <c r="BK71" i="36"/>
  <c r="BK162" i="34"/>
  <c r="BK178" i="34"/>
  <c r="BJ96" i="34"/>
  <c r="BK55" i="36"/>
  <c r="O71" i="45" l="1"/>
  <c r="O73" i="45" s="1"/>
  <c r="O77" i="45" s="1"/>
  <c r="P5" i="45"/>
  <c r="P4" i="45" s="1"/>
  <c r="P58" i="45" s="1"/>
  <c r="BI15" i="45"/>
  <c r="P20" i="45"/>
  <c r="P19" i="45" s="1"/>
  <c r="P60" i="45" s="1"/>
  <c r="BJ23" i="45"/>
  <c r="BI8" i="45"/>
  <c r="P12" i="45"/>
  <c r="P11" i="45" s="1"/>
  <c r="P59" i="45" s="1"/>
  <c r="BL22" i="45"/>
  <c r="BK14" i="45"/>
  <c r="BK7" i="45"/>
  <c r="BK112" i="34"/>
  <c r="BL71" i="36"/>
  <c r="BL162" i="34"/>
  <c r="BL178" i="34"/>
  <c r="BK96" i="34"/>
  <c r="BL55" i="36"/>
  <c r="P71" i="45" l="1"/>
  <c r="P73" i="45" s="1"/>
  <c r="P77" i="45" s="1"/>
  <c r="BK23" i="45"/>
  <c r="BJ8" i="45"/>
  <c r="Q12" i="45"/>
  <c r="Q11" i="45" s="1"/>
  <c r="Q59" i="45" s="1"/>
  <c r="Q20" i="45"/>
  <c r="Q19" i="45" s="1"/>
  <c r="Q60" i="45" s="1"/>
  <c r="BJ15" i="45"/>
  <c r="Q5" i="45"/>
  <c r="Q4" i="45" s="1"/>
  <c r="Q58" i="45" s="1"/>
  <c r="BL7" i="45"/>
  <c r="BN22" i="45"/>
  <c r="BM22" i="45"/>
  <c r="BL14" i="45"/>
  <c r="BL112" i="34"/>
  <c r="BM71" i="36"/>
  <c r="BM162" i="34"/>
  <c r="BM178" i="34"/>
  <c r="BL96" i="34"/>
  <c r="BM55" i="36"/>
  <c r="Q71" i="45" l="1"/>
  <c r="Q73" i="45" s="1"/>
  <c r="Q77" i="45" s="1"/>
  <c r="BK8" i="45"/>
  <c r="R5" i="45"/>
  <c r="R4" i="45" s="1"/>
  <c r="R58" i="45" s="1"/>
  <c r="BL23" i="45"/>
  <c r="R20" i="45"/>
  <c r="R19" i="45" s="1"/>
  <c r="R60" i="45" s="1"/>
  <c r="BK15" i="45"/>
  <c r="R12" i="45"/>
  <c r="R11" i="45" s="1"/>
  <c r="R59" i="45" s="1"/>
  <c r="BM7" i="45"/>
  <c r="BN7" i="45"/>
  <c r="BN14" i="45"/>
  <c r="BM14" i="45"/>
  <c r="BM112" i="34"/>
  <c r="BN71" i="36"/>
  <c r="BN162" i="34"/>
  <c r="BN178" i="34"/>
  <c r="BM96" i="34"/>
  <c r="BN55" i="36"/>
  <c r="R71" i="45" l="1"/>
  <c r="R73" i="45" s="1"/>
  <c r="R77" i="45" s="1"/>
  <c r="BM23" i="45"/>
  <c r="BN23" i="45"/>
  <c r="S12" i="45"/>
  <c r="S11" i="45" s="1"/>
  <c r="S59" i="45" s="1"/>
  <c r="S5" i="45"/>
  <c r="S4" i="45" s="1"/>
  <c r="S58" i="45" s="1"/>
  <c r="S20" i="45"/>
  <c r="S19" i="45" s="1"/>
  <c r="S60" i="45" s="1"/>
  <c r="BL15" i="45"/>
  <c r="BL8" i="45"/>
  <c r="BN112" i="34"/>
  <c r="BP71" i="36"/>
  <c r="BP162" i="34"/>
  <c r="BP178" i="34"/>
  <c r="BO71" i="36"/>
  <c r="BO162" i="34"/>
  <c r="BO178" i="34"/>
  <c r="BN96" i="34"/>
  <c r="BP55" i="36"/>
  <c r="BO55" i="36"/>
  <c r="S71" i="45" l="1"/>
  <c r="S73" i="45" s="1"/>
  <c r="S77" i="45" s="1"/>
  <c r="BN15" i="45"/>
  <c r="BN8" i="45"/>
  <c r="BM8" i="45"/>
  <c r="T12" i="45"/>
  <c r="T11" i="45" s="1"/>
  <c r="T59" i="45" s="1"/>
  <c r="T5" i="45"/>
  <c r="T4" i="45" s="1"/>
  <c r="T58" i="45" s="1"/>
  <c r="BM15" i="45"/>
  <c r="T20" i="45"/>
  <c r="T19" i="45" s="1"/>
  <c r="T60" i="45" s="1"/>
  <c r="BP112" i="34"/>
  <c r="BO112" i="34"/>
  <c r="BP96" i="34"/>
  <c r="BO96" i="34"/>
  <c r="T71" i="45" l="1"/>
  <c r="T73" i="45" s="1"/>
  <c r="T77" i="45" s="1"/>
  <c r="U5" i="45"/>
  <c r="U4" i="45" s="1"/>
  <c r="U58" i="45" s="1"/>
  <c r="U12" i="45"/>
  <c r="U11" i="45" s="1"/>
  <c r="U59" i="45" s="1"/>
  <c r="U20" i="45"/>
  <c r="U19" i="45" s="1"/>
  <c r="U60" i="45" s="1"/>
  <c r="U71" i="45" l="1"/>
  <c r="U73" i="45" s="1"/>
  <c r="U77" i="45" s="1"/>
  <c r="V20" i="45"/>
  <c r="V19" i="45" s="1"/>
  <c r="V60" i="45" s="1"/>
  <c r="V5" i="45"/>
  <c r="V4" i="45" s="1"/>
  <c r="V58" i="45" s="1"/>
  <c r="V12" i="45"/>
  <c r="V11" i="45" s="1"/>
  <c r="V59" i="45" s="1"/>
  <c r="V71" i="45" l="1"/>
  <c r="V73" i="45" s="1"/>
  <c r="V77" i="45" s="1"/>
  <c r="W12" i="45"/>
  <c r="W11" i="45" s="1"/>
  <c r="W59" i="45" s="1"/>
  <c r="W20" i="45"/>
  <c r="W19" i="45" s="1"/>
  <c r="W60" i="45" s="1"/>
  <c r="W5" i="45"/>
  <c r="W4" i="45" s="1"/>
  <c r="W58" i="45" s="1"/>
  <c r="W71" i="45" l="1"/>
  <c r="W73" i="45" s="1"/>
  <c r="W77" i="45" s="1"/>
  <c r="X20" i="45"/>
  <c r="X19" i="45" s="1"/>
  <c r="X60" i="45" s="1"/>
  <c r="X5" i="45"/>
  <c r="X4" i="45" s="1"/>
  <c r="X58" i="45" s="1"/>
  <c r="X12" i="45"/>
  <c r="X11" i="45" s="1"/>
  <c r="X59" i="45" s="1"/>
  <c r="X71" i="45" l="1"/>
  <c r="X73" i="45" s="1"/>
  <c r="X77" i="45" s="1"/>
  <c r="Y12" i="45"/>
  <c r="Y11" i="45" s="1"/>
  <c r="Y59" i="45" s="1"/>
  <c r="Y20" i="45"/>
  <c r="Y19" i="45" s="1"/>
  <c r="Y60" i="45" s="1"/>
  <c r="Y5" i="45"/>
  <c r="Y4" i="45" s="1"/>
  <c r="Y58" i="45" s="1"/>
  <c r="Y71" i="45" l="1"/>
  <c r="Y73" i="45" s="1"/>
  <c r="Y77" i="45" s="1"/>
  <c r="Z5" i="45"/>
  <c r="Z4" i="45" s="1"/>
  <c r="Z58" i="45" s="1"/>
  <c r="Z20" i="45"/>
  <c r="Z19" i="45" s="1"/>
  <c r="Z60" i="45" s="1"/>
  <c r="Z12" i="45"/>
  <c r="Z11" i="45" s="1"/>
  <c r="Z59" i="45" s="1"/>
  <c r="Z71" i="45" l="1"/>
  <c r="AA5" i="45"/>
  <c r="AA4" i="45" s="1"/>
  <c r="AA58" i="45" s="1"/>
  <c r="AA20" i="45"/>
  <c r="AA19" i="45" s="1"/>
  <c r="AA60" i="45" s="1"/>
  <c r="AA12" i="45"/>
  <c r="AA11" i="45" s="1"/>
  <c r="AA59" i="45" s="1"/>
  <c r="AA71" i="45" l="1"/>
  <c r="BI83" i="34" l="1"/>
  <c r="BI67" i="34"/>
  <c r="BP83" i="34"/>
  <c r="BP67" i="34"/>
  <c r="AZ83" i="34"/>
  <c r="AZ67" i="34"/>
  <c r="BC83" i="34"/>
  <c r="BC67" i="34"/>
  <c r="AR81" i="34"/>
  <c r="AR65" i="34"/>
  <c r="AM81" i="34"/>
  <c r="AM65" i="34"/>
  <c r="BO81" i="34"/>
  <c r="BO65" i="34"/>
  <c r="BE81" i="34"/>
  <c r="BE65" i="34"/>
  <c r="BN80" i="34"/>
  <c r="BN64" i="34"/>
  <c r="BD80" i="34"/>
  <c r="BD64" i="34"/>
  <c r="BP80" i="34"/>
  <c r="BP64" i="34"/>
  <c r="BI80" i="34"/>
  <c r="BI64" i="34"/>
  <c r="AN79" i="34"/>
  <c r="AN63" i="34"/>
  <c r="AT79" i="34"/>
  <c r="AT63" i="34"/>
  <c r="BB79" i="34"/>
  <c r="BB63" i="34"/>
  <c r="AW79" i="34"/>
  <c r="AW63" i="34"/>
  <c r="AO83" i="34"/>
  <c r="AO67" i="34"/>
  <c r="BL83" i="34"/>
  <c r="BL67" i="34"/>
  <c r="AY83" i="34"/>
  <c r="AY67" i="34"/>
  <c r="AV81" i="34"/>
  <c r="AV65" i="34"/>
  <c r="BP81" i="34"/>
  <c r="BP65" i="34"/>
  <c r="AU81" i="34"/>
  <c r="AU65" i="34"/>
  <c r="AN81" i="34"/>
  <c r="AN65" i="34"/>
  <c r="AK81" i="34"/>
  <c r="AK65" i="34"/>
  <c r="AX80" i="34"/>
  <c r="AX64" i="34"/>
  <c r="AV80" i="34"/>
  <c r="AV64" i="34"/>
  <c r="AP80" i="34"/>
  <c r="AP64" i="34"/>
  <c r="AO80" i="34"/>
  <c r="AO64" i="34"/>
  <c r="AJ79" i="34"/>
  <c r="AJ63" i="34"/>
  <c r="BH79" i="34"/>
  <c r="BH63" i="34"/>
  <c r="AV79" i="34"/>
  <c r="AV63" i="34"/>
  <c r="BI79" i="34"/>
  <c r="BI63" i="34"/>
  <c r="BJ83" i="34"/>
  <c r="BJ67" i="34"/>
  <c r="BB83" i="34"/>
  <c r="BB67" i="34"/>
  <c r="AS83" i="34"/>
  <c r="AS67" i="34"/>
  <c r="AX83" i="34"/>
  <c r="AX67" i="34"/>
  <c r="BH83" i="34"/>
  <c r="BH67" i="34"/>
  <c r="AR83" i="34"/>
  <c r="AR67" i="34"/>
  <c r="BK83" i="34"/>
  <c r="BK67" i="34"/>
  <c r="AU83" i="34"/>
  <c r="AU67" i="34"/>
  <c r="AL81" i="34"/>
  <c r="AL65" i="34"/>
  <c r="BC81" i="34"/>
  <c r="BC65" i="34"/>
  <c r="BH81" i="34"/>
  <c r="BH65" i="34"/>
  <c r="BK81" i="34"/>
  <c r="BK65" i="34"/>
  <c r="AP81" i="34"/>
  <c r="AP65" i="34"/>
  <c r="BD81" i="34"/>
  <c r="BD65" i="34"/>
  <c r="BM81" i="34"/>
  <c r="BM65" i="34"/>
  <c r="AW81" i="34"/>
  <c r="AW65" i="34"/>
  <c r="BC80" i="34"/>
  <c r="BC64" i="34"/>
  <c r="BJ80" i="34"/>
  <c r="BJ64" i="34"/>
  <c r="AM80" i="34"/>
  <c r="AM64" i="34"/>
  <c r="BL80" i="34"/>
  <c r="BL64" i="34"/>
  <c r="AQ80" i="34"/>
  <c r="AQ64" i="34"/>
  <c r="BF80" i="34"/>
  <c r="BF64" i="34"/>
  <c r="AJ80" i="34"/>
  <c r="AJ64" i="34"/>
  <c r="BA80" i="34"/>
  <c r="BA64" i="34"/>
  <c r="AK80" i="34"/>
  <c r="AK64" i="34"/>
  <c r="BF79" i="34"/>
  <c r="BF63" i="34"/>
  <c r="BO79" i="34"/>
  <c r="BO63" i="34"/>
  <c r="AZ79" i="34"/>
  <c r="AZ63" i="34"/>
  <c r="BC79" i="34"/>
  <c r="BC63" i="34"/>
  <c r="BL79" i="34"/>
  <c r="BL63" i="34"/>
  <c r="AQ79" i="34"/>
  <c r="AQ63" i="34"/>
  <c r="BE79" i="34"/>
  <c r="BE63" i="34"/>
  <c r="AO79" i="34"/>
  <c r="AO63" i="34"/>
  <c r="BE83" i="34"/>
  <c r="BE67" i="34"/>
  <c r="BM83" i="34"/>
  <c r="BM67" i="34"/>
  <c r="BN83" i="34"/>
  <c r="BN67" i="34"/>
  <c r="AJ83" i="34"/>
  <c r="AJ67" i="34"/>
  <c r="AM83" i="34"/>
  <c r="AM67" i="34"/>
  <c r="BB81" i="34"/>
  <c r="BB65" i="34"/>
  <c r="AZ81" i="34"/>
  <c r="AZ65" i="34"/>
  <c r="AT81" i="34"/>
  <c r="AT65" i="34"/>
  <c r="AO81" i="34"/>
  <c r="AO65" i="34"/>
  <c r="BH80" i="34"/>
  <c r="BH64" i="34"/>
  <c r="BB80" i="34"/>
  <c r="BB64" i="34"/>
  <c r="AU80" i="34"/>
  <c r="AU64" i="34"/>
  <c r="AS80" i="34"/>
  <c r="AS64" i="34"/>
  <c r="AU79" i="34"/>
  <c r="AU63" i="34"/>
  <c r="BN79" i="34"/>
  <c r="BN63" i="34"/>
  <c r="AR79" i="34"/>
  <c r="AR63" i="34"/>
  <c r="BM79" i="34"/>
  <c r="BM63" i="34"/>
  <c r="AW83" i="34"/>
  <c r="AW67" i="34"/>
  <c r="BA83" i="34"/>
  <c r="BA67" i="34"/>
  <c r="BF83" i="34"/>
  <c r="BF67" i="34"/>
  <c r="AV83" i="34"/>
  <c r="AV67" i="34"/>
  <c r="BO83" i="34"/>
  <c r="BO67" i="34"/>
  <c r="BG81" i="34"/>
  <c r="BG65" i="34"/>
  <c r="AQ81" i="34"/>
  <c r="AQ65" i="34"/>
  <c r="BJ81" i="34"/>
  <c r="BJ65" i="34"/>
  <c r="BA81" i="34"/>
  <c r="BA65" i="34"/>
  <c r="AR80" i="34"/>
  <c r="AR64" i="34"/>
  <c r="AT80" i="34"/>
  <c r="AT64" i="34"/>
  <c r="BK80" i="34"/>
  <c r="BK64" i="34"/>
  <c r="BE80" i="34"/>
  <c r="BE64" i="34"/>
  <c r="BP79" i="34"/>
  <c r="BP63" i="34"/>
  <c r="BK79" i="34"/>
  <c r="BK63" i="34"/>
  <c r="AM63" i="34"/>
  <c r="AM79" i="34"/>
  <c r="AS79" i="34"/>
  <c r="AS63" i="34"/>
  <c r="AT83" i="34"/>
  <c r="AT67" i="34"/>
  <c r="AL83" i="34"/>
  <c r="AL67" i="34"/>
  <c r="AK83" i="34"/>
  <c r="AK67" i="34"/>
  <c r="AP83" i="34"/>
  <c r="AP67" i="34"/>
  <c r="BD83" i="34"/>
  <c r="BD67" i="34"/>
  <c r="AN83" i="34"/>
  <c r="AN67" i="34"/>
  <c r="BG67" i="34"/>
  <c r="BG83" i="34"/>
  <c r="AQ67" i="34"/>
  <c r="AQ83" i="34"/>
  <c r="BN81" i="34"/>
  <c r="BN65" i="34"/>
  <c r="BL81" i="34"/>
  <c r="BL65" i="34"/>
  <c r="AX81" i="34"/>
  <c r="AX65" i="34"/>
  <c r="BF81" i="34"/>
  <c r="BF65" i="34"/>
  <c r="AJ81" i="34"/>
  <c r="AJ65" i="34"/>
  <c r="AY81" i="34"/>
  <c r="AY65" i="34"/>
  <c r="BI81" i="34"/>
  <c r="BG37" i="45" s="1"/>
  <c r="BI65" i="34"/>
  <c r="AS81" i="34"/>
  <c r="AS65" i="34"/>
  <c r="AY80" i="34"/>
  <c r="AY64" i="34"/>
  <c r="AN80" i="34"/>
  <c r="AN64" i="34"/>
  <c r="BO80" i="34"/>
  <c r="BO64" i="34"/>
  <c r="BG80" i="34"/>
  <c r="BG64" i="34"/>
  <c r="AL80" i="34"/>
  <c r="AL64" i="34"/>
  <c r="AZ80" i="34"/>
  <c r="AZ64" i="34"/>
  <c r="BM80" i="34"/>
  <c r="BM64" i="34"/>
  <c r="AW80" i="34"/>
  <c r="AW64" i="34"/>
  <c r="BJ79" i="34"/>
  <c r="BJ63" i="34"/>
  <c r="AY79" i="34"/>
  <c r="AY63" i="34"/>
  <c r="BD79" i="34"/>
  <c r="BD63" i="34"/>
  <c r="AP79" i="34"/>
  <c r="AN37" i="45" s="1"/>
  <c r="AP63" i="34"/>
  <c r="AX79" i="34"/>
  <c r="AX63" i="34"/>
  <c r="BG63" i="34"/>
  <c r="BG79" i="34"/>
  <c r="AL79" i="34"/>
  <c r="AL63" i="34"/>
  <c r="BA79" i="34"/>
  <c r="BA63" i="34"/>
  <c r="AK79" i="34"/>
  <c r="AK63" i="34"/>
  <c r="AF37" i="45"/>
  <c r="AD30" i="45"/>
  <c r="AE30" i="45"/>
  <c r="AS37" i="45"/>
  <c r="AC37" i="45"/>
  <c r="AC30" i="45"/>
  <c r="AT37" i="45" l="1"/>
  <c r="AM37" i="45"/>
  <c r="BN37" i="45"/>
  <c r="BF37" i="45"/>
  <c r="AU37" i="45"/>
  <c r="AX37" i="45"/>
  <c r="AQ37" i="45"/>
  <c r="AT30" i="45"/>
  <c r="BL37" i="45"/>
  <c r="AN30" i="45"/>
  <c r="AK37" i="45"/>
  <c r="AP30" i="45"/>
  <c r="BB37" i="45"/>
  <c r="BH37" i="45"/>
  <c r="BK37" i="45"/>
  <c r="BM37" i="45"/>
  <c r="AP37" i="45"/>
  <c r="AV30" i="45"/>
  <c r="BH30" i="45"/>
  <c r="BM30" i="45"/>
  <c r="BN30" i="45"/>
  <c r="AS30" i="45"/>
  <c r="AV37" i="45"/>
  <c r="BB30" i="45"/>
  <c r="BE30" i="45"/>
  <c r="AJ37" i="45"/>
  <c r="AU30" i="45"/>
  <c r="AQ30" i="45"/>
  <c r="BC30" i="45"/>
  <c r="BJ30" i="45"/>
  <c r="BF30" i="45"/>
  <c r="BE37" i="45"/>
  <c r="BC37" i="45"/>
  <c r="BJ37" i="45"/>
  <c r="BD37" i="45"/>
  <c r="BK30" i="45"/>
  <c r="BL30" i="45"/>
  <c r="AX30" i="45"/>
  <c r="BG30" i="45"/>
  <c r="AM30" i="45"/>
  <c r="AK30" i="45"/>
  <c r="BD30" i="45"/>
  <c r="AJ30" i="45"/>
  <c r="AE37" i="45"/>
  <c r="AD37" i="45"/>
  <c r="AA30" i="45"/>
  <c r="AA37" i="45"/>
  <c r="AF30" i="45"/>
  <c r="Z37" i="45"/>
  <c r="AG37" i="45"/>
  <c r="AW37" i="45"/>
  <c r="AY37" i="45"/>
  <c r="BA37" i="45"/>
  <c r="BI37" i="45"/>
  <c r="AH37" i="45"/>
  <c r="AL37" i="45"/>
  <c r="Z30" i="45"/>
  <c r="AG30" i="45"/>
  <c r="AW30" i="45"/>
  <c r="AY30" i="45"/>
  <c r="BA30" i="45"/>
  <c r="BI30" i="45"/>
  <c r="AH30" i="45"/>
  <c r="AL30" i="45"/>
  <c r="AO37" i="45"/>
  <c r="AB37" i="45"/>
  <c r="AI30" i="45"/>
  <c r="AZ30" i="45"/>
  <c r="AR37" i="45"/>
  <c r="AO30" i="45"/>
  <c r="AB30" i="45"/>
  <c r="AI37" i="45"/>
  <c r="AZ37" i="45"/>
  <c r="AR30" i="45"/>
  <c r="AO71" i="34" l="1"/>
  <c r="AO55" i="34"/>
  <c r="BP71" i="34"/>
  <c r="BP55" i="34"/>
  <c r="AS75" i="34"/>
  <c r="AS59" i="34"/>
  <c r="BI75" i="34"/>
  <c r="BI59" i="34"/>
  <c r="BF82" i="34"/>
  <c r="BD38" i="45" s="1"/>
  <c r="BF66" i="34"/>
  <c r="BD31" i="45" s="1"/>
  <c r="BP82" i="34"/>
  <c r="BN38" i="45" s="1"/>
  <c r="BP66" i="34"/>
  <c r="AS82" i="34"/>
  <c r="AS66" i="34"/>
  <c r="AQ31" i="45" s="1"/>
  <c r="AP70" i="34"/>
  <c r="AP54" i="34"/>
  <c r="BO72" i="34"/>
  <c r="BO56" i="34"/>
  <c r="AS72" i="34"/>
  <c r="AS56" i="34"/>
  <c r="BP72" i="34"/>
  <c r="BP56" i="34"/>
  <c r="BO76" i="34"/>
  <c r="BO60" i="34"/>
  <c r="AV76" i="34"/>
  <c r="AV60" i="34"/>
  <c r="AO76" i="34"/>
  <c r="AO60" i="34"/>
  <c r="BB84" i="34"/>
  <c r="BB68" i="34"/>
  <c r="AZ32" i="45" s="1"/>
  <c r="BK84" i="34"/>
  <c r="BK68" i="34"/>
  <c r="BB78" i="34"/>
  <c r="BB62" i="34"/>
  <c r="BC78" i="34"/>
  <c r="BC62" i="34"/>
  <c r="AS73" i="34"/>
  <c r="AS57" i="34"/>
  <c r="AU57" i="34"/>
  <c r="AU73" i="34"/>
  <c r="AZ73" i="34"/>
  <c r="AZ57" i="34"/>
  <c r="AR77" i="34"/>
  <c r="AR61" i="34"/>
  <c r="BE77" i="34"/>
  <c r="BE61" i="34"/>
  <c r="BK74" i="34"/>
  <c r="BK58" i="34"/>
  <c r="BF74" i="34"/>
  <c r="BF58" i="34"/>
  <c r="BH74" i="34"/>
  <c r="BH58" i="34"/>
  <c r="AR85" i="34"/>
  <c r="AR69" i="34"/>
  <c r="AP33" i="45" s="1"/>
  <c r="AK85" i="34"/>
  <c r="AI40" i="45" s="1"/>
  <c r="AK69" i="34"/>
  <c r="AZ85" i="34"/>
  <c r="AZ69" i="34"/>
  <c r="AX33" i="45" s="1"/>
  <c r="BE71" i="34"/>
  <c r="BE55" i="34"/>
  <c r="BO71" i="34"/>
  <c r="BO55" i="34"/>
  <c r="BD75" i="34"/>
  <c r="BD59" i="34"/>
  <c r="BN75" i="34"/>
  <c r="BN59" i="34"/>
  <c r="AL75" i="34"/>
  <c r="AL59" i="34"/>
  <c r="BJ82" i="34"/>
  <c r="BH38" i="45" s="1"/>
  <c r="BJ66" i="34"/>
  <c r="BH31" i="45" s="1"/>
  <c r="AM82" i="34"/>
  <c r="AM66" i="34"/>
  <c r="AL70" i="34"/>
  <c r="AL54" i="34"/>
  <c r="BF70" i="34"/>
  <c r="BF54" i="34"/>
  <c r="BK54" i="34"/>
  <c r="BK70" i="34"/>
  <c r="BN70" i="34"/>
  <c r="BN54" i="34"/>
  <c r="AS70" i="34"/>
  <c r="AS54" i="34"/>
  <c r="BH70" i="34"/>
  <c r="BH54" i="34"/>
  <c r="AR70" i="34"/>
  <c r="AR54" i="34"/>
  <c r="AM72" i="34"/>
  <c r="AM56" i="34"/>
  <c r="BI72" i="34"/>
  <c r="BI56" i="34"/>
  <c r="BN72" i="34"/>
  <c r="BN56" i="34"/>
  <c r="AL72" i="34"/>
  <c r="AL56" i="34"/>
  <c r="AQ72" i="34"/>
  <c r="AQ56" i="34"/>
  <c r="AU72" i="34"/>
  <c r="AU56" i="34"/>
  <c r="BL72" i="34"/>
  <c r="BL56" i="34"/>
  <c r="AV72" i="34"/>
  <c r="AV56" i="34"/>
  <c r="BH76" i="34"/>
  <c r="BH60" i="34"/>
  <c r="BD76" i="34"/>
  <c r="BD60" i="34"/>
  <c r="AR76" i="34"/>
  <c r="AR60" i="34"/>
  <c r="BL76" i="34"/>
  <c r="BL60" i="34"/>
  <c r="AQ76" i="34"/>
  <c r="AQ60" i="34"/>
  <c r="BF76" i="34"/>
  <c r="BF60" i="34"/>
  <c r="AJ76" i="34"/>
  <c r="AJ60" i="34"/>
  <c r="BA76" i="34"/>
  <c r="BA60" i="34"/>
  <c r="AK76" i="34"/>
  <c r="AK60" i="34"/>
  <c r="AX84" i="34"/>
  <c r="AX68" i="34"/>
  <c r="AV32" i="45" s="1"/>
  <c r="BF84" i="34"/>
  <c r="BF68" i="34"/>
  <c r="AW84" i="34"/>
  <c r="AW68" i="34"/>
  <c r="AU32" i="45" s="1"/>
  <c r="AT84" i="34"/>
  <c r="AT68" i="34"/>
  <c r="BD84" i="34"/>
  <c r="BD68" i="34"/>
  <c r="BB32" i="45" s="1"/>
  <c r="AN84" i="34"/>
  <c r="AN68" i="34"/>
  <c r="BG84" i="34"/>
  <c r="BG68" i="34"/>
  <c r="BE32" i="45" s="1"/>
  <c r="AQ84" i="34"/>
  <c r="AQ68" i="34"/>
  <c r="BL78" i="34"/>
  <c r="BL62" i="34"/>
  <c r="AQ78" i="34"/>
  <c r="AQ62" i="34"/>
  <c r="BG78" i="34"/>
  <c r="BG62" i="34"/>
  <c r="BJ78" i="34"/>
  <c r="BJ62" i="34"/>
  <c r="AN78" i="34"/>
  <c r="AN62" i="34"/>
  <c r="AX78" i="34"/>
  <c r="AX62" i="34"/>
  <c r="BI78" i="34"/>
  <c r="BI62" i="34"/>
  <c r="AS78" i="34"/>
  <c r="AS62" i="34"/>
  <c r="AK73" i="34"/>
  <c r="AK57" i="34"/>
  <c r="BF73" i="34"/>
  <c r="BF57" i="34"/>
  <c r="AL73" i="34"/>
  <c r="AL57" i="34"/>
  <c r="AP73" i="34"/>
  <c r="AP57" i="34"/>
  <c r="AM73" i="34"/>
  <c r="AM57" i="34"/>
  <c r="AY73" i="34"/>
  <c r="AY57" i="34"/>
  <c r="BL73" i="34"/>
  <c r="BL57" i="34"/>
  <c r="AV73" i="34"/>
  <c r="AV57" i="34"/>
  <c r="BB77" i="34"/>
  <c r="BB61" i="34"/>
  <c r="AX77" i="34"/>
  <c r="AX61" i="34"/>
  <c r="AL77" i="34"/>
  <c r="AL61" i="34"/>
  <c r="BP77" i="34"/>
  <c r="BP61" i="34"/>
  <c r="AU61" i="34"/>
  <c r="AU77" i="34"/>
  <c r="BJ77" i="34"/>
  <c r="BJ61" i="34"/>
  <c r="AN77" i="34"/>
  <c r="AN61" i="34"/>
  <c r="BA77" i="34"/>
  <c r="BA61" i="34"/>
  <c r="AK77" i="34"/>
  <c r="AK61" i="34"/>
  <c r="AP74" i="34"/>
  <c r="AP58" i="34"/>
  <c r="AW74" i="34"/>
  <c r="AW58" i="34"/>
  <c r="AT74" i="34"/>
  <c r="AT58" i="34"/>
  <c r="AY74" i="34"/>
  <c r="AY58" i="34"/>
  <c r="BI74" i="34"/>
  <c r="BI58" i="34"/>
  <c r="AM74" i="34"/>
  <c r="AM58" i="34"/>
  <c r="BD74" i="34"/>
  <c r="BD58" i="34"/>
  <c r="AN74" i="34"/>
  <c r="AN58" i="34"/>
  <c r="AN85" i="34"/>
  <c r="AN69" i="34"/>
  <c r="AL85" i="34"/>
  <c r="AL69" i="34"/>
  <c r="BM85" i="34"/>
  <c r="BM69" i="34"/>
  <c r="BA85" i="34"/>
  <c r="AY40" i="45" s="1"/>
  <c r="BA69" i="34"/>
  <c r="AY33" i="45" s="1"/>
  <c r="BP85" i="34"/>
  <c r="BP69" i="34"/>
  <c r="AT85" i="34"/>
  <c r="AR40" i="45" s="1"/>
  <c r="AT69" i="34"/>
  <c r="AR33" i="45" s="1"/>
  <c r="BK85" i="34"/>
  <c r="BK69" i="34"/>
  <c r="AU85" i="34"/>
  <c r="AS40" i="45" s="1"/>
  <c r="AU69" i="34"/>
  <c r="AS33" i="45" s="1"/>
  <c r="AK71" i="34"/>
  <c r="AK55" i="34"/>
  <c r="AT71" i="34"/>
  <c r="AT55" i="34"/>
  <c r="AZ71" i="34"/>
  <c r="AZ55" i="34"/>
  <c r="AY75" i="34"/>
  <c r="AY59" i="34"/>
  <c r="BB75" i="34"/>
  <c r="BB59" i="34"/>
  <c r="AN75" i="34"/>
  <c r="AN59" i="34"/>
  <c r="AJ82" i="34"/>
  <c r="AJ66" i="34"/>
  <c r="BK82" i="34"/>
  <c r="BI38" i="45" s="1"/>
  <c r="BK66" i="34"/>
  <c r="BI31" i="45" s="1"/>
  <c r="AT70" i="34"/>
  <c r="AT54" i="34"/>
  <c r="BM70" i="34"/>
  <c r="BM54" i="34"/>
  <c r="AX70" i="34"/>
  <c r="AX54" i="34"/>
  <c r="AV70" i="34"/>
  <c r="AV54" i="34"/>
  <c r="AW72" i="34"/>
  <c r="AW56" i="34"/>
  <c r="AX72" i="34"/>
  <c r="AX56" i="34"/>
  <c r="AZ72" i="34"/>
  <c r="AZ56" i="34"/>
  <c r="BC76" i="34"/>
  <c r="BC60" i="34"/>
  <c r="BK76" i="34"/>
  <c r="BK60" i="34"/>
  <c r="BE76" i="34"/>
  <c r="BE60" i="34"/>
  <c r="AK84" i="34"/>
  <c r="AI39" i="45" s="1"/>
  <c r="AK68" i="34"/>
  <c r="BH84" i="34"/>
  <c r="BF39" i="45" s="1"/>
  <c r="BH68" i="34"/>
  <c r="AJ78" i="34"/>
  <c r="AJ62" i="34"/>
  <c r="BO78" i="34"/>
  <c r="BO62" i="34"/>
  <c r="BM78" i="34"/>
  <c r="BM62" i="34"/>
  <c r="BM73" i="34"/>
  <c r="BM57" i="34"/>
  <c r="AW73" i="34"/>
  <c r="AW57" i="34"/>
  <c r="BP73" i="34"/>
  <c r="BP57" i="34"/>
  <c r="BH77" i="34"/>
  <c r="BH61" i="34"/>
  <c r="AV77" i="34"/>
  <c r="AV61" i="34"/>
  <c r="BO77" i="34"/>
  <c r="BO61" i="34"/>
  <c r="AO77" i="34"/>
  <c r="AO61" i="34"/>
  <c r="BA74" i="34"/>
  <c r="BA58" i="34"/>
  <c r="AS74" i="34"/>
  <c r="AS58" i="34"/>
  <c r="AX85" i="34"/>
  <c r="AX69" i="34"/>
  <c r="BF85" i="34"/>
  <c r="BD40" i="45" s="1"/>
  <c r="BF69" i="34"/>
  <c r="BD33" i="45" s="1"/>
  <c r="BO85" i="34"/>
  <c r="BO69" i="34"/>
  <c r="BK71" i="34"/>
  <c r="BK55" i="34"/>
  <c r="AM71" i="34"/>
  <c r="AM55" i="34"/>
  <c r="BL71" i="34"/>
  <c r="BL55" i="34"/>
  <c r="AZ75" i="34"/>
  <c r="AZ59" i="34"/>
  <c r="AP75" i="34"/>
  <c r="AP59" i="34"/>
  <c r="BE75" i="34"/>
  <c r="BE59" i="34"/>
  <c r="AV82" i="34"/>
  <c r="AT38" i="45" s="1"/>
  <c r="AV66" i="34"/>
  <c r="AT31" i="45" s="1"/>
  <c r="BL82" i="34"/>
  <c r="BL66" i="34"/>
  <c r="BG82" i="34"/>
  <c r="BE38" i="45" s="1"/>
  <c r="BG66" i="34"/>
  <c r="BE31" i="45" s="1"/>
  <c r="AO82" i="34"/>
  <c r="AO66" i="34"/>
  <c r="BN71" i="34"/>
  <c r="BN55" i="34"/>
  <c r="AX71" i="34"/>
  <c r="AX55" i="34"/>
  <c r="BC71" i="34"/>
  <c r="BC55" i="34"/>
  <c r="BI71" i="34"/>
  <c r="BI55" i="34"/>
  <c r="BM71" i="34"/>
  <c r="BM55" i="34"/>
  <c r="AQ71" i="34"/>
  <c r="AQ55" i="34"/>
  <c r="BH71" i="34"/>
  <c r="BH55" i="34"/>
  <c r="AR71" i="34"/>
  <c r="AR55" i="34"/>
  <c r="BK75" i="34"/>
  <c r="BK59" i="34"/>
  <c r="AM59" i="34"/>
  <c r="AM75" i="34"/>
  <c r="BP75" i="34"/>
  <c r="BP59" i="34"/>
  <c r="BH75" i="34"/>
  <c r="BH59" i="34"/>
  <c r="BL75" i="34"/>
  <c r="BL59" i="34"/>
  <c r="AO75" i="34"/>
  <c r="AO59" i="34"/>
  <c r="BA75" i="34"/>
  <c r="BA59" i="34"/>
  <c r="AV75" i="34"/>
  <c r="AV59" i="34"/>
  <c r="BI82" i="34"/>
  <c r="BG38" i="45" s="1"/>
  <c r="BI66" i="34"/>
  <c r="BG31" i="45" s="1"/>
  <c r="AZ82" i="34"/>
  <c r="AZ66" i="34"/>
  <c r="BE82" i="34"/>
  <c r="BE66" i="34"/>
  <c r="BC31" i="45" s="1"/>
  <c r="BB82" i="34"/>
  <c r="BB66" i="34"/>
  <c r="BH82" i="34"/>
  <c r="BF38" i="45" s="1"/>
  <c r="BH66" i="34"/>
  <c r="BF31" i="45" s="1"/>
  <c r="AN82" i="34"/>
  <c r="AN66" i="34"/>
  <c r="BC82" i="34"/>
  <c r="BA38" i="45" s="1"/>
  <c r="BC66" i="34"/>
  <c r="BA31" i="45" s="1"/>
  <c r="BA82" i="34"/>
  <c r="BA66" i="34"/>
  <c r="AK82" i="34"/>
  <c r="AI38" i="45" s="1"/>
  <c r="AK66" i="34"/>
  <c r="AI31" i="45" s="1"/>
  <c r="AO70" i="34"/>
  <c r="AO54" i="34"/>
  <c r="BJ70" i="34"/>
  <c r="BJ54" i="34"/>
  <c r="AY54" i="34"/>
  <c r="AY70" i="34"/>
  <c r="BE70" i="34"/>
  <c r="BE54" i="34"/>
  <c r="BI70" i="34"/>
  <c r="BI54" i="34"/>
  <c r="AM70" i="34"/>
  <c r="AM54" i="34"/>
  <c r="BD70" i="34"/>
  <c r="BD54" i="34"/>
  <c r="AN70" i="34"/>
  <c r="AN54" i="34"/>
  <c r="BB72" i="34"/>
  <c r="BB56" i="34"/>
  <c r="AT72" i="34"/>
  <c r="AT56" i="34"/>
  <c r="BG56" i="34"/>
  <c r="BG72" i="34"/>
  <c r="BM72" i="34"/>
  <c r="BM56" i="34"/>
  <c r="BK72" i="34"/>
  <c r="BK56" i="34"/>
  <c r="AP72" i="34"/>
  <c r="AP56" i="34"/>
  <c r="BH72" i="34"/>
  <c r="BH56" i="34"/>
  <c r="AR72" i="34"/>
  <c r="AR56" i="34"/>
  <c r="AM76" i="34"/>
  <c r="AM60" i="34"/>
  <c r="AT76" i="34"/>
  <c r="AT60" i="34"/>
  <c r="BJ76" i="34"/>
  <c r="BJ60" i="34"/>
  <c r="BG60" i="34"/>
  <c r="BG76" i="34"/>
  <c r="AL76" i="34"/>
  <c r="AL60" i="34"/>
  <c r="AZ76" i="34"/>
  <c r="AZ60" i="34"/>
  <c r="BM76" i="34"/>
  <c r="BM60" i="34"/>
  <c r="AW76" i="34"/>
  <c r="AW60" i="34"/>
  <c r="BI84" i="34"/>
  <c r="BI68" i="34"/>
  <c r="BP84" i="34"/>
  <c r="BN39" i="45" s="1"/>
  <c r="BP68" i="34"/>
  <c r="BN32" i="45" s="1"/>
  <c r="AP84" i="34"/>
  <c r="AP68" i="34"/>
  <c r="AO84" i="34"/>
  <c r="AO68" i="34"/>
  <c r="AM32" i="45" s="1"/>
  <c r="AL84" i="34"/>
  <c r="AL68" i="34"/>
  <c r="AZ84" i="34"/>
  <c r="AX39" i="45" s="1"/>
  <c r="AZ68" i="34"/>
  <c r="AX32" i="45" s="1"/>
  <c r="AJ84" i="34"/>
  <c r="AJ68" i="34"/>
  <c r="BC84" i="34"/>
  <c r="BA39" i="45" s="1"/>
  <c r="BC68" i="34"/>
  <c r="BA32" i="45" s="1"/>
  <c r="AM84" i="34"/>
  <c r="AM68" i="34"/>
  <c r="BP78" i="34"/>
  <c r="BP62" i="34"/>
  <c r="BK78" i="34"/>
  <c r="BK62" i="34"/>
  <c r="AV78" i="34"/>
  <c r="AV62" i="34"/>
  <c r="BD78" i="34"/>
  <c r="BD62" i="34"/>
  <c r="BN78" i="34"/>
  <c r="BN62" i="34"/>
  <c r="AR78" i="34"/>
  <c r="AR62" i="34"/>
  <c r="BE78" i="34"/>
  <c r="BE62" i="34"/>
  <c r="AO78" i="34"/>
  <c r="AO62" i="34"/>
  <c r="AX73" i="34"/>
  <c r="AX57" i="34"/>
  <c r="AQ73" i="34"/>
  <c r="AQ57" i="34"/>
  <c r="BK73" i="34"/>
  <c r="BK57" i="34"/>
  <c r="BI73" i="34"/>
  <c r="BI57" i="34"/>
  <c r="BO73" i="34"/>
  <c r="BO57" i="34"/>
  <c r="AT73" i="34"/>
  <c r="AT57" i="34"/>
  <c r="BH73" i="34"/>
  <c r="BH57" i="34"/>
  <c r="AR73" i="34"/>
  <c r="AR57" i="34"/>
  <c r="BL77" i="34"/>
  <c r="BL61" i="34"/>
  <c r="AM77" i="34"/>
  <c r="AM61" i="34"/>
  <c r="BN77" i="34"/>
  <c r="BN61" i="34"/>
  <c r="BK77" i="34"/>
  <c r="BK61" i="34"/>
  <c r="AP77" i="34"/>
  <c r="AP61" i="34"/>
  <c r="BD77" i="34"/>
  <c r="BD61" i="34"/>
  <c r="BM77" i="34"/>
  <c r="BM61" i="34"/>
  <c r="AW77" i="34"/>
  <c r="AW61" i="34"/>
  <c r="BJ74" i="34"/>
  <c r="BJ58" i="34"/>
  <c r="BB74" i="34"/>
  <c r="BB58" i="34"/>
  <c r="BO74" i="34"/>
  <c r="BO58" i="34"/>
  <c r="AL74" i="34"/>
  <c r="AL58" i="34"/>
  <c r="AQ74" i="34"/>
  <c r="AQ58" i="34"/>
  <c r="BC74" i="34"/>
  <c r="BC58" i="34"/>
  <c r="BP74" i="34"/>
  <c r="BP58" i="34"/>
  <c r="AZ74" i="34"/>
  <c r="AZ58" i="34"/>
  <c r="AJ74" i="34"/>
  <c r="AJ58" i="34"/>
  <c r="BH85" i="34"/>
  <c r="BH69" i="34"/>
  <c r="BN85" i="34"/>
  <c r="BN69" i="34"/>
  <c r="BL33" i="45" s="1"/>
  <c r="AW85" i="34"/>
  <c r="AW69" i="34"/>
  <c r="AV85" i="34"/>
  <c r="AV69" i="34"/>
  <c r="BJ85" i="34"/>
  <c r="BJ69" i="34"/>
  <c r="AO85" i="34"/>
  <c r="AO69" i="34"/>
  <c r="BG85" i="34"/>
  <c r="BG69" i="34"/>
  <c r="AQ85" i="34"/>
  <c r="AQ69" i="34"/>
  <c r="AP71" i="34"/>
  <c r="AP55" i="34"/>
  <c r="AS71" i="34"/>
  <c r="AS55" i="34"/>
  <c r="BB71" i="34"/>
  <c r="BB55" i="34"/>
  <c r="AJ71" i="34"/>
  <c r="AJ55" i="34"/>
  <c r="AT75" i="34"/>
  <c r="AT59" i="34"/>
  <c r="AX75" i="34"/>
  <c r="AX59" i="34"/>
  <c r="AQ75" i="34"/>
  <c r="AQ59" i="34"/>
  <c r="AL82" i="34"/>
  <c r="AJ38" i="45" s="1"/>
  <c r="AL66" i="34"/>
  <c r="AY82" i="34"/>
  <c r="AY66" i="34"/>
  <c r="AR82" i="34"/>
  <c r="AR66" i="34"/>
  <c r="AP31" i="45" s="1"/>
  <c r="BA70" i="34"/>
  <c r="BA54" i="34"/>
  <c r="AK70" i="34"/>
  <c r="AK54" i="34"/>
  <c r="BL70" i="34"/>
  <c r="BL54" i="34"/>
  <c r="AO72" i="34"/>
  <c r="AO56" i="34"/>
  <c r="BA72" i="34"/>
  <c r="BA56" i="34"/>
  <c r="AJ72" i="34"/>
  <c r="AJ56" i="34"/>
  <c r="AN76" i="34"/>
  <c r="AN60" i="34"/>
  <c r="AP76" i="34"/>
  <c r="AP60" i="34"/>
  <c r="BN84" i="34"/>
  <c r="BN68" i="34"/>
  <c r="BE84" i="34"/>
  <c r="BC39" i="45" s="1"/>
  <c r="BE68" i="34"/>
  <c r="BC32" i="45" s="1"/>
  <c r="AR84" i="34"/>
  <c r="AR68" i="34"/>
  <c r="AU84" i="34"/>
  <c r="AS39" i="45" s="1"/>
  <c r="AU68" i="34"/>
  <c r="AP78" i="34"/>
  <c r="AP62" i="34"/>
  <c r="AT78" i="34"/>
  <c r="AT62" i="34"/>
  <c r="AW78" i="34"/>
  <c r="AW62" i="34"/>
  <c r="BA73" i="34"/>
  <c r="BA57" i="34"/>
  <c r="BE73" i="34"/>
  <c r="BE57" i="34"/>
  <c r="AJ73" i="34"/>
  <c r="AJ57" i="34"/>
  <c r="AZ77" i="34"/>
  <c r="AZ61" i="34"/>
  <c r="AT77" i="34"/>
  <c r="AT61" i="34"/>
  <c r="BE74" i="34"/>
  <c r="BE58" i="34"/>
  <c r="BN74" i="34"/>
  <c r="BN58" i="34"/>
  <c r="AR74" i="34"/>
  <c r="AR58" i="34"/>
  <c r="AS85" i="34"/>
  <c r="AQ40" i="45" s="1"/>
  <c r="AS69" i="34"/>
  <c r="AQ33" i="45" s="1"/>
  <c r="AY85" i="34"/>
  <c r="AY69" i="34"/>
  <c r="BJ71" i="34"/>
  <c r="BJ55" i="34"/>
  <c r="AW71" i="34"/>
  <c r="AW55" i="34"/>
  <c r="AV71" i="34"/>
  <c r="AV55" i="34"/>
  <c r="AK75" i="34"/>
  <c r="AK59" i="34"/>
  <c r="AU75" i="34"/>
  <c r="AU59" i="34"/>
  <c r="AJ75" i="34"/>
  <c r="AJ59" i="34"/>
  <c r="BM82" i="34"/>
  <c r="BM66" i="34"/>
  <c r="AT82" i="34"/>
  <c r="AT66" i="34"/>
  <c r="BB70" i="34"/>
  <c r="BB54" i="34"/>
  <c r="AY71" i="34"/>
  <c r="AY55" i="34"/>
  <c r="BF71" i="34"/>
  <c r="BF55" i="34"/>
  <c r="AU71" i="34"/>
  <c r="AU55" i="34"/>
  <c r="BA71" i="34"/>
  <c r="BA55" i="34"/>
  <c r="BG71" i="34"/>
  <c r="BG55" i="34"/>
  <c r="AL71" i="34"/>
  <c r="AL55" i="34"/>
  <c r="BD71" i="34"/>
  <c r="BD55" i="34"/>
  <c r="AN71" i="34"/>
  <c r="AN55" i="34"/>
  <c r="BO75" i="34"/>
  <c r="BO59" i="34"/>
  <c r="BJ75" i="34"/>
  <c r="BJ59" i="34"/>
  <c r="BF75" i="34"/>
  <c r="BF59" i="34"/>
  <c r="BC59" i="34"/>
  <c r="BC75" i="34"/>
  <c r="BG75" i="34"/>
  <c r="BG59" i="34"/>
  <c r="BM75" i="34"/>
  <c r="BM59" i="34"/>
  <c r="AW75" i="34"/>
  <c r="AW59" i="34"/>
  <c r="AR75" i="34"/>
  <c r="AR59" i="34"/>
  <c r="AP82" i="34"/>
  <c r="AP66" i="34"/>
  <c r="BN82" i="34"/>
  <c r="BN66" i="34"/>
  <c r="BL31" i="45" s="1"/>
  <c r="AU82" i="34"/>
  <c r="AU66" i="34"/>
  <c r="AQ82" i="34"/>
  <c r="AO38" i="45" s="1"/>
  <c r="AQ66" i="34"/>
  <c r="BD82" i="34"/>
  <c r="BD66" i="34"/>
  <c r="BO82" i="34"/>
  <c r="BO66" i="34"/>
  <c r="BM31" i="45" s="1"/>
  <c r="AX82" i="34"/>
  <c r="AX66" i="34"/>
  <c r="AW82" i="34"/>
  <c r="AW66" i="34"/>
  <c r="AU31" i="45" s="1"/>
  <c r="BG70" i="34"/>
  <c r="BG54" i="34"/>
  <c r="BO54" i="34"/>
  <c r="BO70" i="34"/>
  <c r="AU54" i="34"/>
  <c r="AU70" i="34"/>
  <c r="AQ70" i="34"/>
  <c r="AQ54" i="34"/>
  <c r="AW70" i="34"/>
  <c r="AW54" i="34"/>
  <c r="BC70" i="34"/>
  <c r="BC54" i="34"/>
  <c r="BP70" i="34"/>
  <c r="BP54" i="34"/>
  <c r="AZ70" i="34"/>
  <c r="AZ54" i="34"/>
  <c r="AJ70" i="34"/>
  <c r="BJ72" i="34"/>
  <c r="BJ56" i="34"/>
  <c r="BC72" i="34"/>
  <c r="BC56" i="34"/>
  <c r="AY72" i="34"/>
  <c r="AY56" i="34"/>
  <c r="BE72" i="34"/>
  <c r="BE56" i="34"/>
  <c r="BF72" i="34"/>
  <c r="BF56" i="34"/>
  <c r="AK72" i="34"/>
  <c r="AK56" i="34"/>
  <c r="BD72" i="34"/>
  <c r="BD56" i="34"/>
  <c r="AN72" i="34"/>
  <c r="AN56" i="34"/>
  <c r="AX76" i="34"/>
  <c r="AX60" i="34"/>
  <c r="BN76" i="34"/>
  <c r="BN60" i="34"/>
  <c r="AY76" i="34"/>
  <c r="AY60" i="34"/>
  <c r="BB76" i="34"/>
  <c r="BB60" i="34"/>
  <c r="BP76" i="34"/>
  <c r="BP60" i="34"/>
  <c r="AU76" i="34"/>
  <c r="AU60" i="34"/>
  <c r="BI76" i="34"/>
  <c r="BI60" i="34"/>
  <c r="AS76" i="34"/>
  <c r="AS60" i="34"/>
  <c r="AS84" i="34"/>
  <c r="AQ39" i="45" s="1"/>
  <c r="AS68" i="34"/>
  <c r="AQ32" i="45" s="1"/>
  <c r="BA84" i="34"/>
  <c r="AY39" i="45" s="1"/>
  <c r="BA68" i="34"/>
  <c r="BM84" i="34"/>
  <c r="BK39" i="45" s="1"/>
  <c r="BM68" i="34"/>
  <c r="BJ84" i="34"/>
  <c r="BJ68" i="34"/>
  <c r="BL84" i="34"/>
  <c r="BJ39" i="45" s="1"/>
  <c r="BL68" i="34"/>
  <c r="AV84" i="34"/>
  <c r="AV68" i="34"/>
  <c r="BO84" i="34"/>
  <c r="BM39" i="45" s="1"/>
  <c r="BO68" i="34"/>
  <c r="AY84" i="34"/>
  <c r="AY68" i="34"/>
  <c r="BF78" i="34"/>
  <c r="BF62" i="34"/>
  <c r="AU78" i="34"/>
  <c r="AU62" i="34"/>
  <c r="AZ78" i="34"/>
  <c r="AZ62" i="34"/>
  <c r="AL78" i="34"/>
  <c r="AL62" i="34"/>
  <c r="AY78" i="34"/>
  <c r="AY62" i="34"/>
  <c r="BH78" i="34"/>
  <c r="BH62" i="34"/>
  <c r="AM78" i="34"/>
  <c r="AM62" i="34"/>
  <c r="BA78" i="34"/>
  <c r="BA62" i="34"/>
  <c r="AK78" i="34"/>
  <c r="AK62" i="34"/>
  <c r="BG73" i="34"/>
  <c r="BG57" i="34"/>
  <c r="BN73" i="34"/>
  <c r="BN57" i="34"/>
  <c r="BC73" i="34"/>
  <c r="BC57" i="34"/>
  <c r="BB73" i="34"/>
  <c r="BB57" i="34"/>
  <c r="BJ73" i="34"/>
  <c r="BJ57" i="34"/>
  <c r="AO73" i="34"/>
  <c r="AO57" i="34"/>
  <c r="BD73" i="34"/>
  <c r="BD57" i="34"/>
  <c r="AN73" i="34"/>
  <c r="AN57" i="34"/>
  <c r="AQ77" i="34"/>
  <c r="AQ61" i="34"/>
  <c r="BG77" i="34"/>
  <c r="BG61" i="34"/>
  <c r="BC77" i="34"/>
  <c r="BC61" i="34"/>
  <c r="BF77" i="34"/>
  <c r="BF61" i="34"/>
  <c r="AJ77" i="34"/>
  <c r="AJ61" i="34"/>
  <c r="AY77" i="34"/>
  <c r="AY61" i="34"/>
  <c r="BI77" i="34"/>
  <c r="BI61" i="34"/>
  <c r="AS77" i="34"/>
  <c r="AS61" i="34"/>
  <c r="AU74" i="34"/>
  <c r="AU58" i="34"/>
  <c r="AO74" i="34"/>
  <c r="AO58" i="34"/>
  <c r="BG74" i="34"/>
  <c r="BG58" i="34"/>
  <c r="BM74" i="34"/>
  <c r="BM58" i="34"/>
  <c r="AK74" i="34"/>
  <c r="AK58" i="34"/>
  <c r="AX74" i="34"/>
  <c r="AX58" i="34"/>
  <c r="BL74" i="34"/>
  <c r="BL58" i="34"/>
  <c r="AV74" i="34"/>
  <c r="AV58" i="34"/>
  <c r="BI85" i="34"/>
  <c r="BI69" i="34"/>
  <c r="BB85" i="34"/>
  <c r="BB69" i="34"/>
  <c r="BD85" i="34"/>
  <c r="BD69" i="34"/>
  <c r="BL85" i="34"/>
  <c r="BL69" i="34"/>
  <c r="AP85" i="34"/>
  <c r="AP69" i="34"/>
  <c r="BE85" i="34"/>
  <c r="BE69" i="34"/>
  <c r="BC33" i="45" s="1"/>
  <c r="AJ85" i="34"/>
  <c r="AJ69" i="34"/>
  <c r="BC85" i="34"/>
  <c r="BC69" i="34"/>
  <c r="AM85" i="34"/>
  <c r="AM69" i="34"/>
  <c r="AQ38" i="45"/>
  <c r="AA31" i="45"/>
  <c r="AA38" i="45"/>
  <c r="AF39" i="45"/>
  <c r="AF32" i="45"/>
  <c r="AU39" i="45"/>
  <c r="AS32" i="45"/>
  <c r="AC39" i="45"/>
  <c r="AC32" i="45"/>
  <c r="AJ33" i="45"/>
  <c r="AJ40" i="45"/>
  <c r="AD33" i="45"/>
  <c r="AD40" i="45"/>
  <c r="AX40" i="45"/>
  <c r="AB40" i="45"/>
  <c r="AB33" i="45"/>
  <c r="AC38" i="45"/>
  <c r="AC31" i="45"/>
  <c r="AG38" i="45"/>
  <c r="AG31" i="45"/>
  <c r="AF31" i="45"/>
  <c r="AF38" i="45"/>
  <c r="AM39" i="45"/>
  <c r="AD32" i="45"/>
  <c r="AD39" i="45"/>
  <c r="BE39" i="45"/>
  <c r="Z33" i="45"/>
  <c r="Z40" i="45"/>
  <c r="AG40" i="45"/>
  <c r="AG33" i="45"/>
  <c r="AB31" i="45"/>
  <c r="AB38" i="45"/>
  <c r="Z31" i="45"/>
  <c r="Z38" i="45"/>
  <c r="AE39" i="45"/>
  <c r="AE32" i="45"/>
  <c r="AB32" i="45"/>
  <c r="AB39" i="45"/>
  <c r="BF32" i="45"/>
  <c r="Z32" i="45"/>
  <c r="Z39" i="45"/>
  <c r="AA40" i="45"/>
  <c r="AA33" i="45"/>
  <c r="AC40" i="45"/>
  <c r="AC33" i="45"/>
  <c r="BC38" i="45"/>
  <c r="AD38" i="45"/>
  <c r="AD31" i="45"/>
  <c r="AE38" i="45"/>
  <c r="AE31" i="45"/>
  <c r="AA32" i="45"/>
  <c r="AA39" i="45"/>
  <c r="AV39" i="45"/>
  <c r="AZ39" i="45"/>
  <c r="BB39" i="45"/>
  <c r="AG32" i="45"/>
  <c r="AG39" i="45"/>
  <c r="AE29" i="45"/>
  <c r="AF29" i="45"/>
  <c r="AF36" i="45"/>
  <c r="AP40" i="45"/>
  <c r="AF33" i="45"/>
  <c r="AF40" i="45"/>
  <c r="AE33" i="45"/>
  <c r="AE40" i="45"/>
  <c r="BF35" i="45" l="1"/>
  <c r="AU38" i="45"/>
  <c r="AM40" i="45"/>
  <c r="AZ40" i="45"/>
  <c r="BJ40" i="45"/>
  <c r="AT40" i="45"/>
  <c r="BA40" i="45"/>
  <c r="AO40" i="45"/>
  <c r="BK38" i="45"/>
  <c r="BC40" i="45"/>
  <c r="AP38" i="45"/>
  <c r="BL38" i="45"/>
  <c r="BM38" i="45"/>
  <c r="BL40" i="45"/>
  <c r="AO33" i="45"/>
  <c r="AM33" i="45"/>
  <c r="BK31" i="45"/>
  <c r="BK32" i="45"/>
  <c r="AO31" i="45"/>
  <c r="AT33" i="45"/>
  <c r="BJ32" i="45"/>
  <c r="AJ31" i="45"/>
  <c r="BN28" i="45"/>
  <c r="BA33" i="45"/>
  <c r="AH33" i="45"/>
  <c r="AT32" i="45"/>
  <c r="BB31" i="45"/>
  <c r="AL29" i="45"/>
  <c r="BH33" i="45"/>
  <c r="AK33" i="45"/>
  <c r="BG33" i="45"/>
  <c r="AY32" i="45"/>
  <c r="AH28" i="45"/>
  <c r="AN31" i="45"/>
  <c r="BM29" i="45"/>
  <c r="AW33" i="45"/>
  <c r="AU33" i="45"/>
  <c r="AK32" i="45"/>
  <c r="AN32" i="45"/>
  <c r="AY31" i="45"/>
  <c r="AZ31" i="45"/>
  <c r="BJ31" i="45"/>
  <c r="AV33" i="45"/>
  <c r="BI33" i="45"/>
  <c r="BK33" i="45"/>
  <c r="AL32" i="45"/>
  <c r="BD32" i="45"/>
  <c r="AK31" i="45"/>
  <c r="AI33" i="45"/>
  <c r="BI32" i="45"/>
  <c r="BN31" i="45"/>
  <c r="BM33" i="45"/>
  <c r="AK40" i="45"/>
  <c r="AH40" i="45"/>
  <c r="AN40" i="45"/>
  <c r="BB40" i="45"/>
  <c r="BG40" i="45"/>
  <c r="AJ36" i="45"/>
  <c r="AW39" i="45"/>
  <c r="AT39" i="45"/>
  <c r="BH39" i="45"/>
  <c r="AH35" i="45"/>
  <c r="BN35" i="45"/>
  <c r="AV38" i="45"/>
  <c r="BB38" i="45"/>
  <c r="AS38" i="45"/>
  <c r="AN38" i="45"/>
  <c r="AR38" i="45"/>
  <c r="AW40" i="45"/>
  <c r="AP39" i="45"/>
  <c r="BL39" i="45"/>
  <c r="AL36" i="45"/>
  <c r="BJ35" i="45"/>
  <c r="AW38" i="45"/>
  <c r="BE40" i="45"/>
  <c r="BH40" i="45"/>
  <c r="AU40" i="45"/>
  <c r="BF40" i="45"/>
  <c r="AK39" i="45"/>
  <c r="AH39" i="45"/>
  <c r="AJ39" i="45"/>
  <c r="AN39" i="45"/>
  <c r="BG39" i="45"/>
  <c r="AY38" i="45"/>
  <c r="AL38" i="45"/>
  <c r="AZ38" i="45"/>
  <c r="AX38" i="45"/>
  <c r="AM38" i="45"/>
  <c r="BJ38" i="45"/>
  <c r="BM40" i="45"/>
  <c r="AV40" i="45"/>
  <c r="AH38" i="45"/>
  <c r="BI40" i="45"/>
  <c r="BN40" i="45"/>
  <c r="BK40" i="45"/>
  <c r="AL40" i="45"/>
  <c r="AO39" i="45"/>
  <c r="AL39" i="45"/>
  <c r="AR39" i="45"/>
  <c r="BD39" i="45"/>
  <c r="AK38" i="45"/>
  <c r="BI39" i="45"/>
  <c r="AN33" i="45"/>
  <c r="AJ29" i="45"/>
  <c r="BH32" i="45"/>
  <c r="AV31" i="45"/>
  <c r="AP32" i="45"/>
  <c r="AW31" i="45"/>
  <c r="BF33" i="45"/>
  <c r="AJ32" i="45"/>
  <c r="AX31" i="45"/>
  <c r="BJ33" i="45"/>
  <c r="BB33" i="45"/>
  <c r="AW32" i="45"/>
  <c r="AS31" i="45"/>
  <c r="AR31" i="45"/>
  <c r="BL32" i="45"/>
  <c r="BJ28" i="45"/>
  <c r="BE33" i="45"/>
  <c r="AH32" i="45"/>
  <c r="BG32" i="45"/>
  <c r="AL31" i="45"/>
  <c r="AM31" i="45"/>
  <c r="AI32" i="45"/>
  <c r="AH31" i="45"/>
  <c r="BN33" i="45"/>
  <c r="AL33" i="45"/>
  <c r="AO32" i="45"/>
  <c r="AR32" i="45"/>
  <c r="AZ33" i="45"/>
  <c r="BM32" i="45"/>
  <c r="BH29" i="45"/>
  <c r="AP28" i="45"/>
  <c r="AT28" i="45"/>
  <c r="BC28" i="45"/>
  <c r="AZ29" i="45"/>
  <c r="AX28" i="45"/>
  <c r="AN29" i="45"/>
  <c r="BG28" i="45"/>
  <c r="AO29" i="45"/>
  <c r="BA29" i="45"/>
  <c r="BB29" i="45"/>
  <c r="BF28" i="45"/>
  <c r="BI29" i="45"/>
  <c r="AZ35" i="45"/>
  <c r="BA36" i="45"/>
  <c r="BH36" i="45"/>
  <c r="BG35" i="45"/>
  <c r="AP35" i="45"/>
  <c r="AX35" i="45"/>
  <c r="BB36" i="45"/>
  <c r="AN36" i="45"/>
  <c r="AT35" i="45"/>
  <c r="BC35" i="45"/>
  <c r="AE36" i="45"/>
  <c r="Z35" i="45"/>
  <c r="AE28" i="45"/>
  <c r="AE27" i="45" s="1"/>
  <c r="AE61" i="45" s="1"/>
  <c r="Z29" i="45"/>
  <c r="AD35" i="45"/>
  <c r="AG36" i="45"/>
  <c r="Z28" i="45"/>
  <c r="AE35" i="45"/>
  <c r="Z36" i="45"/>
  <c r="AD28" i="45"/>
  <c r="BM36" i="45"/>
  <c r="AZ36" i="45"/>
  <c r="AZ28" i="45"/>
  <c r="AO36" i="45"/>
  <c r="BI36" i="45"/>
  <c r="AG29" i="45"/>
  <c r="AW35" i="45"/>
  <c r="AP36" i="45"/>
  <c r="BG36" i="45"/>
  <c r="AW29" i="45"/>
  <c r="AR36" i="45"/>
  <c r="BC36" i="45"/>
  <c r="BL35" i="45"/>
  <c r="BI35" i="45"/>
  <c r="BD35" i="45"/>
  <c r="AT36" i="45"/>
  <c r="BL36" i="45"/>
  <c r="BD36" i="45"/>
  <c r="AY36" i="45"/>
  <c r="AA28" i="45"/>
  <c r="BK35" i="45"/>
  <c r="AJ35" i="45"/>
  <c r="AC28" i="45"/>
  <c r="AX36" i="45"/>
  <c r="AA29" i="45"/>
  <c r="BK36" i="45"/>
  <c r="BE29" i="45"/>
  <c r="AM36" i="45"/>
  <c r="AS29" i="45"/>
  <c r="AL35" i="45"/>
  <c r="BA28" i="45"/>
  <c r="AU35" i="45"/>
  <c r="AO35" i="45"/>
  <c r="AM28" i="45"/>
  <c r="AW28" i="45"/>
  <c r="AP29" i="45"/>
  <c r="BG29" i="45"/>
  <c r="AW36" i="45"/>
  <c r="AR29" i="45"/>
  <c r="BC29" i="45"/>
  <c r="BL28" i="45"/>
  <c r="BI28" i="45"/>
  <c r="BD28" i="45"/>
  <c r="AT29" i="45"/>
  <c r="AT27" i="45" s="1"/>
  <c r="AT61" i="45" s="1"/>
  <c r="BL29" i="45"/>
  <c r="BD29" i="45"/>
  <c r="AY29" i="45"/>
  <c r="AA35" i="45"/>
  <c r="BK28" i="45"/>
  <c r="AJ28" i="45"/>
  <c r="AC35" i="45"/>
  <c r="AX29" i="45"/>
  <c r="AA36" i="45"/>
  <c r="BK29" i="45"/>
  <c r="BE36" i="45"/>
  <c r="AM29" i="45"/>
  <c r="AS36" i="45"/>
  <c r="AL28" i="45"/>
  <c r="BA35" i="45"/>
  <c r="AU28" i="45"/>
  <c r="AO28" i="45"/>
  <c r="AM35" i="45"/>
  <c r="AK35" i="45"/>
  <c r="BM35" i="45"/>
  <c r="BE35" i="45"/>
  <c r="BF36" i="45"/>
  <c r="AK36" i="45"/>
  <c r="AQ28" i="45"/>
  <c r="AG35" i="45"/>
  <c r="AB35" i="45"/>
  <c r="AS35" i="45"/>
  <c r="AD36" i="45"/>
  <c r="BJ36" i="45"/>
  <c r="AQ36" i="45"/>
  <c r="AB36" i="45"/>
  <c r="AV35" i="45"/>
  <c r="AN35" i="45"/>
  <c r="AI28" i="45"/>
  <c r="BH35" i="45"/>
  <c r="AH36" i="45"/>
  <c r="BN36" i="45"/>
  <c r="AV36" i="45"/>
  <c r="AI29" i="45"/>
  <c r="AC29" i="45"/>
  <c r="AU29" i="45"/>
  <c r="BB35" i="45"/>
  <c r="AF35" i="45"/>
  <c r="AF34" i="45" s="1"/>
  <c r="AF62" i="45" s="1"/>
  <c r="AY35" i="45"/>
  <c r="AR35" i="45"/>
  <c r="AK28" i="45"/>
  <c r="BM28" i="45"/>
  <c r="BE28" i="45"/>
  <c r="BF29" i="45"/>
  <c r="AK29" i="45"/>
  <c r="AQ35" i="45"/>
  <c r="AG28" i="45"/>
  <c r="AB28" i="45"/>
  <c r="AS28" i="45"/>
  <c r="AD29" i="45"/>
  <c r="BJ29" i="45"/>
  <c r="AQ29" i="45"/>
  <c r="AB29" i="45"/>
  <c r="AV28" i="45"/>
  <c r="AN28" i="45"/>
  <c r="AI35" i="45"/>
  <c r="BH28" i="45"/>
  <c r="AH29" i="45"/>
  <c r="BN29" i="45"/>
  <c r="AV29" i="45"/>
  <c r="AI36" i="45"/>
  <c r="AC36" i="45"/>
  <c r="AU36" i="45"/>
  <c r="BB28" i="45"/>
  <c r="AF28" i="45"/>
  <c r="AF27" i="45" s="1"/>
  <c r="AF61" i="45" s="1"/>
  <c r="AY28" i="45"/>
  <c r="AR28" i="45"/>
  <c r="BA34" i="45" l="1"/>
  <c r="BA62" i="45" s="1"/>
  <c r="BC34" i="45"/>
  <c r="BC62" i="45" s="1"/>
  <c r="BN27" i="45"/>
  <c r="BN61" i="45" s="1"/>
  <c r="BJ27" i="45"/>
  <c r="BJ61" i="45" s="1"/>
  <c r="AH34" i="45"/>
  <c r="AH62" i="45" s="1"/>
  <c r="AW27" i="45"/>
  <c r="AW61" i="45" s="1"/>
  <c r="BA27" i="45"/>
  <c r="BA61" i="45" s="1"/>
  <c r="BF34" i="45"/>
  <c r="BF62" i="45" s="1"/>
  <c r="AJ27" i="45"/>
  <c r="AJ61" i="45" s="1"/>
  <c r="AG34" i="45"/>
  <c r="AG62" i="45" s="1"/>
  <c r="AO27" i="45"/>
  <c r="AO61" i="45" s="1"/>
  <c r="AZ27" i="45"/>
  <c r="AZ61" i="45" s="1"/>
  <c r="BH27" i="45"/>
  <c r="BH61" i="45" s="1"/>
  <c r="BI27" i="45"/>
  <c r="BI61" i="45" s="1"/>
  <c r="BB27" i="45"/>
  <c r="BB61" i="45" s="1"/>
  <c r="BN34" i="45"/>
  <c r="BN62" i="45" s="1"/>
  <c r="AN34" i="45"/>
  <c r="AN62" i="45" s="1"/>
  <c r="BJ34" i="45"/>
  <c r="BJ62" i="45" s="1"/>
  <c r="AL27" i="45"/>
  <c r="AL61" i="45" s="1"/>
  <c r="AL34" i="45"/>
  <c r="AL62" i="45" s="1"/>
  <c r="AJ34" i="45"/>
  <c r="AJ62" i="45" s="1"/>
  <c r="AZ34" i="45"/>
  <c r="AZ62" i="45" s="1"/>
  <c r="AN27" i="45"/>
  <c r="AN61" i="45" s="1"/>
  <c r="AH27" i="45"/>
  <c r="AH61" i="45" s="1"/>
  <c r="BM27" i="45"/>
  <c r="BM61" i="45" s="1"/>
  <c r="AX27" i="45"/>
  <c r="AX61" i="45" s="1"/>
  <c r="BC27" i="45"/>
  <c r="BC61" i="45" s="1"/>
  <c r="AP27" i="45"/>
  <c r="AP61" i="45" s="1"/>
  <c r="AX34" i="45"/>
  <c r="AX62" i="45" s="1"/>
  <c r="AT34" i="45"/>
  <c r="AT62" i="45" s="1"/>
  <c r="AP34" i="45"/>
  <c r="AP62" i="45" s="1"/>
  <c r="AR34" i="45"/>
  <c r="AR62" i="45" s="1"/>
  <c r="AM34" i="45"/>
  <c r="AM62" i="45" s="1"/>
  <c r="AY34" i="45"/>
  <c r="AY62" i="45" s="1"/>
  <c r="AD34" i="45"/>
  <c r="AD62" i="45" s="1"/>
  <c r="BG27" i="45"/>
  <c r="BG61" i="45" s="1"/>
  <c r="AE34" i="45"/>
  <c r="AE62" i="45" s="1"/>
  <c r="BH34" i="45"/>
  <c r="BH62" i="45" s="1"/>
  <c r="BF27" i="45"/>
  <c r="BF61" i="45" s="1"/>
  <c r="BB34" i="45"/>
  <c r="BB62" i="45" s="1"/>
  <c r="AO34" i="45"/>
  <c r="AO62" i="45" s="1"/>
  <c r="BG34" i="45"/>
  <c r="BG62" i="45" s="1"/>
  <c r="BI34" i="45"/>
  <c r="BI62" i="45" s="1"/>
  <c r="BE34" i="45"/>
  <c r="BE62" i="45" s="1"/>
  <c r="AR27" i="45"/>
  <c r="AR61" i="45" s="1"/>
  <c r="AY27" i="45"/>
  <c r="AY61" i="45" s="1"/>
  <c r="AQ34" i="45"/>
  <c r="AQ62" i="45" s="1"/>
  <c r="BM34" i="45"/>
  <c r="BM62" i="45" s="1"/>
  <c r="AS27" i="45"/>
  <c r="AS61" i="45" s="1"/>
  <c r="AG27" i="45"/>
  <c r="AG61" i="45" s="1"/>
  <c r="BE27" i="45"/>
  <c r="BE61" i="45" s="1"/>
  <c r="Z27" i="45"/>
  <c r="Z61" i="45" s="1"/>
  <c r="AD27" i="45"/>
  <c r="AD61" i="45" s="1"/>
  <c r="Z34" i="45"/>
  <c r="Z62" i="45" s="1"/>
  <c r="AV27" i="45"/>
  <c r="AV61" i="45" s="1"/>
  <c r="AI27" i="45"/>
  <c r="AI61" i="45" s="1"/>
  <c r="AB34" i="45"/>
  <c r="AB62" i="45" s="1"/>
  <c r="AV34" i="45"/>
  <c r="AV62" i="45" s="1"/>
  <c r="AA34" i="45"/>
  <c r="AA62" i="45" s="1"/>
  <c r="BD34" i="45"/>
  <c r="BD62" i="45" s="1"/>
  <c r="AI34" i="45"/>
  <c r="AI62" i="45" s="1"/>
  <c r="AK27" i="45"/>
  <c r="AK61" i="45" s="1"/>
  <c r="AQ27" i="45"/>
  <c r="AQ61" i="45" s="1"/>
  <c r="BK27" i="45"/>
  <c r="BK61" i="45" s="1"/>
  <c r="BD27" i="45"/>
  <c r="BD61" i="45" s="1"/>
  <c r="AU34" i="45"/>
  <c r="AU62" i="45" s="1"/>
  <c r="AC27" i="45"/>
  <c r="AC61" i="45" s="1"/>
  <c r="AB27" i="45"/>
  <c r="AB61" i="45" s="1"/>
  <c r="AS34" i="45"/>
  <c r="AS62" i="45" s="1"/>
  <c r="AK34" i="45"/>
  <c r="AK62" i="45" s="1"/>
  <c r="AM27" i="45"/>
  <c r="AM61" i="45" s="1"/>
  <c r="AA27" i="45"/>
  <c r="AA61" i="45" s="1"/>
  <c r="BL34" i="45"/>
  <c r="BL62" i="45" s="1"/>
  <c r="AU27" i="45"/>
  <c r="AU61" i="45" s="1"/>
  <c r="AC34" i="45"/>
  <c r="AC62" i="45" s="1"/>
  <c r="BL27" i="45"/>
  <c r="BL61" i="45" s="1"/>
  <c r="BK34" i="45"/>
  <c r="BK62" i="45" s="1"/>
  <c r="AW34" i="45"/>
  <c r="AW62" i="45" s="1"/>
  <c r="AA72" i="45" l="1"/>
  <c r="AA73" i="45" s="1"/>
  <c r="AA77" i="45" s="1"/>
  <c r="Z72" i="45"/>
  <c r="Z73" i="45" s="1"/>
  <c r="Z77" i="45" s="1"/>
  <c r="AJ71" i="36" l="1"/>
  <c r="AJ112" i="34" s="1"/>
  <c r="AJ178" i="34"/>
  <c r="AJ162" i="34"/>
  <c r="AJ41" i="34"/>
  <c r="AJ9" i="34"/>
  <c r="AJ23" i="34"/>
  <c r="AJ55" i="36"/>
  <c r="AJ96" i="34" l="1"/>
  <c r="T24" i="55"/>
  <c r="AI31" i="57"/>
  <c r="AJ18" i="57"/>
  <c r="AJ27" i="57"/>
  <c r="AJ23" i="57"/>
  <c r="AJ32" i="57"/>
  <c r="AJ19" i="57"/>
  <c r="AI19" i="57"/>
  <c r="AI23" i="57" l="1"/>
  <c r="Z22" i="50" s="1"/>
  <c r="AE11" i="36" s="1"/>
  <c r="AI32" i="57"/>
  <c r="AI18" i="57"/>
  <c r="AJ31" i="57"/>
  <c r="AR38" i="50" s="1"/>
  <c r="AR37" i="50" s="1"/>
  <c r="AI27" i="57"/>
  <c r="AJ29" i="57"/>
  <c r="AI29" i="57"/>
  <c r="AJ33" i="57"/>
  <c r="AI33" i="57"/>
  <c r="Z23" i="50" l="1"/>
  <c r="AD32" i="50"/>
  <c r="AB32" i="50"/>
  <c r="AE32" i="50"/>
  <c r="AJ19" i="36" s="1"/>
  <c r="AJ21" i="36" s="1"/>
  <c r="AC32" i="50"/>
  <c r="Z32" i="50"/>
  <c r="AA32" i="50"/>
  <c r="AN32" i="50"/>
  <c r="AS19" i="36" s="1"/>
  <c r="AS21" i="36" s="1"/>
  <c r="AI32" i="50"/>
  <c r="AN19" i="36" s="1"/>
  <c r="AN21" i="36" s="1"/>
  <c r="AO32" i="50"/>
  <c r="AH32" i="50"/>
  <c r="AM19" i="36" s="1"/>
  <c r="AM21" i="36" s="1"/>
  <c r="AM32" i="50"/>
  <c r="AR19" i="36" s="1"/>
  <c r="AR21" i="36" s="1"/>
  <c r="AP32" i="50"/>
  <c r="AU19" i="36" s="1"/>
  <c r="AU21" i="36" s="1"/>
  <c r="AK32" i="50"/>
  <c r="AY32" i="50"/>
  <c r="BD19" i="36" s="1"/>
  <c r="BD21" i="36" s="1"/>
  <c r="AW32" i="50"/>
  <c r="BB19" i="36" s="1"/>
  <c r="BB21" i="36" s="1"/>
  <c r="AQ32" i="50"/>
  <c r="AV19" i="36" s="1"/>
  <c r="AV21" i="36" s="1"/>
  <c r="AZ32" i="50"/>
  <c r="AT32" i="50"/>
  <c r="AY19" i="36" s="1"/>
  <c r="AY21" i="36" s="1"/>
  <c r="AX32" i="50"/>
  <c r="BC19" i="36" s="1"/>
  <c r="BC21" i="36" s="1"/>
  <c r="AV32" i="50"/>
  <c r="BA19" i="36" s="1"/>
  <c r="BA21" i="36" s="1"/>
  <c r="BK32" i="50"/>
  <c r="BJ32" i="50"/>
  <c r="BO19" i="36" s="1"/>
  <c r="BO21" i="36" s="1"/>
  <c r="BC32" i="50"/>
  <c r="BH19" i="36" s="1"/>
  <c r="BH21" i="36" s="1"/>
  <c r="BA32" i="50"/>
  <c r="BF19" i="36" s="1"/>
  <c r="BF21" i="36" s="1"/>
  <c r="BB32" i="50"/>
  <c r="BH32" i="50"/>
  <c r="BM19" i="36" s="1"/>
  <c r="BM21" i="36" s="1"/>
  <c r="BF32" i="50"/>
  <c r="BK19" i="36" s="1"/>
  <c r="BK21" i="36" s="1"/>
  <c r="BD32" i="50"/>
  <c r="BI19" i="36" s="1"/>
  <c r="BI21" i="36" s="1"/>
  <c r="BG32" i="50"/>
  <c r="AF32" i="50"/>
  <c r="AK19" i="36" s="1"/>
  <c r="AK21" i="36" s="1"/>
  <c r="AS32" i="50"/>
  <c r="AX19" i="36" s="1"/>
  <c r="AX21" i="36" s="1"/>
  <c r="BE32" i="50"/>
  <c r="BJ19" i="36" s="1"/>
  <c r="BJ21" i="36" s="1"/>
  <c r="AJ32" i="50"/>
  <c r="AU32" i="50"/>
  <c r="AZ19" i="36" s="1"/>
  <c r="AZ21" i="36" s="1"/>
  <c r="AL32" i="50"/>
  <c r="AQ19" i="36" s="1"/>
  <c r="AQ21" i="36" s="1"/>
  <c r="BI32" i="50"/>
  <c r="BN19" i="36" s="1"/>
  <c r="BN21" i="36" s="1"/>
  <c r="AR32" i="50"/>
  <c r="AG32" i="50"/>
  <c r="AL19" i="36" s="1"/>
  <c r="AL21" i="36" s="1"/>
  <c r="AJ17" i="36"/>
  <c r="AI13" i="50"/>
  <c r="Y31" i="55" s="1"/>
  <c r="Y13" i="50"/>
  <c r="AC13" i="50"/>
  <c r="AB13" i="50"/>
  <c r="Z13" i="50"/>
  <c r="AD13" i="50"/>
  <c r="AA13" i="50"/>
  <c r="AE36" i="50"/>
  <c r="AJ20" i="36" s="1"/>
  <c r="AJ22" i="36" s="1"/>
  <c r="AC36" i="50"/>
  <c r="Z36" i="50"/>
  <c r="AA36" i="50"/>
  <c r="AD36" i="50"/>
  <c r="AB36" i="50"/>
  <c r="Y36" i="50"/>
  <c r="Y32" i="50"/>
  <c r="AE43" i="50"/>
  <c r="AD43" i="50"/>
  <c r="AA43" i="50"/>
  <c r="AC43" i="50"/>
  <c r="Y43" i="50"/>
  <c r="AB43" i="50"/>
  <c r="Z43" i="50"/>
  <c r="AD38" i="50"/>
  <c r="AD37" i="50" s="1"/>
  <c r="AA22" i="50"/>
  <c r="AF11" i="36" s="1"/>
  <c r="AB22" i="50"/>
  <c r="AG11" i="36" s="1"/>
  <c r="Y22" i="50"/>
  <c r="AD11" i="36" s="1"/>
  <c r="AC22" i="50"/>
  <c r="AH11" i="36" s="1"/>
  <c r="AD22" i="50"/>
  <c r="AI11" i="36" s="1"/>
  <c r="Z38" i="50"/>
  <c r="Z37" i="50" s="1"/>
  <c r="AA38" i="50"/>
  <c r="AA37" i="50" s="1"/>
  <c r="AC38" i="50"/>
  <c r="AC37" i="50" s="1"/>
  <c r="AB38" i="50"/>
  <c r="AB37" i="50" s="1"/>
  <c r="Y38" i="50"/>
  <c r="Y37" i="50" s="1"/>
  <c r="AE13" i="50"/>
  <c r="AE14" i="50" s="1"/>
  <c r="AO22" i="50"/>
  <c r="AT11" i="36" s="1"/>
  <c r="AE22" i="50"/>
  <c r="AJ11" i="36" s="1"/>
  <c r="AE38" i="50"/>
  <c r="AE37" i="50" s="1"/>
  <c r="AJ41" i="36" s="1"/>
  <c r="BG22" i="50"/>
  <c r="AJ22" i="50"/>
  <c r="AO11" i="36" s="1"/>
  <c r="BK22" i="50"/>
  <c r="BC22" i="50"/>
  <c r="AP22" i="50"/>
  <c r="AU11" i="36" s="1"/>
  <c r="BF22" i="50"/>
  <c r="AS22" i="50"/>
  <c r="AI37" i="55" s="1"/>
  <c r="BI22" i="50"/>
  <c r="AY22" i="50"/>
  <c r="AT22" i="50"/>
  <c r="AJ37" i="55" s="1"/>
  <c r="AG22" i="50"/>
  <c r="AL11" i="36" s="1"/>
  <c r="AQ22" i="50"/>
  <c r="AV11" i="36" s="1"/>
  <c r="AF22" i="50"/>
  <c r="AK11" i="36" s="1"/>
  <c r="AL22" i="50"/>
  <c r="AQ11" i="36" s="1"/>
  <c r="BB22" i="50"/>
  <c r="AR37" i="55" s="1"/>
  <c r="AV22" i="50"/>
  <c r="BE22" i="50"/>
  <c r="BD22" i="50"/>
  <c r="AX22" i="50"/>
  <c r="AN37" i="55" s="1"/>
  <c r="AU22" i="50"/>
  <c r="AW22" i="50"/>
  <c r="AM22" i="50"/>
  <c r="AR11" i="36" s="1"/>
  <c r="AR22" i="50"/>
  <c r="AW11" i="36" s="1"/>
  <c r="AX11" i="36" s="1"/>
  <c r="AY11" i="36" s="1"/>
  <c r="AZ11" i="36" s="1"/>
  <c r="BA11" i="36" s="1"/>
  <c r="BB11" i="36" s="1"/>
  <c r="BC11" i="36" s="1"/>
  <c r="BD11" i="36" s="1"/>
  <c r="BE11" i="36" s="1"/>
  <c r="BF11" i="36" s="1"/>
  <c r="BG11" i="36" s="1"/>
  <c r="BH11" i="36" s="1"/>
  <c r="BI11" i="36" s="1"/>
  <c r="BJ11" i="36" s="1"/>
  <c r="BK11" i="36" s="1"/>
  <c r="BL11" i="36" s="1"/>
  <c r="BM11" i="36" s="1"/>
  <c r="BN11" i="36" s="1"/>
  <c r="BO11" i="36" s="1"/>
  <c r="BP11" i="36" s="1"/>
  <c r="BA22" i="50"/>
  <c r="AF23" i="57" s="1"/>
  <c r="AI22" i="50"/>
  <c r="AN11" i="36" s="1"/>
  <c r="BH22" i="50"/>
  <c r="AX37" i="55" s="1"/>
  <c r="AH22" i="50"/>
  <c r="AM11" i="36" s="1"/>
  <c r="BJ22" i="50"/>
  <c r="AU13" i="50"/>
  <c r="AK31" i="55" s="1"/>
  <c r="AT13" i="50"/>
  <c r="AJ31" i="55" s="1"/>
  <c r="AW13" i="50"/>
  <c r="AM31" i="55" s="1"/>
  <c r="BK13" i="50"/>
  <c r="BA31" i="55" s="1"/>
  <c r="AS13" i="50"/>
  <c r="AI31" i="55" s="1"/>
  <c r="BE13" i="50"/>
  <c r="AU31" i="55" s="1"/>
  <c r="BB13" i="50"/>
  <c r="AR31" i="55" s="1"/>
  <c r="AN13" i="50"/>
  <c r="AD31" i="55" s="1"/>
  <c r="BI13" i="50"/>
  <c r="AY31" i="55" s="1"/>
  <c r="AL13" i="50"/>
  <c r="AB31" i="55" s="1"/>
  <c r="BD13" i="50"/>
  <c r="AT31" i="55" s="1"/>
  <c r="AZ13" i="50"/>
  <c r="AP31" i="55" s="1"/>
  <c r="AH13" i="50"/>
  <c r="X31" i="55" s="1"/>
  <c r="AG13" i="50"/>
  <c r="W31" i="55" s="1"/>
  <c r="AK13" i="50"/>
  <c r="AA31" i="55" s="1"/>
  <c r="AV38" i="50"/>
  <c r="AV37" i="50" s="1"/>
  <c r="AK22" i="50"/>
  <c r="AP11" i="36" s="1"/>
  <c r="BE38" i="50"/>
  <c r="BE37" i="50" s="1"/>
  <c r="AX38" i="50"/>
  <c r="AX37" i="50" s="1"/>
  <c r="BI38" i="50"/>
  <c r="BI37" i="50" s="1"/>
  <c r="AI38" i="50"/>
  <c r="AI37" i="50" s="1"/>
  <c r="BF13" i="50"/>
  <c r="AV31" i="55" s="1"/>
  <c r="BA13" i="50"/>
  <c r="AQ31" i="55" s="1"/>
  <c r="BJ13" i="50"/>
  <c r="AZ31" i="55" s="1"/>
  <c r="AF13" i="50"/>
  <c r="V31" i="55" s="1"/>
  <c r="AJ13" i="50"/>
  <c r="Z31" i="55" s="1"/>
  <c r="BH13" i="50"/>
  <c r="AX31" i="55" s="1"/>
  <c r="BC13" i="50"/>
  <c r="AS31" i="55" s="1"/>
  <c r="AX13" i="50"/>
  <c r="AN31" i="55" s="1"/>
  <c r="AF38" i="50"/>
  <c r="AF37" i="50" s="1"/>
  <c r="AG38" i="50"/>
  <c r="AG37" i="50" s="1"/>
  <c r="AG40" i="50" s="1"/>
  <c r="AN38" i="50"/>
  <c r="AN37" i="50" s="1"/>
  <c r="AY13" i="50"/>
  <c r="AO31" i="55" s="1"/>
  <c r="AM13" i="50"/>
  <c r="AC31" i="55" s="1"/>
  <c r="AV13" i="50"/>
  <c r="AL31" i="55" s="1"/>
  <c r="AP13" i="50"/>
  <c r="AF31" i="55" s="1"/>
  <c r="AR13" i="50"/>
  <c r="AH31" i="55" s="1"/>
  <c r="AQ13" i="50"/>
  <c r="BG13" i="50"/>
  <c r="AW31" i="55" s="1"/>
  <c r="AO13" i="50"/>
  <c r="AE31" i="55" s="1"/>
  <c r="BG38" i="50"/>
  <c r="BG37" i="50" s="1"/>
  <c r="BA38" i="50"/>
  <c r="BA37" i="50" s="1"/>
  <c r="AM38" i="50"/>
  <c r="AM37" i="50" s="1"/>
  <c r="BK38" i="50"/>
  <c r="BK37" i="50" s="1"/>
  <c r="AZ38" i="50"/>
  <c r="AZ37" i="50" s="1"/>
  <c r="AO38" i="50"/>
  <c r="AO37" i="50" s="1"/>
  <c r="AH38" i="50"/>
  <c r="AH37" i="50" s="1"/>
  <c r="BF38" i="50"/>
  <c r="BF37" i="50" s="1"/>
  <c r="AK38" i="50"/>
  <c r="AK37" i="50" s="1"/>
  <c r="AS38" i="50"/>
  <c r="AS37" i="50" s="1"/>
  <c r="BB38" i="50"/>
  <c r="BB37" i="50" s="1"/>
  <c r="BJ38" i="50"/>
  <c r="BJ37" i="50" s="1"/>
  <c r="AU38" i="50"/>
  <c r="AU37" i="50" s="1"/>
  <c r="AJ38" i="50"/>
  <c r="AJ37" i="50" s="1"/>
  <c r="AJ40" i="50" s="1"/>
  <c r="BH38" i="50"/>
  <c r="BH37" i="50" s="1"/>
  <c r="AQ38" i="50"/>
  <c r="AQ37" i="50" s="1"/>
  <c r="AY38" i="50"/>
  <c r="AY37" i="50" s="1"/>
  <c r="BD38" i="50"/>
  <c r="BD37" i="50" s="1"/>
  <c r="AL38" i="50"/>
  <c r="AL37" i="50" s="1"/>
  <c r="AT38" i="50"/>
  <c r="AT37" i="50" s="1"/>
  <c r="BC38" i="50"/>
  <c r="BC37" i="50" s="1"/>
  <c r="AN22" i="50"/>
  <c r="AS11" i="36" s="1"/>
  <c r="AZ22" i="50"/>
  <c r="AW38" i="50"/>
  <c r="AW37" i="50" s="1"/>
  <c r="AP38" i="50"/>
  <c r="AP37" i="50" s="1"/>
  <c r="AY43" i="50"/>
  <c r="AS43" i="50"/>
  <c r="AM43" i="50"/>
  <c r="AG43" i="50"/>
  <c r="AQ43" i="50"/>
  <c r="AK43" i="50"/>
  <c r="AU43" i="50"/>
  <c r="AO43" i="50"/>
  <c r="AH43" i="50"/>
  <c r="AF43" i="50"/>
  <c r="BI43" i="50"/>
  <c r="BC43" i="50"/>
  <c r="AW43" i="50"/>
  <c r="BG43" i="50"/>
  <c r="BA43" i="50"/>
  <c r="BK43" i="50"/>
  <c r="BE43" i="50"/>
  <c r="AX43" i="50"/>
  <c r="AV43" i="50"/>
  <c r="AL43" i="50"/>
  <c r="AJ43" i="50"/>
  <c r="AP43" i="50"/>
  <c r="AN43" i="50"/>
  <c r="AT43" i="50"/>
  <c r="AR43" i="50"/>
  <c r="AZ43" i="50"/>
  <c r="BH43" i="50"/>
  <c r="AI43" i="50"/>
  <c r="BF43" i="50"/>
  <c r="BD43" i="50"/>
  <c r="BB43" i="50"/>
  <c r="BJ43" i="50"/>
  <c r="AO36" i="50"/>
  <c r="AT20" i="36" s="1"/>
  <c r="AT22" i="36" s="1"/>
  <c r="AY36" i="50"/>
  <c r="BD20" i="36" s="1"/>
  <c r="BD22" i="36" s="1"/>
  <c r="AW36" i="50"/>
  <c r="BB20" i="36" s="1"/>
  <c r="BB22" i="36" s="1"/>
  <c r="AH36" i="50"/>
  <c r="AM20" i="36" s="1"/>
  <c r="AM22" i="36" s="1"/>
  <c r="AS36" i="50"/>
  <c r="AX20" i="36" s="1"/>
  <c r="AX22" i="36" s="1"/>
  <c r="BJ36" i="50"/>
  <c r="BO20" i="36" s="1"/>
  <c r="BO22" i="36" s="1"/>
  <c r="AV36" i="50"/>
  <c r="BA20" i="36" s="1"/>
  <c r="BA22" i="36" s="1"/>
  <c r="AJ36" i="50"/>
  <c r="AO20" i="36" s="1"/>
  <c r="AO22" i="36" s="1"/>
  <c r="BK36" i="50"/>
  <c r="BP20" i="36" s="1"/>
  <c r="BP22" i="36" s="1"/>
  <c r="AP36" i="50"/>
  <c r="AU20" i="36" s="1"/>
  <c r="AU22" i="36" s="1"/>
  <c r="BB36" i="50"/>
  <c r="BG20" i="36" s="1"/>
  <c r="BG22" i="36" s="1"/>
  <c r="AQ36" i="50"/>
  <c r="AV20" i="36" s="1"/>
  <c r="AV22" i="36" s="1"/>
  <c r="AX36" i="50"/>
  <c r="BC20" i="36" s="1"/>
  <c r="BC22" i="36" s="1"/>
  <c r="BA36" i="50"/>
  <c r="BF20" i="36" s="1"/>
  <c r="BF22" i="36" s="1"/>
  <c r="AL36" i="50"/>
  <c r="AQ20" i="36" s="1"/>
  <c r="AQ22" i="36" s="1"/>
  <c r="BE36" i="50"/>
  <c r="BJ20" i="36" s="1"/>
  <c r="BJ22" i="36" s="1"/>
  <c r="AG36" i="50"/>
  <c r="AL20" i="36" s="1"/>
  <c r="AL22" i="36" s="1"/>
  <c r="AM36" i="50"/>
  <c r="AR20" i="36" s="1"/>
  <c r="AR22" i="36" s="1"/>
  <c r="AR36" i="50"/>
  <c r="AW20" i="36" s="1"/>
  <c r="AW22" i="36" s="1"/>
  <c r="AN36" i="50"/>
  <c r="AS20" i="36" s="1"/>
  <c r="AS22" i="36" s="1"/>
  <c r="AU36" i="50"/>
  <c r="AZ20" i="36" s="1"/>
  <c r="AZ22" i="36" s="1"/>
  <c r="BF36" i="50"/>
  <c r="BK20" i="36" s="1"/>
  <c r="BK22" i="36" s="1"/>
  <c r="AF36" i="50"/>
  <c r="AK20" i="36" s="1"/>
  <c r="AK22" i="36" s="1"/>
  <c r="AT36" i="50"/>
  <c r="AY20" i="36" s="1"/>
  <c r="AY22" i="36" s="1"/>
  <c r="BI36" i="50"/>
  <c r="BN20" i="36" s="1"/>
  <c r="BN22" i="36" s="1"/>
  <c r="BD36" i="50"/>
  <c r="BI20" i="36" s="1"/>
  <c r="BI22" i="36" s="1"/>
  <c r="AK36" i="50"/>
  <c r="AP20" i="36" s="1"/>
  <c r="AP22" i="36" s="1"/>
  <c r="AZ36" i="50"/>
  <c r="BE20" i="36" s="1"/>
  <c r="BE22" i="36" s="1"/>
  <c r="BH36" i="50"/>
  <c r="BM20" i="36" s="1"/>
  <c r="BM22" i="36" s="1"/>
  <c r="BG36" i="50"/>
  <c r="BL20" i="36" s="1"/>
  <c r="BL22" i="36" s="1"/>
  <c r="AI36" i="50"/>
  <c r="AN20" i="36" s="1"/>
  <c r="AN22" i="36" s="1"/>
  <c r="BC36" i="50"/>
  <c r="BH20" i="36" s="1"/>
  <c r="BH22" i="36" s="1"/>
  <c r="AT19" i="36"/>
  <c r="AT21" i="36" s="1"/>
  <c r="BE19" i="36"/>
  <c r="BE21" i="36" s="1"/>
  <c r="AW19" i="36"/>
  <c r="AW21" i="36" s="1"/>
  <c r="BL19" i="36"/>
  <c r="BL21" i="36" s="1"/>
  <c r="BG19" i="36"/>
  <c r="BG21" i="36" s="1"/>
  <c r="AP19" i="36"/>
  <c r="AP21" i="36" s="1"/>
  <c r="AO19" i="36"/>
  <c r="AO21" i="36" s="1"/>
  <c r="BP19" i="36"/>
  <c r="BP21" i="36" s="1"/>
  <c r="AH14" i="50"/>
  <c r="AS14" i="50"/>
  <c r="AR40" i="50"/>
  <c r="AJ18" i="36" l="1"/>
  <c r="AE28" i="50"/>
  <c r="AN23" i="50"/>
  <c r="AS12" i="36"/>
  <c r="AM23" i="50"/>
  <c r="AI23" i="50"/>
  <c r="AN12" i="36"/>
  <c r="AF23" i="50"/>
  <c r="AK163" i="34"/>
  <c r="AP23" i="50"/>
  <c r="AU10" i="34"/>
  <c r="AH37" i="55"/>
  <c r="AE37" i="55"/>
  <c r="AO23" i="50"/>
  <c r="AA37" i="55"/>
  <c r="AK23" i="50"/>
  <c r="Y23" i="50"/>
  <c r="AC23" i="50"/>
  <c r="AC37" i="55"/>
  <c r="AE23" i="57"/>
  <c r="AQ23" i="50"/>
  <c r="AB23" i="50"/>
  <c r="AB37" i="55"/>
  <c r="AL23" i="50"/>
  <c r="Z37" i="55"/>
  <c r="AJ23" i="50"/>
  <c r="AL14" i="50"/>
  <c r="AQ7" i="36" s="1"/>
  <c r="X37" i="55"/>
  <c r="AH23" i="50"/>
  <c r="W37" i="55"/>
  <c r="AG23" i="50"/>
  <c r="U37" i="55"/>
  <c r="AE23" i="50"/>
  <c r="AD23" i="50"/>
  <c r="AA23" i="50"/>
  <c r="AW14" i="50"/>
  <c r="BB5" i="36" s="1"/>
  <c r="BB6" i="36" s="1"/>
  <c r="BA37" i="55"/>
  <c r="AG23" i="57"/>
  <c r="BE14" i="50"/>
  <c r="BJ7" i="36" s="1"/>
  <c r="AT14" i="50"/>
  <c r="AY5" i="36" s="1"/>
  <c r="AY6" i="36" s="1"/>
  <c r="AI14" i="50"/>
  <c r="AN5" i="36" s="1"/>
  <c r="AN6" i="36" s="1"/>
  <c r="AG14" i="50"/>
  <c r="AL7" i="36" s="1"/>
  <c r="AK17" i="36"/>
  <c r="AO17" i="36"/>
  <c r="BB14" i="50"/>
  <c r="BG5" i="36" s="1"/>
  <c r="BG6" i="36" s="1"/>
  <c r="AM17" i="36"/>
  <c r="AR17" i="36"/>
  <c r="AS17" i="36"/>
  <c r="AV17" i="36"/>
  <c r="AQ28" i="50" s="1"/>
  <c r="AQ17" i="36"/>
  <c r="AU17" i="36"/>
  <c r="AT17" i="36"/>
  <c r="AN17" i="36"/>
  <c r="AL17" i="36"/>
  <c r="AP17" i="36"/>
  <c r="AH19" i="36"/>
  <c r="S12" i="55"/>
  <c r="AI19" i="36"/>
  <c r="T12" i="55"/>
  <c r="AB14" i="50"/>
  <c r="R31" i="55"/>
  <c r="AV40" i="50"/>
  <c r="AQ19" i="50"/>
  <c r="AD19" i="36"/>
  <c r="O12" i="55"/>
  <c r="AF20" i="36"/>
  <c r="Q6" i="55"/>
  <c r="AA14" i="50"/>
  <c r="Q31" i="55"/>
  <c r="AC14" i="50"/>
  <c r="S31" i="55"/>
  <c r="AI20" i="36"/>
  <c r="T6" i="55"/>
  <c r="BI40" i="50"/>
  <c r="U31" i="55"/>
  <c r="AM12" i="36"/>
  <c r="AL12" i="36"/>
  <c r="AJ12" i="36"/>
  <c r="AE19" i="36"/>
  <c r="P12" i="55"/>
  <c r="AD20" i="36"/>
  <c r="O6" i="55"/>
  <c r="AE20" i="36"/>
  <c r="P6" i="55"/>
  <c r="AD14" i="50"/>
  <c r="T31" i="55"/>
  <c r="Y14" i="50"/>
  <c r="O31" i="55"/>
  <c r="AU14" i="50"/>
  <c r="AZ5" i="36" s="1"/>
  <c r="AZ6" i="36" s="1"/>
  <c r="BJ14" i="50"/>
  <c r="BO5" i="36" s="1"/>
  <c r="BO6" i="36" s="1"/>
  <c r="AM40" i="50"/>
  <c r="AP12" i="36"/>
  <c r="AR12" i="36"/>
  <c r="AQ12" i="36"/>
  <c r="AO12" i="36"/>
  <c r="AF19" i="36"/>
  <c r="Q12" i="55"/>
  <c r="AG19" i="36"/>
  <c r="R12" i="55"/>
  <c r="AG20" i="36"/>
  <c r="R6" i="55"/>
  <c r="AH20" i="36"/>
  <c r="S6" i="55"/>
  <c r="Z14" i="50"/>
  <c r="P31" i="55"/>
  <c r="AM37" i="55"/>
  <c r="AO37" i="55"/>
  <c r="V37" i="55"/>
  <c r="AW37" i="55"/>
  <c r="Y37" i="55"/>
  <c r="AU37" i="55"/>
  <c r="AF37" i="55"/>
  <c r="AV12" i="36"/>
  <c r="Y40" i="50"/>
  <c r="AD41" i="36"/>
  <c r="Z40" i="50"/>
  <c r="AE41" i="36"/>
  <c r="O37" i="55"/>
  <c r="AB40" i="50"/>
  <c r="AG41" i="36"/>
  <c r="T37" i="55"/>
  <c r="R37" i="55"/>
  <c r="AC40" i="50"/>
  <c r="AH41" i="36"/>
  <c r="P37" i="55"/>
  <c r="Q37" i="55"/>
  <c r="AA40" i="50"/>
  <c r="AF41" i="36"/>
  <c r="S37" i="55"/>
  <c r="AD40" i="50"/>
  <c r="AI41" i="36"/>
  <c r="AD37" i="55"/>
  <c r="BD40" i="50"/>
  <c r="AO41" i="36"/>
  <c r="AS40" i="50"/>
  <c r="AO40" i="50"/>
  <c r="BA40" i="50"/>
  <c r="AL41" i="36"/>
  <c r="AL82" i="36" s="1"/>
  <c r="AX40" i="50"/>
  <c r="AP40" i="50"/>
  <c r="BC40" i="50"/>
  <c r="AY40" i="50"/>
  <c r="AU40" i="50"/>
  <c r="AZ40" i="50"/>
  <c r="BG40" i="50"/>
  <c r="AK41" i="36"/>
  <c r="AK82" i="36" s="1"/>
  <c r="BE40" i="50"/>
  <c r="AW40" i="50"/>
  <c r="AT40" i="50"/>
  <c r="AQ40" i="50"/>
  <c r="BJ40" i="50"/>
  <c r="BF40" i="50"/>
  <c r="BK40" i="50"/>
  <c r="AN41" i="36"/>
  <c r="AN82" i="36" s="1"/>
  <c r="BH40" i="50"/>
  <c r="BB40" i="50"/>
  <c r="AM41" i="36"/>
  <c r="AM82" i="36" s="1"/>
  <c r="AN40" i="50"/>
  <c r="BG7" i="36"/>
  <c r="AX7" i="36"/>
  <c r="AX5" i="36"/>
  <c r="AX6" i="36" s="1"/>
  <c r="AM5" i="36"/>
  <c r="AM6" i="36" s="1"/>
  <c r="AM7" i="36"/>
  <c r="AN7" i="36"/>
  <c r="AN6" i="34" s="1"/>
  <c r="AJ7" i="36"/>
  <c r="AJ5" i="36"/>
  <c r="AJ6" i="36" s="1"/>
  <c r="AO19" i="50"/>
  <c r="AT37" i="55"/>
  <c r="AV37" i="55"/>
  <c r="AH40" i="50"/>
  <c r="BI14" i="50"/>
  <c r="AP14" i="50"/>
  <c r="BC14" i="50"/>
  <c r="AE40" i="50"/>
  <c r="AZ14" i="50"/>
  <c r="AV14" i="50"/>
  <c r="BH14" i="50"/>
  <c r="BA14" i="50"/>
  <c r="BG14" i="50"/>
  <c r="AQ26" i="50"/>
  <c r="AQ31" i="50"/>
  <c r="AQ35" i="50"/>
  <c r="AG31" i="55"/>
  <c r="AQ12" i="50"/>
  <c r="AO14" i="50"/>
  <c r="AO12" i="50"/>
  <c r="AO35" i="50"/>
  <c r="AX24" i="55"/>
  <c r="AT24" i="55"/>
  <c r="BA24" i="55"/>
  <c r="AL24" i="55"/>
  <c r="AQ24" i="55"/>
  <c r="AN24" i="55"/>
  <c r="AP24" i="55"/>
  <c r="AM24" i="55"/>
  <c r="AO24" i="55"/>
  <c r="AV24" i="55"/>
  <c r="AI24" i="55"/>
  <c r="AY24" i="55"/>
  <c r="AH24" i="55"/>
  <c r="AJ24" i="55"/>
  <c r="AK24" i="55"/>
  <c r="AU24" i="55"/>
  <c r="AS24" i="55"/>
  <c r="AW24" i="55"/>
  <c r="AR24" i="55"/>
  <c r="AZ24" i="55"/>
  <c r="AQ37" i="55"/>
  <c r="AK37" i="55"/>
  <c r="AL37" i="55"/>
  <c r="AG37" i="55"/>
  <c r="AS37" i="55"/>
  <c r="AY37" i="55"/>
  <c r="AZ37" i="55"/>
  <c r="BK14" i="50"/>
  <c r="AN14" i="50"/>
  <c r="AK14" i="50"/>
  <c r="BD14" i="50"/>
  <c r="AJ14" i="50"/>
  <c r="BF14" i="50"/>
  <c r="AK40" i="50"/>
  <c r="AF40" i="50"/>
  <c r="AQ14" i="50"/>
  <c r="AI40" i="50"/>
  <c r="AY14" i="50"/>
  <c r="AP37" i="55"/>
  <c r="AX14" i="50"/>
  <c r="AR14" i="50"/>
  <c r="AM14" i="50"/>
  <c r="AF14" i="50"/>
  <c r="AL40" i="50"/>
  <c r="AT163" i="34"/>
  <c r="AL72" i="36"/>
  <c r="AL113" i="34" s="1"/>
  <c r="AL42" i="34"/>
  <c r="AM24" i="34"/>
  <c r="W24" i="55"/>
  <c r="AA24" i="55"/>
  <c r="BA12" i="55"/>
  <c r="AS12" i="55"/>
  <c r="X12" i="55"/>
  <c r="AA12" i="55"/>
  <c r="AV12" i="55"/>
  <c r="AK12" i="55"/>
  <c r="W12" i="55"/>
  <c r="U12" i="55"/>
  <c r="AW6" i="55"/>
  <c r="AT6" i="55"/>
  <c r="AV6" i="55"/>
  <c r="AC6" i="55"/>
  <c r="AQ6" i="55"/>
  <c r="AF6" i="55"/>
  <c r="AZ6" i="55"/>
  <c r="AO6" i="55"/>
  <c r="AP179" i="34"/>
  <c r="V24" i="55"/>
  <c r="AE24" i="55"/>
  <c r="AO26" i="50"/>
  <c r="Z24" i="55"/>
  <c r="AO56" i="36"/>
  <c r="AO97" i="34" s="1"/>
  <c r="AG12" i="55"/>
  <c r="AZ12" i="55"/>
  <c r="AY12" i="55"/>
  <c r="AC12" i="55"/>
  <c r="AR12" i="55"/>
  <c r="AM12" i="55"/>
  <c r="AF12" i="55"/>
  <c r="AN12" i="55"/>
  <c r="AO31" i="50"/>
  <c r="AE12" i="55"/>
  <c r="AX6" i="55"/>
  <c r="AY6" i="55"/>
  <c r="AK6" i="55"/>
  <c r="W6" i="55"/>
  <c r="AN6" i="55"/>
  <c r="BA6" i="55"/>
  <c r="AI6" i="55"/>
  <c r="U6" i="55"/>
  <c r="X24" i="55"/>
  <c r="AC24" i="55"/>
  <c r="U24" i="55"/>
  <c r="Y12" i="55"/>
  <c r="AQ12" i="55"/>
  <c r="Z12" i="55"/>
  <c r="AJ12" i="55"/>
  <c r="AI12" i="55"/>
  <c r="AX12" i="55"/>
  <c r="AW12" i="55"/>
  <c r="AB12" i="55"/>
  <c r="AS6" i="55"/>
  <c r="AP6" i="55"/>
  <c r="AJ6" i="55"/>
  <c r="AD6" i="55"/>
  <c r="AU6" i="55"/>
  <c r="AG6" i="55"/>
  <c r="Z6" i="55"/>
  <c r="X6" i="55"/>
  <c r="AE6" i="55"/>
  <c r="Y24" i="55"/>
  <c r="AD24" i="55"/>
  <c r="AG24" i="55"/>
  <c r="AB24" i="55"/>
  <c r="AF24" i="55"/>
  <c r="AD12" i="55"/>
  <c r="AT12" i="55"/>
  <c r="V12" i="55"/>
  <c r="AO12" i="55"/>
  <c r="AL12" i="55"/>
  <c r="AU12" i="55"/>
  <c r="AH12" i="55"/>
  <c r="AP12" i="55"/>
  <c r="Y6" i="55"/>
  <c r="AA6" i="55"/>
  <c r="V6" i="55"/>
  <c r="AH6" i="55"/>
  <c r="AB6" i="55"/>
  <c r="AR6" i="55"/>
  <c r="AL6" i="55"/>
  <c r="AM6" i="55"/>
  <c r="AQ5" i="36" l="1"/>
  <c r="AQ6" i="36" s="1"/>
  <c r="BB7" i="36"/>
  <c r="AO82" i="36"/>
  <c r="AP41" i="36"/>
  <c r="AU18" i="36"/>
  <c r="AP28" i="50"/>
  <c r="AK18" i="36"/>
  <c r="AF28" i="50"/>
  <c r="AQ18" i="36"/>
  <c r="AL28" i="50"/>
  <c r="AM18" i="36"/>
  <c r="AH28" i="50"/>
  <c r="J37" i="46" s="1"/>
  <c r="AN72" i="36"/>
  <c r="AN113" i="34" s="1"/>
  <c r="AN18" i="36"/>
  <c r="AI28" i="50"/>
  <c r="AP18" i="36"/>
  <c r="AK28" i="50"/>
  <c r="AR18" i="36"/>
  <c r="AM28" i="50"/>
  <c r="AL18" i="36"/>
  <c r="AG28" i="50"/>
  <c r="AT18" i="36"/>
  <c r="AO28" i="50"/>
  <c r="AS18" i="36"/>
  <c r="AN28" i="50"/>
  <c r="AO18" i="36"/>
  <c r="AJ28" i="50"/>
  <c r="AN37" i="34"/>
  <c r="AN51" i="36"/>
  <c r="AN92" i="34" s="1"/>
  <c r="J35" i="46"/>
  <c r="I35" i="46"/>
  <c r="AR23" i="50" s="1"/>
  <c r="AS23" i="50" s="1"/>
  <c r="AT23" i="50" s="1"/>
  <c r="AU23" i="50" s="1"/>
  <c r="AV23" i="50" s="1"/>
  <c r="AW23" i="50" s="1"/>
  <c r="AX23" i="50" s="1"/>
  <c r="AY23" i="50" s="1"/>
  <c r="AZ23" i="50" s="1"/>
  <c r="BA23" i="50" s="1"/>
  <c r="BB23" i="50" s="1"/>
  <c r="BC23" i="50" s="1"/>
  <c r="BD23" i="50" s="1"/>
  <c r="BE23" i="50" s="1"/>
  <c r="BF23" i="50" s="1"/>
  <c r="BG23" i="50" s="1"/>
  <c r="BH23" i="50" s="1"/>
  <c r="BI23" i="50" s="1"/>
  <c r="BJ23" i="50" s="1"/>
  <c r="BK23" i="50" s="1"/>
  <c r="AK10" i="34"/>
  <c r="AQ24" i="34"/>
  <c r="BJ5" i="36"/>
  <c r="BJ6" i="36" s="1"/>
  <c r="AQ179" i="34"/>
  <c r="AU163" i="34"/>
  <c r="AJ56" i="36"/>
  <c r="AJ97" i="34" s="1"/>
  <c r="AL5" i="36"/>
  <c r="AL6" i="36" s="1"/>
  <c r="AL37" i="34" s="1"/>
  <c r="AQ10" i="34"/>
  <c r="AU12" i="36"/>
  <c r="AU43" i="34" s="1"/>
  <c r="AU4" i="36"/>
  <c r="AU56" i="36"/>
  <c r="AU97" i="34" s="1"/>
  <c r="AO10" i="34"/>
  <c r="AO72" i="36"/>
  <c r="AO113" i="34" s="1"/>
  <c r="AK179" i="34"/>
  <c r="AN24" i="34"/>
  <c r="AN56" i="36"/>
  <c r="AN97" i="34" s="1"/>
  <c r="AJ42" i="34"/>
  <c r="AJ72" i="36"/>
  <c r="AJ113" i="34" s="1"/>
  <c r="AW56" i="36"/>
  <c r="AW97" i="34" s="1"/>
  <c r="AV4" i="36"/>
  <c r="AV18" i="36"/>
  <c r="AU24" i="34"/>
  <c r="AU72" i="36"/>
  <c r="AU113" i="34" s="1"/>
  <c r="AO42" i="34"/>
  <c r="AO163" i="34"/>
  <c r="AN10" i="34"/>
  <c r="AN179" i="34"/>
  <c r="AJ10" i="34"/>
  <c r="AJ163" i="34"/>
  <c r="AY7" i="36"/>
  <c r="AY6" i="34" s="1"/>
  <c r="AU42" i="34"/>
  <c r="AU179" i="34"/>
  <c r="AO24" i="34"/>
  <c r="AO179" i="34"/>
  <c r="AN42" i="34"/>
  <c r="AN163" i="34"/>
  <c r="AJ24" i="34"/>
  <c r="AJ179" i="34"/>
  <c r="AT12" i="36"/>
  <c r="AT180" i="34" s="1"/>
  <c r="AT4" i="36"/>
  <c r="AQ56" i="36"/>
  <c r="AQ97" i="34" s="1"/>
  <c r="AP10" i="34"/>
  <c r="AM56" i="36"/>
  <c r="AM97" i="34" s="1"/>
  <c r="AL163" i="34"/>
  <c r="AQ42" i="34"/>
  <c r="AQ163" i="34"/>
  <c r="AP72" i="36"/>
  <c r="AP113" i="34" s="1"/>
  <c r="AM72" i="36"/>
  <c r="AM113" i="34" s="1"/>
  <c r="AL10" i="34"/>
  <c r="AT56" i="36"/>
  <c r="AT97" i="34" s="1"/>
  <c r="AZ7" i="36"/>
  <c r="AZ175" i="34" s="1"/>
  <c r="AQ72" i="36"/>
  <c r="AQ113" i="34" s="1"/>
  <c r="AP42" i="34"/>
  <c r="AP56" i="36"/>
  <c r="AP97" i="34" s="1"/>
  <c r="AM10" i="34"/>
  <c r="AM179" i="34"/>
  <c r="AL179" i="34"/>
  <c r="AT10" i="34"/>
  <c r="AP24" i="34"/>
  <c r="AP163" i="34"/>
  <c r="AM42" i="34"/>
  <c r="AM163" i="34"/>
  <c r="AL24" i="34"/>
  <c r="AL56" i="36"/>
  <c r="AL97" i="34" s="1"/>
  <c r="AT42" i="34"/>
  <c r="AS72" i="36"/>
  <c r="AS113" i="34" s="1"/>
  <c r="AW163" i="34"/>
  <c r="AT72" i="36"/>
  <c r="AT113" i="34" s="1"/>
  <c r="AW179" i="34"/>
  <c r="AT24" i="34"/>
  <c r="AT179" i="34"/>
  <c r="AR72" i="36"/>
  <c r="AR113" i="34" s="1"/>
  <c r="AR10" i="34"/>
  <c r="AR56" i="36"/>
  <c r="AR97" i="34" s="1"/>
  <c r="AR24" i="34"/>
  <c r="AR179" i="34"/>
  <c r="AR42" i="34"/>
  <c r="AR163" i="34"/>
  <c r="AD21" i="36"/>
  <c r="AD80" i="36"/>
  <c r="AD121" i="34" s="1"/>
  <c r="AD64" i="36"/>
  <c r="AD105" i="34" s="1"/>
  <c r="AD187" i="34"/>
  <c r="AD171" i="34"/>
  <c r="AD50" i="34"/>
  <c r="AD32" i="34"/>
  <c r="AK72" i="36"/>
  <c r="AK113" i="34" s="1"/>
  <c r="BO7" i="36"/>
  <c r="BO159" i="34" s="1"/>
  <c r="AH22" i="36"/>
  <c r="AH81" i="36"/>
  <c r="AH122" i="34" s="1"/>
  <c r="AH65" i="36"/>
  <c r="AH106" i="34" s="1"/>
  <c r="AH188" i="34"/>
  <c r="AH172" i="34"/>
  <c r="AH33" i="34"/>
  <c r="AH51" i="34"/>
  <c r="AG21" i="36"/>
  <c r="AG80" i="36"/>
  <c r="AG121" i="34" s="1"/>
  <c r="AG64" i="36"/>
  <c r="AG105" i="34" s="1"/>
  <c r="AG187" i="34"/>
  <c r="AG171" i="34"/>
  <c r="AG32" i="34"/>
  <c r="AG50" i="34"/>
  <c r="AK12" i="36"/>
  <c r="AK11" i="34" s="1"/>
  <c r="AD7" i="36"/>
  <c r="AD5" i="36"/>
  <c r="AE22" i="36"/>
  <c r="AE65" i="36"/>
  <c r="AE106" i="34" s="1"/>
  <c r="AE81" i="36"/>
  <c r="AE122" i="34" s="1"/>
  <c r="AE188" i="34"/>
  <c r="AE172" i="34"/>
  <c r="AE33" i="34"/>
  <c r="AE51" i="34"/>
  <c r="AE21" i="36"/>
  <c r="AE64" i="36"/>
  <c r="AE105" i="34" s="1"/>
  <c r="AE80" i="36"/>
  <c r="AE121" i="34" s="1"/>
  <c r="AE187" i="34"/>
  <c r="AE171" i="34"/>
  <c r="AE50" i="34"/>
  <c r="AE32" i="34"/>
  <c r="AG5" i="36"/>
  <c r="AG6" i="36" s="1"/>
  <c r="AG7" i="36"/>
  <c r="AH21" i="36"/>
  <c r="AH64" i="36"/>
  <c r="AH105" i="34" s="1"/>
  <c r="AH80" i="36"/>
  <c r="AH121" i="34" s="1"/>
  <c r="AH187" i="34"/>
  <c r="AH171" i="34"/>
  <c r="AH32" i="34"/>
  <c r="AH50" i="34"/>
  <c r="AK24" i="34"/>
  <c r="AK56" i="36"/>
  <c r="AK97" i="34" s="1"/>
  <c r="AI22" i="36"/>
  <c r="AI51" i="34"/>
  <c r="AI65" i="36"/>
  <c r="AI106" i="34" s="1"/>
  <c r="AI81" i="36"/>
  <c r="AI122" i="34" s="1"/>
  <c r="AI188" i="34"/>
  <c r="AI172" i="34"/>
  <c r="AI33" i="34"/>
  <c r="AH5" i="36"/>
  <c r="AH7" i="36"/>
  <c r="AF22" i="36"/>
  <c r="AF65" i="36"/>
  <c r="AF106" i="34" s="1"/>
  <c r="AF81" i="36"/>
  <c r="AF122" i="34" s="1"/>
  <c r="AF172" i="34"/>
  <c r="AF188" i="34"/>
  <c r="AF33" i="34"/>
  <c r="AF51" i="34"/>
  <c r="AF7" i="36"/>
  <c r="AF5" i="36"/>
  <c r="AK42" i="34"/>
  <c r="AE5" i="36"/>
  <c r="AE7" i="36"/>
  <c r="AG22" i="36"/>
  <c r="AG81" i="36"/>
  <c r="AG122" i="34" s="1"/>
  <c r="AG65" i="36"/>
  <c r="AG106" i="34" s="1"/>
  <c r="AG172" i="34"/>
  <c r="AG188" i="34"/>
  <c r="AG51" i="34"/>
  <c r="AG33" i="34"/>
  <c r="AF21" i="36"/>
  <c r="AF64" i="36"/>
  <c r="AF105" i="34" s="1"/>
  <c r="AF80" i="36"/>
  <c r="AF121" i="34" s="1"/>
  <c r="AF187" i="34"/>
  <c r="AF171" i="34"/>
  <c r="AF50" i="34"/>
  <c r="AF32" i="34"/>
  <c r="AI5" i="36"/>
  <c r="AI6" i="36" s="1"/>
  <c r="AI7" i="36"/>
  <c r="AD22" i="36"/>
  <c r="AD81" i="36"/>
  <c r="AD122" i="34" s="1"/>
  <c r="AD65" i="36"/>
  <c r="AD106" i="34" s="1"/>
  <c r="AD188" i="34"/>
  <c r="AD172" i="34"/>
  <c r="AD33" i="34"/>
  <c r="AD51" i="34"/>
  <c r="AI50" i="34"/>
  <c r="AI21" i="36"/>
  <c r="AI80" i="36"/>
  <c r="AI121" i="34" s="1"/>
  <c r="AI64" i="36"/>
  <c r="AI105" i="34" s="1"/>
  <c r="AI187" i="34"/>
  <c r="AI171" i="34"/>
  <c r="AI32" i="34"/>
  <c r="AI82" i="36"/>
  <c r="AF82" i="36"/>
  <c r="AG82" i="36"/>
  <c r="AE82" i="36"/>
  <c r="AE12" i="36"/>
  <c r="AE56" i="36"/>
  <c r="AE72" i="36"/>
  <c r="AE163" i="34"/>
  <c r="AE10" i="34"/>
  <c r="AE24" i="34"/>
  <c r="AE42" i="34"/>
  <c r="AE179" i="34"/>
  <c r="AG12" i="36"/>
  <c r="AG72" i="36"/>
  <c r="AG56" i="36"/>
  <c r="AG10" i="34"/>
  <c r="AG42" i="34"/>
  <c r="AG24" i="34"/>
  <c r="AG163" i="34"/>
  <c r="AG179" i="34"/>
  <c r="AH82" i="36"/>
  <c r="AD82" i="36"/>
  <c r="AH56" i="36"/>
  <c r="AH72" i="36"/>
  <c r="AH12" i="36"/>
  <c r="AH24" i="34"/>
  <c r="AH42" i="34"/>
  <c r="AH10" i="34"/>
  <c r="AH163" i="34"/>
  <c r="AH179" i="34"/>
  <c r="AF56" i="36"/>
  <c r="AF72" i="36"/>
  <c r="AF12" i="36"/>
  <c r="AF42" i="34"/>
  <c r="AF24" i="34"/>
  <c r="AF10" i="34"/>
  <c r="AF163" i="34"/>
  <c r="AF179" i="34"/>
  <c r="AI56" i="36"/>
  <c r="AI72" i="36"/>
  <c r="AI12" i="36"/>
  <c r="AI42" i="34"/>
  <c r="AI10" i="34"/>
  <c r="AI24" i="34"/>
  <c r="AI163" i="34"/>
  <c r="AI179" i="34"/>
  <c r="AD56" i="36"/>
  <c r="AD72" i="36"/>
  <c r="AD12" i="36"/>
  <c r="AD163" i="34"/>
  <c r="AD179" i="34"/>
  <c r="AD42" i="34"/>
  <c r="AD10" i="34"/>
  <c r="AD24" i="34"/>
  <c r="AN50" i="36"/>
  <c r="AN91" i="34" s="1"/>
  <c r="AR5" i="36"/>
  <c r="AR6" i="36" s="1"/>
  <c r="AR7" i="36"/>
  <c r="AR38" i="34" s="1"/>
  <c r="BC5" i="36"/>
  <c r="BC6" i="36" s="1"/>
  <c r="BC7" i="36"/>
  <c r="BC6" i="34" s="1"/>
  <c r="AP7" i="36"/>
  <c r="AP159" i="34" s="1"/>
  <c r="AP5" i="36"/>
  <c r="AP6" i="36" s="1"/>
  <c r="BE7" i="36"/>
  <c r="BE38" i="34" s="1"/>
  <c r="BE5" i="36"/>
  <c r="BE6" i="36" s="1"/>
  <c r="BN7" i="36"/>
  <c r="BN6" i="34" s="1"/>
  <c r="BN5" i="36"/>
  <c r="BN6" i="36" s="1"/>
  <c r="AW7" i="36"/>
  <c r="AW6" i="34" s="1"/>
  <c r="AW5" i="36"/>
  <c r="AW6" i="36" s="1"/>
  <c r="AV5" i="36"/>
  <c r="AV6" i="36" s="1"/>
  <c r="AV7" i="36"/>
  <c r="AV175" i="34" s="1"/>
  <c r="BK5" i="36"/>
  <c r="BK6" i="36" s="1"/>
  <c r="BK7" i="36"/>
  <c r="BK6" i="34" s="1"/>
  <c r="AS7" i="36"/>
  <c r="AS52" i="36" s="1"/>
  <c r="AS93" i="34" s="1"/>
  <c r="AS5" i="36"/>
  <c r="AS6" i="36" s="1"/>
  <c r="BL5" i="36"/>
  <c r="BL6" i="36" s="1"/>
  <c r="BL7" i="36"/>
  <c r="BL38" i="34" s="1"/>
  <c r="AK7" i="36"/>
  <c r="AK38" i="34" s="1"/>
  <c r="AK5" i="36"/>
  <c r="AK6" i="36" s="1"/>
  <c r="BD5" i="36"/>
  <c r="BD6" i="36" s="1"/>
  <c r="BD7" i="36"/>
  <c r="BD159" i="34" s="1"/>
  <c r="AO7" i="36"/>
  <c r="AO6" i="34" s="1"/>
  <c r="AO5" i="36"/>
  <c r="AO6" i="36" s="1"/>
  <c r="BP5" i="36"/>
  <c r="BP6" i="36" s="1"/>
  <c r="BP7" i="36"/>
  <c r="BP175" i="34" s="1"/>
  <c r="BF7" i="36"/>
  <c r="BF6" i="34" s="1"/>
  <c r="BF5" i="36"/>
  <c r="BF6" i="36" s="1"/>
  <c r="BA7" i="36"/>
  <c r="BA6" i="34" s="1"/>
  <c r="BA5" i="36"/>
  <c r="BA6" i="36" s="1"/>
  <c r="BH5" i="36"/>
  <c r="BH6" i="36" s="1"/>
  <c r="BH7" i="36"/>
  <c r="BH38" i="34" s="1"/>
  <c r="BI7" i="36"/>
  <c r="BI6" i="34" s="1"/>
  <c r="BI5" i="36"/>
  <c r="BI6" i="36" s="1"/>
  <c r="AT7" i="36"/>
  <c r="AT5" i="36"/>
  <c r="AT6" i="36" s="1"/>
  <c r="BM7" i="36"/>
  <c r="BM175" i="34" s="1"/>
  <c r="BM5" i="36"/>
  <c r="BM6" i="36" s="1"/>
  <c r="AU5" i="36"/>
  <c r="AU6" i="36" s="1"/>
  <c r="AU7" i="36"/>
  <c r="AU38" i="34" s="1"/>
  <c r="AN20" i="34"/>
  <c r="AS163" i="34"/>
  <c r="AX37" i="34"/>
  <c r="AP173" i="34"/>
  <c r="AJ82" i="36"/>
  <c r="AS10" i="34"/>
  <c r="AS56" i="36"/>
  <c r="AS97" i="34" s="1"/>
  <c r="AS42" i="34"/>
  <c r="AS179" i="34"/>
  <c r="AS24" i="34"/>
  <c r="AN68" i="36"/>
  <c r="AN109" i="34" s="1"/>
  <c r="AN159" i="34"/>
  <c r="AN52" i="36"/>
  <c r="AN93" i="34" s="1"/>
  <c r="AN175" i="34"/>
  <c r="AN38" i="34"/>
  <c r="AV10" i="34"/>
  <c r="AV56" i="36"/>
  <c r="AV97" i="34" s="1"/>
  <c r="AN174" i="34"/>
  <c r="AV163" i="34"/>
  <c r="AN4" i="34"/>
  <c r="AN19" i="34"/>
  <c r="AN66" i="36"/>
  <c r="AN107" i="34" s="1"/>
  <c r="AN5" i="34"/>
  <c r="AN158" i="34"/>
  <c r="AN36" i="34"/>
  <c r="AN157" i="34"/>
  <c r="AN67" i="36"/>
  <c r="AN108" i="34" s="1"/>
  <c r="AN18" i="34"/>
  <c r="AN173" i="34"/>
  <c r="BB158" i="34"/>
  <c r="BB5" i="34"/>
  <c r="BB174" i="34"/>
  <c r="BB37" i="34"/>
  <c r="BB19" i="34"/>
  <c r="BB51" i="36"/>
  <c r="BB92" i="34" s="1"/>
  <c r="BB67" i="36"/>
  <c r="BB108" i="34" s="1"/>
  <c r="AZ37" i="34"/>
  <c r="AZ19" i="34"/>
  <c r="AZ174" i="34"/>
  <c r="AZ158" i="34"/>
  <c r="AZ5" i="34"/>
  <c r="AZ51" i="36"/>
  <c r="AZ92" i="34" s="1"/>
  <c r="AZ67" i="36"/>
  <c r="AZ108" i="34" s="1"/>
  <c r="BE171" i="34"/>
  <c r="BE187" i="34"/>
  <c r="BE80" i="36"/>
  <c r="BE121" i="34" s="1"/>
  <c r="BE64" i="36"/>
  <c r="BE105" i="34" s="1"/>
  <c r="BE50" i="34"/>
  <c r="BE32" i="34"/>
  <c r="BD171" i="34"/>
  <c r="BD187" i="34"/>
  <c r="BD80" i="36"/>
  <c r="BD121" i="34" s="1"/>
  <c r="BD64" i="36"/>
  <c r="BD105" i="34" s="1"/>
  <c r="BD32" i="34"/>
  <c r="BD50" i="34"/>
  <c r="AO51" i="34"/>
  <c r="AO188" i="34"/>
  <c r="AO172" i="34"/>
  <c r="AO33" i="34"/>
  <c r="AO65" i="36"/>
  <c r="AO106" i="34" s="1"/>
  <c r="AO81" i="36"/>
  <c r="AO122" i="34" s="1"/>
  <c r="BJ172" i="34"/>
  <c r="BJ33" i="34"/>
  <c r="BJ188" i="34"/>
  <c r="BJ51" i="34"/>
  <c r="BJ65" i="36"/>
  <c r="BJ106" i="34" s="1"/>
  <c r="BJ81" i="36"/>
  <c r="BJ122" i="34" s="1"/>
  <c r="BH172" i="34"/>
  <c r="BH188" i="34"/>
  <c r="BH33" i="34"/>
  <c r="BH51" i="34"/>
  <c r="BH81" i="36"/>
  <c r="BH122" i="34" s="1"/>
  <c r="BH65" i="36"/>
  <c r="BH106" i="34" s="1"/>
  <c r="BB38" i="34"/>
  <c r="BB20" i="34"/>
  <c r="BB6" i="34"/>
  <c r="BB175" i="34"/>
  <c r="BB159" i="34"/>
  <c r="BB52" i="36"/>
  <c r="BB93" i="34" s="1"/>
  <c r="BB68" i="36"/>
  <c r="BB109" i="34" s="1"/>
  <c r="BL171" i="34"/>
  <c r="BL187" i="34"/>
  <c r="BL80" i="36"/>
  <c r="BL121" i="34" s="1"/>
  <c r="BL64" i="36"/>
  <c r="BL105" i="34" s="1"/>
  <c r="BL50" i="34"/>
  <c r="BL32" i="34"/>
  <c r="AX187" i="34"/>
  <c r="AX171" i="34"/>
  <c r="AX64" i="36"/>
  <c r="AX105" i="34" s="1"/>
  <c r="AX80" i="36"/>
  <c r="AX121" i="34" s="1"/>
  <c r="AX32" i="34"/>
  <c r="AX50" i="34"/>
  <c r="AO171" i="34"/>
  <c r="AO187" i="34"/>
  <c r="AO64" i="36"/>
  <c r="AO105" i="34" s="1"/>
  <c r="AO80" i="36"/>
  <c r="AO121" i="34" s="1"/>
  <c r="AO50" i="34"/>
  <c r="AO32" i="34"/>
  <c r="AN171" i="34"/>
  <c r="AN187" i="34"/>
  <c r="AN80" i="36"/>
  <c r="AN121" i="34" s="1"/>
  <c r="AN64" i="36"/>
  <c r="AN105" i="34" s="1"/>
  <c r="AN32" i="34"/>
  <c r="AN50" i="34"/>
  <c r="AR169" i="34"/>
  <c r="AR185" i="34"/>
  <c r="AR62" i="36"/>
  <c r="AR103" i="34" s="1"/>
  <c r="AR78" i="36"/>
  <c r="AR119" i="34" s="1"/>
  <c r="AR16" i="34"/>
  <c r="AR48" i="34"/>
  <c r="AR30" i="34"/>
  <c r="AQ158" i="34"/>
  <c r="AQ19" i="34"/>
  <c r="AQ174" i="34"/>
  <c r="AQ37" i="34"/>
  <c r="AQ5" i="34"/>
  <c r="AQ67" i="36"/>
  <c r="AQ108" i="34" s="1"/>
  <c r="AQ51" i="36"/>
  <c r="AQ92" i="34" s="1"/>
  <c r="AJ188" i="34"/>
  <c r="AJ172" i="34"/>
  <c r="AJ33" i="34"/>
  <c r="AJ51" i="34"/>
  <c r="AJ65" i="36"/>
  <c r="AJ106" i="34" s="1"/>
  <c r="AJ81" i="36"/>
  <c r="AJ122" i="34" s="1"/>
  <c r="BP172" i="34"/>
  <c r="BP33" i="34"/>
  <c r="BP51" i="34"/>
  <c r="BP65" i="36"/>
  <c r="BP106" i="34" s="1"/>
  <c r="BP188" i="34"/>
  <c r="BP81" i="36"/>
  <c r="BP122" i="34" s="1"/>
  <c r="AL172" i="34"/>
  <c r="AL33" i="34"/>
  <c r="AL51" i="34"/>
  <c r="AL188" i="34"/>
  <c r="AL81" i="36"/>
  <c r="AL122" i="34" s="1"/>
  <c r="AL65" i="36"/>
  <c r="AL106" i="34" s="1"/>
  <c r="BN188" i="34"/>
  <c r="BN172" i="34"/>
  <c r="BN33" i="34"/>
  <c r="BN51" i="34"/>
  <c r="BN81" i="36"/>
  <c r="BN122" i="34" s="1"/>
  <c r="BN65" i="36"/>
  <c r="BN106" i="34" s="1"/>
  <c r="AT187" i="34"/>
  <c r="AT171" i="34"/>
  <c r="AT80" i="36"/>
  <c r="AT121" i="34" s="1"/>
  <c r="AT64" i="36"/>
  <c r="AT105" i="34" s="1"/>
  <c r="AT32" i="34"/>
  <c r="AT50" i="34"/>
  <c r="AO180" i="34"/>
  <c r="AO25" i="34"/>
  <c r="AO164" i="34"/>
  <c r="AO73" i="36"/>
  <c r="AO114" i="34" s="1"/>
  <c r="AO43" i="34"/>
  <c r="AO57" i="36"/>
  <c r="AO98" i="34" s="1"/>
  <c r="AO11" i="34"/>
  <c r="AK169" i="34"/>
  <c r="AK185" i="34"/>
  <c r="AK78" i="36"/>
  <c r="AK119" i="34" s="1"/>
  <c r="AK62" i="36"/>
  <c r="AK103" i="34" s="1"/>
  <c r="AK48" i="34"/>
  <c r="AK30" i="34"/>
  <c r="AK16" i="34"/>
  <c r="AM37" i="34"/>
  <c r="AM5" i="34"/>
  <c r="AM158" i="34"/>
  <c r="AM174" i="34"/>
  <c r="AM51" i="36"/>
  <c r="AM92" i="34" s="1"/>
  <c r="AM19" i="34"/>
  <c r="AM67" i="36"/>
  <c r="AM108" i="34" s="1"/>
  <c r="BJ66" i="36"/>
  <c r="BJ36" i="34"/>
  <c r="BO188" i="34"/>
  <c r="BO33" i="34"/>
  <c r="BO51" i="34"/>
  <c r="BO172" i="34"/>
  <c r="BO65" i="36"/>
  <c r="BO106" i="34" s="1"/>
  <c r="BO81" i="36"/>
  <c r="BO122" i="34" s="1"/>
  <c r="BF188" i="34"/>
  <c r="BF33" i="34"/>
  <c r="BF51" i="34"/>
  <c r="BF172" i="34"/>
  <c r="BF81" i="36"/>
  <c r="BF122" i="34" s="1"/>
  <c r="BF65" i="36"/>
  <c r="BF106" i="34" s="1"/>
  <c r="BK188" i="34"/>
  <c r="BK33" i="34"/>
  <c r="BK51" i="34"/>
  <c r="BK172" i="34"/>
  <c r="BK65" i="36"/>
  <c r="BK106" i="34" s="1"/>
  <c r="BK81" i="36"/>
  <c r="BK122" i="34" s="1"/>
  <c r="BL172" i="34"/>
  <c r="BL51" i="34"/>
  <c r="BL33" i="34"/>
  <c r="BL188" i="34"/>
  <c r="BL81" i="36"/>
  <c r="BL122" i="34" s="1"/>
  <c r="BL65" i="36"/>
  <c r="BL106" i="34" s="1"/>
  <c r="AL171" i="34"/>
  <c r="AL187" i="34"/>
  <c r="AL80" i="36"/>
  <c r="AL121" i="34" s="1"/>
  <c r="AL64" i="36"/>
  <c r="AL105" i="34" s="1"/>
  <c r="AL50" i="34"/>
  <c r="AL32" i="34"/>
  <c r="BK171" i="34"/>
  <c r="BK187" i="34"/>
  <c r="BK64" i="36"/>
  <c r="BK105" i="34" s="1"/>
  <c r="BK80" i="36"/>
  <c r="BK121" i="34" s="1"/>
  <c r="BK32" i="34"/>
  <c r="BK50" i="34"/>
  <c r="AM187" i="34"/>
  <c r="AM171" i="34"/>
  <c r="AM64" i="36"/>
  <c r="AM105" i="34" s="1"/>
  <c r="AM80" i="36"/>
  <c r="AM121" i="34" s="1"/>
  <c r="AM50" i="34"/>
  <c r="AM32" i="34"/>
  <c r="BP187" i="34"/>
  <c r="BP171" i="34"/>
  <c r="BP80" i="36"/>
  <c r="BP121" i="34" s="1"/>
  <c r="BP64" i="36"/>
  <c r="BP105" i="34" s="1"/>
  <c r="BP32" i="34"/>
  <c r="BP50" i="34"/>
  <c r="AL159" i="34"/>
  <c r="AL175" i="34"/>
  <c r="AL20" i="34"/>
  <c r="AL38" i="34"/>
  <c r="AL6" i="34"/>
  <c r="AL68" i="36"/>
  <c r="AL109" i="34" s="1"/>
  <c r="AL52" i="36"/>
  <c r="AL93" i="34" s="1"/>
  <c r="AN43" i="34"/>
  <c r="AN25" i="34"/>
  <c r="AN11" i="34"/>
  <c r="AL6" i="45" s="1"/>
  <c r="AN180" i="34"/>
  <c r="AN57" i="36"/>
  <c r="AN98" i="34" s="1"/>
  <c r="AN164" i="34"/>
  <c r="AN73" i="36"/>
  <c r="AN114" i="34" s="1"/>
  <c r="BJ187" i="34"/>
  <c r="BJ171" i="34"/>
  <c r="BJ64" i="36"/>
  <c r="BJ105" i="34" s="1"/>
  <c r="BJ80" i="36"/>
  <c r="BJ121" i="34" s="1"/>
  <c r="BJ32" i="34"/>
  <c r="BJ50" i="34"/>
  <c r="BI187" i="34"/>
  <c r="BI171" i="34"/>
  <c r="BI80" i="36"/>
  <c r="BI121" i="34" s="1"/>
  <c r="BI64" i="36"/>
  <c r="BI105" i="34" s="1"/>
  <c r="BI32" i="34"/>
  <c r="BI50" i="34"/>
  <c r="AY188" i="34"/>
  <c r="AY33" i="34"/>
  <c r="AY51" i="34"/>
  <c r="AY172" i="34"/>
  <c r="AY65" i="36"/>
  <c r="AY106" i="34" s="1"/>
  <c r="AY81" i="36"/>
  <c r="AY122" i="34" s="1"/>
  <c r="BB188" i="34"/>
  <c r="BB33" i="34"/>
  <c r="BB51" i="34"/>
  <c r="BB172" i="34"/>
  <c r="BB65" i="36"/>
  <c r="BB106" i="34" s="1"/>
  <c r="BB81" i="36"/>
  <c r="BB122" i="34" s="1"/>
  <c r="BG188" i="34"/>
  <c r="BG33" i="34"/>
  <c r="BG51" i="34"/>
  <c r="BG172" i="34"/>
  <c r="BG81" i="36"/>
  <c r="BG122" i="34" s="1"/>
  <c r="BG65" i="36"/>
  <c r="BG106" i="34" s="1"/>
  <c r="AW188" i="34"/>
  <c r="AW33" i="34"/>
  <c r="AW51" i="34"/>
  <c r="AW172" i="34"/>
  <c r="AW65" i="36"/>
  <c r="AW106" i="34" s="1"/>
  <c r="AW81" i="36"/>
  <c r="AW122" i="34" s="1"/>
  <c r="AP172" i="34"/>
  <c r="AP33" i="34"/>
  <c r="AP51" i="34"/>
  <c r="AP188" i="34"/>
  <c r="AP81" i="36"/>
  <c r="AP122" i="34" s="1"/>
  <c r="AP65" i="36"/>
  <c r="AP106" i="34" s="1"/>
  <c r="AQ185" i="34"/>
  <c r="AQ169" i="34"/>
  <c r="AQ62" i="36"/>
  <c r="AQ103" i="34" s="1"/>
  <c r="AQ78" i="36"/>
  <c r="AQ119" i="34" s="1"/>
  <c r="AQ30" i="34"/>
  <c r="AQ16" i="34"/>
  <c r="AQ48" i="34"/>
  <c r="AS169" i="34"/>
  <c r="AS185" i="34"/>
  <c r="AS78" i="36"/>
  <c r="AS119" i="34" s="1"/>
  <c r="AS62" i="36"/>
  <c r="AS103" i="34" s="1"/>
  <c r="AS16" i="34"/>
  <c r="AS30" i="34"/>
  <c r="AS48" i="34"/>
  <c r="AU187" i="34"/>
  <c r="AU171" i="34"/>
  <c r="AU80" i="36"/>
  <c r="AU121" i="34" s="1"/>
  <c r="AU64" i="36"/>
  <c r="AU105" i="34" s="1"/>
  <c r="AU50" i="34"/>
  <c r="AU32" i="34"/>
  <c r="BG187" i="34"/>
  <c r="BG171" i="34"/>
  <c r="BG80" i="36"/>
  <c r="BG121" i="34" s="1"/>
  <c r="BG64" i="36"/>
  <c r="BG105" i="34" s="1"/>
  <c r="BG50" i="34"/>
  <c r="BG32" i="34"/>
  <c r="BN171" i="34"/>
  <c r="BN187" i="34"/>
  <c r="BN64" i="36"/>
  <c r="BN105" i="34" s="1"/>
  <c r="BN80" i="36"/>
  <c r="BN121" i="34" s="1"/>
  <c r="BN32" i="34"/>
  <c r="BN50" i="34"/>
  <c r="AV187" i="34"/>
  <c r="AV171" i="34"/>
  <c r="AV64" i="36"/>
  <c r="AV105" i="34" s="1"/>
  <c r="AV80" i="36"/>
  <c r="AV121" i="34" s="1"/>
  <c r="AV50" i="34"/>
  <c r="AV32" i="34"/>
  <c r="AT169" i="34"/>
  <c r="AT185" i="34"/>
  <c r="AT78" i="36"/>
  <c r="AT119" i="34" s="1"/>
  <c r="AT62" i="36"/>
  <c r="AT103" i="34" s="1"/>
  <c r="AT16" i="34"/>
  <c r="AT48" i="34"/>
  <c r="AT30" i="34"/>
  <c r="AJ50" i="36"/>
  <c r="AJ173" i="34"/>
  <c r="AJ157" i="34"/>
  <c r="AJ66" i="36"/>
  <c r="AJ4" i="34"/>
  <c r="AJ18" i="34"/>
  <c r="AJ36" i="34"/>
  <c r="BJ175" i="34"/>
  <c r="BJ159" i="34"/>
  <c r="BJ38" i="34"/>
  <c r="BJ20" i="34"/>
  <c r="BJ6" i="34"/>
  <c r="BJ68" i="36"/>
  <c r="BJ109" i="34" s="1"/>
  <c r="BJ52" i="36"/>
  <c r="BJ93" i="34" s="1"/>
  <c r="BG50" i="36"/>
  <c r="BG173" i="34"/>
  <c r="BG157" i="34"/>
  <c r="BG4" i="34"/>
  <c r="BG66" i="36"/>
  <c r="BG36" i="34"/>
  <c r="BG18" i="34"/>
  <c r="AP185" i="34"/>
  <c r="AP169" i="34"/>
  <c r="AP78" i="36"/>
  <c r="AP119" i="34" s="1"/>
  <c r="AP62" i="36"/>
  <c r="AP103" i="34" s="1"/>
  <c r="AP30" i="34"/>
  <c r="AP16" i="34"/>
  <c r="AP48" i="34"/>
  <c r="AX50" i="36"/>
  <c r="AX66" i="36"/>
  <c r="AX173" i="34"/>
  <c r="AX157" i="34"/>
  <c r="AX18" i="34"/>
  <c r="AX4" i="34"/>
  <c r="AX36" i="34"/>
  <c r="AL180" i="34"/>
  <c r="AL25" i="34"/>
  <c r="AL164" i="34"/>
  <c r="AL43" i="34"/>
  <c r="AJ21" i="45" s="1"/>
  <c r="AL11" i="34"/>
  <c r="AL57" i="36"/>
  <c r="AL98" i="34" s="1"/>
  <c r="AL73" i="36"/>
  <c r="AL114" i="34" s="1"/>
  <c r="BA187" i="34"/>
  <c r="BA171" i="34"/>
  <c r="BA64" i="36"/>
  <c r="BA105" i="34" s="1"/>
  <c r="BA80" i="36"/>
  <c r="BA121" i="34" s="1"/>
  <c r="BA32" i="34"/>
  <c r="BA50" i="34"/>
  <c r="AK187" i="34"/>
  <c r="AK171" i="34"/>
  <c r="AK64" i="36"/>
  <c r="AK105" i="34" s="1"/>
  <c r="AK80" i="36"/>
  <c r="AK121" i="34" s="1"/>
  <c r="AK50" i="34"/>
  <c r="AK32" i="34"/>
  <c r="AM172" i="34"/>
  <c r="AM33" i="34"/>
  <c r="AM51" i="34"/>
  <c r="AM188" i="34"/>
  <c r="AM65" i="36"/>
  <c r="AM106" i="34" s="1"/>
  <c r="AM81" i="36"/>
  <c r="AM122" i="34" s="1"/>
  <c r="AV188" i="34"/>
  <c r="AV172" i="34"/>
  <c r="AV33" i="34"/>
  <c r="AV81" i="36"/>
  <c r="AV122" i="34" s="1"/>
  <c r="AV65" i="36"/>
  <c r="AV106" i="34" s="1"/>
  <c r="AV51" i="34"/>
  <c r="AS188" i="34"/>
  <c r="AS33" i="34"/>
  <c r="AS51" i="34"/>
  <c r="AS172" i="34"/>
  <c r="AS65" i="36"/>
  <c r="AS106" i="34" s="1"/>
  <c r="AS81" i="36"/>
  <c r="AS122" i="34" s="1"/>
  <c r="BE172" i="34"/>
  <c r="BE33" i="34"/>
  <c r="BE51" i="34"/>
  <c r="BE188" i="34"/>
  <c r="BE65" i="36"/>
  <c r="BE106" i="34" s="1"/>
  <c r="BE81" i="36"/>
  <c r="BE122" i="34" s="1"/>
  <c r="AQ187" i="34"/>
  <c r="AQ171" i="34"/>
  <c r="AQ80" i="36"/>
  <c r="AQ121" i="34" s="1"/>
  <c r="AQ64" i="36"/>
  <c r="AQ105" i="34" s="1"/>
  <c r="AQ50" i="34"/>
  <c r="AQ32" i="34"/>
  <c r="BM171" i="34"/>
  <c r="BM187" i="34"/>
  <c r="BM64" i="36"/>
  <c r="BM105" i="34" s="1"/>
  <c r="BM80" i="36"/>
  <c r="BM121" i="34" s="1"/>
  <c r="BM50" i="34"/>
  <c r="BM32" i="34"/>
  <c r="AY171" i="34"/>
  <c r="AY187" i="34"/>
  <c r="AY80" i="36"/>
  <c r="AY121" i="34" s="1"/>
  <c r="AY64" i="36"/>
  <c r="AY105" i="34" s="1"/>
  <c r="AY32" i="34"/>
  <c r="AY50" i="34"/>
  <c r="BF171" i="34"/>
  <c r="BF187" i="34"/>
  <c r="BF80" i="36"/>
  <c r="BF121" i="34" s="1"/>
  <c r="BF64" i="36"/>
  <c r="BF105" i="34" s="1"/>
  <c r="BF50" i="34"/>
  <c r="BF32" i="34"/>
  <c r="AJ185" i="34"/>
  <c r="AJ169" i="34"/>
  <c r="AJ78" i="36"/>
  <c r="AJ119" i="34" s="1"/>
  <c r="AJ62" i="36"/>
  <c r="AJ103" i="34" s="1"/>
  <c r="AJ48" i="34"/>
  <c r="AJ16" i="34"/>
  <c r="AJ30" i="34"/>
  <c r="AM185" i="34"/>
  <c r="AM169" i="34"/>
  <c r="AM78" i="36"/>
  <c r="AM119" i="34" s="1"/>
  <c r="AM62" i="36"/>
  <c r="AM103" i="34" s="1"/>
  <c r="AM30" i="34"/>
  <c r="AM16" i="34"/>
  <c r="AM48" i="34"/>
  <c r="AQ50" i="36"/>
  <c r="AQ66" i="36"/>
  <c r="AQ157" i="34"/>
  <c r="AQ173" i="34"/>
  <c r="AQ18" i="34"/>
  <c r="AQ36" i="34"/>
  <c r="AQ4" i="34"/>
  <c r="AR11" i="34"/>
  <c r="AR180" i="34"/>
  <c r="AR25" i="34"/>
  <c r="AR43" i="34"/>
  <c r="AR164" i="34"/>
  <c r="AR57" i="36"/>
  <c r="AR98" i="34" s="1"/>
  <c r="AR73" i="36"/>
  <c r="AR114" i="34" s="1"/>
  <c r="AX172" i="34"/>
  <c r="AX33" i="34"/>
  <c r="AX51" i="34"/>
  <c r="AX188" i="34"/>
  <c r="AX81" i="36"/>
  <c r="AX122" i="34" s="1"/>
  <c r="AX65" i="36"/>
  <c r="AX106" i="34" s="1"/>
  <c r="BC188" i="34"/>
  <c r="BC33" i="34"/>
  <c r="BC51" i="34"/>
  <c r="BC65" i="36"/>
  <c r="BC106" i="34" s="1"/>
  <c r="BC172" i="34"/>
  <c r="BC81" i="36"/>
  <c r="BC122" i="34" s="1"/>
  <c r="AZ188" i="34"/>
  <c r="AZ172" i="34"/>
  <c r="AZ33" i="34"/>
  <c r="AZ51" i="34"/>
  <c r="AZ65" i="36"/>
  <c r="AZ106" i="34" s="1"/>
  <c r="AZ81" i="36"/>
  <c r="AZ122" i="34" s="1"/>
  <c r="BM188" i="34"/>
  <c r="BM33" i="34"/>
  <c r="BM51" i="34"/>
  <c r="BM172" i="34"/>
  <c r="BM65" i="36"/>
  <c r="BM106" i="34" s="1"/>
  <c r="BM81" i="36"/>
  <c r="BM122" i="34" s="1"/>
  <c r="AM50" i="36"/>
  <c r="AM66" i="36"/>
  <c r="AM173" i="34"/>
  <c r="AM4" i="34"/>
  <c r="AM157" i="34"/>
  <c r="AM18" i="34"/>
  <c r="AM36" i="34"/>
  <c r="AJ19" i="34"/>
  <c r="AJ37" i="34"/>
  <c r="AJ174" i="34"/>
  <c r="AJ158" i="34"/>
  <c r="AJ5" i="34"/>
  <c r="AJ67" i="36"/>
  <c r="AJ108" i="34" s="1"/>
  <c r="AJ51" i="36"/>
  <c r="AJ92" i="34" s="1"/>
  <c r="BO50" i="36"/>
  <c r="BO173" i="34"/>
  <c r="BO66" i="36"/>
  <c r="BO18" i="34"/>
  <c r="BO157" i="34"/>
  <c r="BO4" i="34"/>
  <c r="BO36" i="34"/>
  <c r="AS43" i="34"/>
  <c r="AS25" i="34"/>
  <c r="AS11" i="34"/>
  <c r="AS180" i="34"/>
  <c r="AS164" i="34"/>
  <c r="AS73" i="36"/>
  <c r="AS114" i="34" s="1"/>
  <c r="AS57" i="36"/>
  <c r="AS98" i="34" s="1"/>
  <c r="AY50" i="36"/>
  <c r="AY157" i="34"/>
  <c r="AY66" i="36"/>
  <c r="AY18" i="34"/>
  <c r="AY173" i="34"/>
  <c r="AY4" i="34"/>
  <c r="AY36" i="34"/>
  <c r="BG174" i="34"/>
  <c r="BG19" i="34"/>
  <c r="BG158" i="34"/>
  <c r="BG37" i="34"/>
  <c r="BG5" i="34"/>
  <c r="BG51" i="36"/>
  <c r="BG92" i="34" s="1"/>
  <c r="BG67" i="36"/>
  <c r="BG108" i="34" s="1"/>
  <c r="BD172" i="34"/>
  <c r="BD188" i="34"/>
  <c r="BD33" i="34"/>
  <c r="BD51" i="34"/>
  <c r="BD81" i="36"/>
  <c r="BD122" i="34" s="1"/>
  <c r="BD65" i="36"/>
  <c r="BD106" i="34" s="1"/>
  <c r="AU188" i="34"/>
  <c r="AU33" i="34"/>
  <c r="AU51" i="34"/>
  <c r="AU172" i="34"/>
  <c r="AU65" i="36"/>
  <c r="AU106" i="34" s="1"/>
  <c r="AU81" i="36"/>
  <c r="AU122" i="34" s="1"/>
  <c r="AR172" i="34"/>
  <c r="AR188" i="34"/>
  <c r="AR33" i="34"/>
  <c r="AR51" i="34"/>
  <c r="AR65" i="36"/>
  <c r="AR106" i="34" s="1"/>
  <c r="AR81" i="36"/>
  <c r="AR122" i="34" s="1"/>
  <c r="BI172" i="34"/>
  <c r="BI33" i="34"/>
  <c r="BI51" i="34"/>
  <c r="BI188" i="34"/>
  <c r="BI81" i="36"/>
  <c r="BI122" i="34" s="1"/>
  <c r="BI65" i="36"/>
  <c r="BI106" i="34" s="1"/>
  <c r="AJ171" i="34"/>
  <c r="AJ187" i="34"/>
  <c r="AJ64" i="36"/>
  <c r="AJ105" i="34" s="1"/>
  <c r="AJ80" i="36"/>
  <c r="AJ121" i="34" s="1"/>
  <c r="AJ50" i="34"/>
  <c r="AJ32" i="34"/>
  <c r="AZ187" i="34"/>
  <c r="AZ171" i="34"/>
  <c r="AZ64" i="36"/>
  <c r="AZ105" i="34" s="1"/>
  <c r="AZ80" i="36"/>
  <c r="AZ121" i="34" s="1"/>
  <c r="AZ50" i="34"/>
  <c r="AZ32" i="34"/>
  <c r="AP187" i="34"/>
  <c r="AP171" i="34"/>
  <c r="AP80" i="36"/>
  <c r="AP121" i="34" s="1"/>
  <c r="AP64" i="36"/>
  <c r="AP105" i="34" s="1"/>
  <c r="AP50" i="34"/>
  <c r="AP32" i="34"/>
  <c r="BH187" i="34"/>
  <c r="BH171" i="34"/>
  <c r="BH64" i="36"/>
  <c r="BH105" i="34" s="1"/>
  <c r="BH80" i="36"/>
  <c r="BH121" i="34" s="1"/>
  <c r="BH50" i="34"/>
  <c r="BH32" i="34"/>
  <c r="AX20" i="34"/>
  <c r="AX159" i="34"/>
  <c r="AX175" i="34"/>
  <c r="AX38" i="34"/>
  <c r="AX6" i="34"/>
  <c r="AX52" i="36"/>
  <c r="AX93" i="34" s="1"/>
  <c r="AX68" i="36"/>
  <c r="AX109" i="34" s="1"/>
  <c r="AW187" i="34"/>
  <c r="AW171" i="34"/>
  <c r="AW64" i="36"/>
  <c r="AW105" i="34" s="1"/>
  <c r="AW80" i="36"/>
  <c r="AW121" i="34" s="1"/>
  <c r="AW32" i="34"/>
  <c r="AW50" i="34"/>
  <c r="AS171" i="34"/>
  <c r="AS187" i="34"/>
  <c r="AS64" i="36"/>
  <c r="AS105" i="34" s="1"/>
  <c r="AS80" i="36"/>
  <c r="AS121" i="34" s="1"/>
  <c r="AS32" i="34"/>
  <c r="AS50" i="34"/>
  <c r="BA188" i="34"/>
  <c r="BA33" i="34"/>
  <c r="BA51" i="34"/>
  <c r="BA172" i="34"/>
  <c r="BA65" i="36"/>
  <c r="BA106" i="34" s="1"/>
  <c r="BA81" i="36"/>
  <c r="BA122" i="34" s="1"/>
  <c r="AQ172" i="34"/>
  <c r="AQ33" i="34"/>
  <c r="AQ51" i="34"/>
  <c r="AQ188" i="34"/>
  <c r="AQ81" i="36"/>
  <c r="AQ122" i="34" s="1"/>
  <c r="AQ65" i="36"/>
  <c r="AQ106" i="34" s="1"/>
  <c r="AK51" i="34"/>
  <c r="AK172" i="34"/>
  <c r="AK188" i="34"/>
  <c r="AK33" i="34"/>
  <c r="AK81" i="36"/>
  <c r="AK122" i="34" s="1"/>
  <c r="AK65" i="36"/>
  <c r="AK106" i="34" s="1"/>
  <c r="AN51" i="34"/>
  <c r="AN188" i="34"/>
  <c r="AN172" i="34"/>
  <c r="AN33" i="34"/>
  <c r="AN65" i="36"/>
  <c r="AN106" i="34" s="1"/>
  <c r="AN81" i="36"/>
  <c r="AN122" i="34" s="1"/>
  <c r="AU169" i="34"/>
  <c r="AU185" i="34"/>
  <c r="AU78" i="36"/>
  <c r="AU119" i="34" s="1"/>
  <c r="AU62" i="36"/>
  <c r="AU103" i="34" s="1"/>
  <c r="AU48" i="34"/>
  <c r="AU16" i="34"/>
  <c r="AU30" i="34"/>
  <c r="AV169" i="34"/>
  <c r="AV185" i="34"/>
  <c r="AV62" i="36"/>
  <c r="AV103" i="34" s="1"/>
  <c r="AV78" i="36"/>
  <c r="AV119" i="34" s="1"/>
  <c r="AV30" i="34"/>
  <c r="AV48" i="34"/>
  <c r="AV16" i="34"/>
  <c r="AN185" i="34"/>
  <c r="AN169" i="34"/>
  <c r="AN78" i="36"/>
  <c r="AN119" i="34" s="1"/>
  <c r="AN62" i="36"/>
  <c r="AN103" i="34" s="1"/>
  <c r="AN48" i="34"/>
  <c r="AN30" i="34"/>
  <c r="AN16" i="34"/>
  <c r="AV43" i="34"/>
  <c r="AV25" i="34"/>
  <c r="AV180" i="34"/>
  <c r="AV164" i="34"/>
  <c r="AV11" i="34"/>
  <c r="AV57" i="36"/>
  <c r="AV98" i="34" s="1"/>
  <c r="AV73" i="36"/>
  <c r="AV114" i="34" s="1"/>
  <c r="AQ11" i="34"/>
  <c r="AQ180" i="34"/>
  <c r="AQ25" i="34"/>
  <c r="AQ43" i="34"/>
  <c r="AQ164" i="34"/>
  <c r="AQ57" i="36"/>
  <c r="AQ98" i="34" s="1"/>
  <c r="AQ73" i="36"/>
  <c r="AQ114" i="34" s="1"/>
  <c r="AZ50" i="36"/>
  <c r="AZ173" i="34"/>
  <c r="AZ157" i="34"/>
  <c r="AZ66" i="36"/>
  <c r="AZ36" i="34"/>
  <c r="AZ4" i="34"/>
  <c r="AZ18" i="34"/>
  <c r="AT188" i="34"/>
  <c r="AT33" i="34"/>
  <c r="AT51" i="34"/>
  <c r="AT172" i="34"/>
  <c r="AT65" i="36"/>
  <c r="AT106" i="34" s="1"/>
  <c r="AT81" i="36"/>
  <c r="AT122" i="34" s="1"/>
  <c r="BB50" i="36"/>
  <c r="BB173" i="34"/>
  <c r="BB66" i="36"/>
  <c r="BB157" i="34"/>
  <c r="BB18" i="34"/>
  <c r="BB4" i="34"/>
  <c r="BB36" i="34"/>
  <c r="AQ175" i="34"/>
  <c r="AQ20" i="34"/>
  <c r="AQ38" i="34"/>
  <c r="AQ159" i="34"/>
  <c r="AQ6" i="34"/>
  <c r="AQ68" i="36"/>
  <c r="AQ109" i="34" s="1"/>
  <c r="AQ52" i="36"/>
  <c r="AQ93" i="34" s="1"/>
  <c r="BC187" i="34"/>
  <c r="BC171" i="34"/>
  <c r="BC80" i="36"/>
  <c r="BC121" i="34" s="1"/>
  <c r="BC64" i="36"/>
  <c r="BC105" i="34" s="1"/>
  <c r="BC50" i="34"/>
  <c r="BC32" i="34"/>
  <c r="BB171" i="34"/>
  <c r="BB187" i="34"/>
  <c r="BB64" i="36"/>
  <c r="BB105" i="34" s="1"/>
  <c r="BB80" i="36"/>
  <c r="BB121" i="34" s="1"/>
  <c r="BB50" i="34"/>
  <c r="BB32" i="34"/>
  <c r="AR187" i="34"/>
  <c r="AR171" i="34"/>
  <c r="AR80" i="36"/>
  <c r="AR121" i="34" s="1"/>
  <c r="AR64" i="36"/>
  <c r="AR105" i="34" s="1"/>
  <c r="AR32" i="34"/>
  <c r="AR50" i="34"/>
  <c r="BO171" i="34"/>
  <c r="BO187" i="34"/>
  <c r="BO64" i="36"/>
  <c r="BO105" i="34" s="1"/>
  <c r="BO80" i="36"/>
  <c r="BO121" i="34" s="1"/>
  <c r="BO32" i="34"/>
  <c r="BO50" i="34"/>
  <c r="AO169" i="34"/>
  <c r="AO185" i="34"/>
  <c r="AO78" i="36"/>
  <c r="AO119" i="34" s="1"/>
  <c r="AO62" i="36"/>
  <c r="AO103" i="34" s="1"/>
  <c r="AO16" i="34"/>
  <c r="AO30" i="34"/>
  <c r="AO48" i="34"/>
  <c r="AM20" i="34"/>
  <c r="AM175" i="34"/>
  <c r="AM38" i="34"/>
  <c r="AM6" i="34"/>
  <c r="AM159" i="34"/>
  <c r="AM52" i="36"/>
  <c r="AM93" i="34" s="1"/>
  <c r="AM68" i="36"/>
  <c r="AM109" i="34" s="1"/>
  <c r="AJ38" i="34"/>
  <c r="AJ20" i="34"/>
  <c r="AJ175" i="34"/>
  <c r="AJ159" i="34"/>
  <c r="AJ6" i="34"/>
  <c r="AJ52" i="36"/>
  <c r="AJ93" i="34" s="1"/>
  <c r="AJ68" i="36"/>
  <c r="AJ109" i="34" s="1"/>
  <c r="AP43" i="34"/>
  <c r="AP25" i="34"/>
  <c r="AP11" i="34"/>
  <c r="AP180" i="34"/>
  <c r="AP57" i="36"/>
  <c r="AP98" i="34" s="1"/>
  <c r="AP164" i="34"/>
  <c r="AP73" i="36"/>
  <c r="AP114" i="34" s="1"/>
  <c r="BG175" i="34"/>
  <c r="BG20" i="34"/>
  <c r="BG38" i="34"/>
  <c r="BG159" i="34"/>
  <c r="BG6" i="34"/>
  <c r="BG68" i="36"/>
  <c r="BG109" i="34" s="1"/>
  <c r="BG52" i="36"/>
  <c r="BG93" i="34" s="1"/>
  <c r="AL169" i="34"/>
  <c r="AL185" i="34"/>
  <c r="AL78" i="36"/>
  <c r="AL119" i="34" s="1"/>
  <c r="AL62" i="36"/>
  <c r="AL103" i="34" s="1"/>
  <c r="AL30" i="34"/>
  <c r="AL48" i="34"/>
  <c r="AL16" i="34"/>
  <c r="AL18" i="34"/>
  <c r="AM11" i="34"/>
  <c r="AM43" i="34"/>
  <c r="AM25" i="34"/>
  <c r="AK13" i="45" s="1"/>
  <c r="AM180" i="34"/>
  <c r="AM164" i="34"/>
  <c r="AM73" i="36"/>
  <c r="AM114" i="34" s="1"/>
  <c r="AM57" i="36"/>
  <c r="AM98" i="34" s="1"/>
  <c r="AJ180" i="34"/>
  <c r="AJ11" i="34"/>
  <c r="AJ43" i="34"/>
  <c r="AJ164" i="34"/>
  <c r="AJ57" i="36"/>
  <c r="AJ98" i="34" s="1"/>
  <c r="AJ25" i="34"/>
  <c r="AJ73" i="36"/>
  <c r="AJ114" i="34" s="1"/>
  <c r="AM21" i="45" l="1"/>
  <c r="BC4" i="34"/>
  <c r="BM68" i="36"/>
  <c r="BM109" i="34" s="1"/>
  <c r="AO13" i="45"/>
  <c r="BP157" i="34"/>
  <c r="I37" i="46"/>
  <c r="AR28" i="50" s="1"/>
  <c r="AQ41" i="36"/>
  <c r="AP82" i="36"/>
  <c r="AU180" i="34"/>
  <c r="AH6" i="45"/>
  <c r="AO6" i="45"/>
  <c r="AT164" i="34"/>
  <c r="AU73" i="36"/>
  <c r="AU114" i="34" s="1"/>
  <c r="AI6" i="45"/>
  <c r="AU57" i="36"/>
  <c r="AU98" i="34" s="1"/>
  <c r="AU11" i="34"/>
  <c r="AS6" i="45" s="1"/>
  <c r="AL50" i="36"/>
  <c r="AL91" i="34" s="1"/>
  <c r="BJ4" i="34"/>
  <c r="BJ173" i="34"/>
  <c r="BK18" i="34"/>
  <c r="BA159" i="34"/>
  <c r="AY20" i="34"/>
  <c r="BJ18" i="34"/>
  <c r="BJ50" i="36"/>
  <c r="BJ91" i="34" s="1"/>
  <c r="AL51" i="36"/>
  <c r="AL92" i="34" s="1"/>
  <c r="AY38" i="34"/>
  <c r="BJ157" i="34"/>
  <c r="AL19" i="34"/>
  <c r="AH13" i="45"/>
  <c r="AU25" i="34"/>
  <c r="AS13" i="45" s="1"/>
  <c r="AH21" i="45"/>
  <c r="AU164" i="34"/>
  <c r="BC66" i="36"/>
  <c r="AY175" i="34"/>
  <c r="AW24" i="34"/>
  <c r="AW10" i="34"/>
  <c r="AR20" i="34"/>
  <c r="AL36" i="34"/>
  <c r="AL173" i="34"/>
  <c r="AJ6" i="45"/>
  <c r="AY52" i="36"/>
  <c r="AY93" i="34" s="1"/>
  <c r="AY159" i="34"/>
  <c r="AL174" i="34"/>
  <c r="AW72" i="36"/>
  <c r="AW113" i="34" s="1"/>
  <c r="AW42" i="34"/>
  <c r="AL66" i="36"/>
  <c r="AL107" i="34" s="1"/>
  <c r="AL13" i="45"/>
  <c r="AL5" i="34"/>
  <c r="AL158" i="34"/>
  <c r="AL4" i="34"/>
  <c r="AL157" i="34"/>
  <c r="AK36" i="34"/>
  <c r="AU52" i="36"/>
  <c r="AU93" i="34" s="1"/>
  <c r="AY68" i="36"/>
  <c r="AY109" i="34" s="1"/>
  <c r="AM13" i="45"/>
  <c r="AL67" i="36"/>
  <c r="AL108" i="34" s="1"/>
  <c r="AS21" i="45"/>
  <c r="AT57" i="36"/>
  <c r="AT98" i="34" s="1"/>
  <c r="AT43" i="34"/>
  <c r="AR21" i="45" s="1"/>
  <c r="AK68" i="36"/>
  <c r="AK109" i="34" s="1"/>
  <c r="AW4" i="36"/>
  <c r="AW12" i="36"/>
  <c r="AR66" i="36"/>
  <c r="AR107" i="34" s="1"/>
  <c r="AT73" i="36"/>
  <c r="AT114" i="34" s="1"/>
  <c r="AT25" i="34"/>
  <c r="AR13" i="45" s="1"/>
  <c r="AL21" i="45"/>
  <c r="AM6" i="45"/>
  <c r="AT11" i="34"/>
  <c r="AR6" i="45" s="1"/>
  <c r="AU175" i="34"/>
  <c r="BN157" i="34"/>
  <c r="AV6" i="34"/>
  <c r="AK6" i="45"/>
  <c r="AN6" i="45"/>
  <c r="BF20" i="34"/>
  <c r="AO20" i="34"/>
  <c r="AO18" i="34"/>
  <c r="AU18" i="34"/>
  <c r="AK6" i="34"/>
  <c r="BF18" i="34"/>
  <c r="AK21" i="45"/>
  <c r="AK66" i="36"/>
  <c r="AK107" i="34" s="1"/>
  <c r="AR175" i="34"/>
  <c r="AN13" i="45"/>
  <c r="AO21" i="45"/>
  <c r="AR36" i="34"/>
  <c r="AQ21" i="45"/>
  <c r="AO38" i="34"/>
  <c r="AS175" i="34"/>
  <c r="AO157" i="34"/>
  <c r="AU50" i="36"/>
  <c r="AU91" i="34" s="1"/>
  <c r="BF66" i="36"/>
  <c r="BF107" i="34" s="1"/>
  <c r="BN175" i="34"/>
  <c r="AZ52" i="36"/>
  <c r="AZ93" i="34" s="1"/>
  <c r="AP13" i="45"/>
  <c r="BI173" i="34"/>
  <c r="AZ38" i="34"/>
  <c r="BO52" i="36"/>
  <c r="BO93" i="34" s="1"/>
  <c r="AZ159" i="34"/>
  <c r="BO38" i="34"/>
  <c r="BO175" i="34"/>
  <c r="BH50" i="36"/>
  <c r="BH91" i="34" s="1"/>
  <c r="AR173" i="34"/>
  <c r="BF38" i="34"/>
  <c r="AU173" i="34"/>
  <c r="AO175" i="34"/>
  <c r="AK20" i="34"/>
  <c r="AK159" i="34"/>
  <c r="AN21" i="45"/>
  <c r="BN159" i="34"/>
  <c r="AR18" i="34"/>
  <c r="AR50" i="36"/>
  <c r="AR91" i="34" s="1"/>
  <c r="AO68" i="36"/>
  <c r="AO109" i="34" s="1"/>
  <c r="AO159" i="34"/>
  <c r="AZ68" i="36"/>
  <c r="AZ109" i="34" s="1"/>
  <c r="AZ20" i="34"/>
  <c r="AU4" i="34"/>
  <c r="AU157" i="34"/>
  <c r="AK175" i="34"/>
  <c r="BO68" i="36"/>
  <c r="BO109" i="34" s="1"/>
  <c r="BO20" i="34"/>
  <c r="AS159" i="34"/>
  <c r="AR4" i="34"/>
  <c r="BP20" i="34"/>
  <c r="AR157" i="34"/>
  <c r="AO52" i="36"/>
  <c r="AO93" i="34" s="1"/>
  <c r="AJ13" i="45"/>
  <c r="AZ6" i="34"/>
  <c r="AU36" i="34"/>
  <c r="AU66" i="36"/>
  <c r="AU107" i="34" s="1"/>
  <c r="BH157" i="34"/>
  <c r="AK52" i="36"/>
  <c r="AK93" i="34" s="1"/>
  <c r="BO6" i="34"/>
  <c r="BM52" i="36"/>
  <c r="BM93" i="34" s="1"/>
  <c r="BC157" i="34"/>
  <c r="BP4" i="34"/>
  <c r="BA20" i="34"/>
  <c r="BM159" i="34"/>
  <c r="BL18" i="34"/>
  <c r="BE52" i="36"/>
  <c r="BE93" i="34" s="1"/>
  <c r="BP50" i="36"/>
  <c r="BP91" i="34" s="1"/>
  <c r="BM20" i="34"/>
  <c r="BI38" i="34"/>
  <c r="BE20" i="34"/>
  <c r="BM6" i="34"/>
  <c r="BM38" i="34"/>
  <c r="BL157" i="34"/>
  <c r="BE175" i="34"/>
  <c r="BP173" i="34"/>
  <c r="AW52" i="36"/>
  <c r="AW93" i="34" s="1"/>
  <c r="BA38" i="34"/>
  <c r="BK36" i="34"/>
  <c r="BI20" i="34"/>
  <c r="BE68" i="36"/>
  <c r="BE109" i="34" s="1"/>
  <c r="BE6" i="34"/>
  <c r="BP18" i="34"/>
  <c r="BA52" i="36"/>
  <c r="BA93" i="34" s="1"/>
  <c r="BK4" i="34"/>
  <c r="AK43" i="34"/>
  <c r="AI21" i="45" s="1"/>
  <c r="BK66" i="36"/>
  <c r="BK107" i="34" s="1"/>
  <c r="AK25" i="34"/>
  <c r="AI13" i="45" s="1"/>
  <c r="AK180" i="34"/>
  <c r="AK57" i="36"/>
  <c r="AK98" i="34" s="1"/>
  <c r="AK164" i="34"/>
  <c r="AK73" i="36"/>
  <c r="AK114" i="34" s="1"/>
  <c r="AP6" i="45"/>
  <c r="AP21" i="45"/>
  <c r="AI52" i="34"/>
  <c r="AI34" i="34"/>
  <c r="AD35" i="34"/>
  <c r="AD53" i="34"/>
  <c r="AH6" i="36"/>
  <c r="AH66" i="36"/>
  <c r="AH107" i="34" s="1"/>
  <c r="AH50" i="36"/>
  <c r="AH91" i="34" s="1"/>
  <c r="AH18" i="34"/>
  <c r="AH157" i="34"/>
  <c r="AH4" i="34"/>
  <c r="AH173" i="34"/>
  <c r="AH36" i="34"/>
  <c r="AG67" i="36"/>
  <c r="AG108" i="34" s="1"/>
  <c r="AG51" i="36"/>
  <c r="AG92" i="34" s="1"/>
  <c r="AG37" i="34"/>
  <c r="AG19" i="34"/>
  <c r="AG5" i="34"/>
  <c r="AG174" i="34"/>
  <c r="AG158" i="34"/>
  <c r="AE53" i="34"/>
  <c r="AE35" i="34"/>
  <c r="AW173" i="34"/>
  <c r="BE50" i="36"/>
  <c r="BE91" i="34" s="1"/>
  <c r="BA4" i="34"/>
  <c r="AI37" i="34"/>
  <c r="AI51" i="36"/>
  <c r="AI92" i="34" s="1"/>
  <c r="AI67" i="36"/>
  <c r="AI108" i="34" s="1"/>
  <c r="AI158" i="34"/>
  <c r="AI19" i="34"/>
  <c r="AI5" i="34"/>
  <c r="AI174" i="34"/>
  <c r="AG35" i="34"/>
  <c r="AG53" i="34"/>
  <c r="AG68" i="36"/>
  <c r="AG109" i="34" s="1"/>
  <c r="AG52" i="36"/>
  <c r="AG93" i="34" s="1"/>
  <c r="AG20" i="34"/>
  <c r="AG159" i="34"/>
  <c r="AG6" i="34"/>
  <c r="AG175" i="34"/>
  <c r="AG38" i="34"/>
  <c r="AE34" i="34"/>
  <c r="AE52" i="34"/>
  <c r="AD6" i="36"/>
  <c r="Y39" i="50" s="1"/>
  <c r="AD66" i="36"/>
  <c r="AD107" i="34" s="1"/>
  <c r="AD50" i="36"/>
  <c r="AD91" i="34" s="1"/>
  <c r="AD173" i="34"/>
  <c r="AD4" i="34"/>
  <c r="AD157" i="34"/>
  <c r="AD36" i="34"/>
  <c r="AD18" i="34"/>
  <c r="AH35" i="34"/>
  <c r="AH53" i="34"/>
  <c r="BA50" i="36"/>
  <c r="BA91" i="34" s="1"/>
  <c r="AD39" i="50"/>
  <c r="AI38" i="34"/>
  <c r="AI52" i="36"/>
  <c r="AI93" i="34" s="1"/>
  <c r="AI68" i="36"/>
  <c r="AI109" i="34" s="1"/>
  <c r="AI159" i="34"/>
  <c r="AI175" i="34"/>
  <c r="AI20" i="34"/>
  <c r="AI6" i="34"/>
  <c r="AF52" i="34"/>
  <c r="AF34" i="34"/>
  <c r="AE68" i="36"/>
  <c r="AE109" i="34" s="1"/>
  <c r="AE52" i="36"/>
  <c r="AE93" i="34" s="1"/>
  <c r="AE175" i="34"/>
  <c r="AE20" i="34"/>
  <c r="AE6" i="34"/>
  <c r="AE38" i="34"/>
  <c r="AE159" i="34"/>
  <c r="AF6" i="36"/>
  <c r="AF50" i="36"/>
  <c r="AF91" i="34" s="1"/>
  <c r="AF66" i="36"/>
  <c r="AF107" i="34" s="1"/>
  <c r="AF18" i="34"/>
  <c r="AF173" i="34"/>
  <c r="AF4" i="34"/>
  <c r="AF36" i="34"/>
  <c r="AF157" i="34"/>
  <c r="AF35" i="34"/>
  <c r="AF53" i="34"/>
  <c r="AG50" i="36"/>
  <c r="AG91" i="34" s="1"/>
  <c r="AG66" i="36"/>
  <c r="AG107" i="34" s="1"/>
  <c r="AG36" i="34"/>
  <c r="AG4" i="34"/>
  <c r="AG157" i="34"/>
  <c r="AG18" i="34"/>
  <c r="AG173" i="34"/>
  <c r="AD68" i="36"/>
  <c r="AD109" i="34" s="1"/>
  <c r="AD52" i="36"/>
  <c r="AD93" i="34" s="1"/>
  <c r="AD38" i="34"/>
  <c r="AD159" i="34"/>
  <c r="AD20" i="34"/>
  <c r="AD6" i="34"/>
  <c r="AD175" i="34"/>
  <c r="AG52" i="34"/>
  <c r="AG34" i="34"/>
  <c r="AI36" i="34"/>
  <c r="AI50" i="36"/>
  <c r="AI91" i="34" s="1"/>
  <c r="AI66" i="36"/>
  <c r="AI107" i="34" s="1"/>
  <c r="AI157" i="34"/>
  <c r="AI4" i="34"/>
  <c r="AI18" i="34"/>
  <c r="AI173" i="34"/>
  <c r="AE6" i="36"/>
  <c r="AE50" i="36"/>
  <c r="AE91" i="34" s="1"/>
  <c r="AE66" i="36"/>
  <c r="AE107" i="34" s="1"/>
  <c r="AE4" i="34"/>
  <c r="AE157" i="34"/>
  <c r="AE36" i="34"/>
  <c r="AE18" i="34"/>
  <c r="AE173" i="34"/>
  <c r="AF52" i="36"/>
  <c r="AF93" i="34" s="1"/>
  <c r="AF68" i="36"/>
  <c r="AF109" i="34" s="1"/>
  <c r="AF38" i="34"/>
  <c r="AF159" i="34"/>
  <c r="AF20" i="34"/>
  <c r="AF6" i="34"/>
  <c r="AF175" i="34"/>
  <c r="AH52" i="36"/>
  <c r="AH93" i="34" s="1"/>
  <c r="AH68" i="36"/>
  <c r="AH109" i="34" s="1"/>
  <c r="AH20" i="34"/>
  <c r="AH6" i="34"/>
  <c r="AH175" i="34"/>
  <c r="AH38" i="34"/>
  <c r="AH159" i="34"/>
  <c r="AI53" i="34"/>
  <c r="AI35" i="34"/>
  <c r="AH52" i="34"/>
  <c r="AH34" i="34"/>
  <c r="AD34" i="34"/>
  <c r="AD52" i="34"/>
  <c r="AQ6" i="45"/>
  <c r="AQ13" i="45"/>
  <c r="AB39" i="50"/>
  <c r="AR6" i="34"/>
  <c r="AK18" i="34"/>
  <c r="AK157" i="34"/>
  <c r="AU68" i="36"/>
  <c r="AU109" i="34" s="1"/>
  <c r="AU20" i="34"/>
  <c r="BN4" i="34"/>
  <c r="BN36" i="34"/>
  <c r="AO4" i="34"/>
  <c r="AO173" i="34"/>
  <c r="BF157" i="34"/>
  <c r="BF50" i="36"/>
  <c r="BF91" i="34" s="1"/>
  <c r="AV159" i="34"/>
  <c r="AS50" i="36"/>
  <c r="AS91" i="34" s="1"/>
  <c r="AP18" i="34"/>
  <c r="AR52" i="36"/>
  <c r="AR93" i="34" s="1"/>
  <c r="AR159" i="34"/>
  <c r="AP66" i="36"/>
  <c r="AP107" i="34" s="1"/>
  <c r="AK4" i="34"/>
  <c r="AK50" i="36"/>
  <c r="AK91" i="34" s="1"/>
  <c r="AU6" i="34"/>
  <c r="AU159" i="34"/>
  <c r="BH52" i="36"/>
  <c r="BH93" i="34" s="1"/>
  <c r="BN173" i="34"/>
  <c r="BN66" i="36"/>
  <c r="BN107" i="34" s="1"/>
  <c r="AO36" i="34"/>
  <c r="AO50" i="36"/>
  <c r="AO91" i="34" s="1"/>
  <c r="AS66" i="36"/>
  <c r="AS107" i="34" s="1"/>
  <c r="BF36" i="34"/>
  <c r="AV68" i="36"/>
  <c r="AV109" i="34" s="1"/>
  <c r="AV20" i="34"/>
  <c r="AR68" i="36"/>
  <c r="AR109" i="34" s="1"/>
  <c r="AK173" i="34"/>
  <c r="BH175" i="34"/>
  <c r="BN18" i="34"/>
  <c r="BN50" i="36"/>
  <c r="BN91" i="34" s="1"/>
  <c r="AO66" i="36"/>
  <c r="AO107" i="34" s="1"/>
  <c r="BF4" i="34"/>
  <c r="BF173" i="34"/>
  <c r="AV52" i="36"/>
  <c r="AV93" i="34" s="1"/>
  <c r="AV38" i="34"/>
  <c r="AI113" i="34"/>
  <c r="AH113" i="34"/>
  <c r="AG113" i="34"/>
  <c r="AD73" i="36"/>
  <c r="AD114" i="34" s="1"/>
  <c r="AD57" i="36"/>
  <c r="AD98" i="34" s="1"/>
  <c r="AD11" i="34"/>
  <c r="AB6" i="45" s="1"/>
  <c r="AD164" i="34"/>
  <c r="AD43" i="34"/>
  <c r="AB21" i="45" s="1"/>
  <c r="AD25" i="34"/>
  <c r="AB13" i="45" s="1"/>
  <c r="AD180" i="34"/>
  <c r="AI97" i="34"/>
  <c r="AF57" i="36"/>
  <c r="AF98" i="34" s="1"/>
  <c r="AF73" i="36"/>
  <c r="AF114" i="34" s="1"/>
  <c r="AF180" i="34"/>
  <c r="AF43" i="34"/>
  <c r="AD21" i="45" s="1"/>
  <c r="AF25" i="34"/>
  <c r="AD13" i="45" s="1"/>
  <c r="AF11" i="34"/>
  <c r="AD6" i="45" s="1"/>
  <c r="AF164" i="34"/>
  <c r="AH97" i="34"/>
  <c r="AG57" i="36"/>
  <c r="AG98" i="34" s="1"/>
  <c r="AG73" i="36"/>
  <c r="AG114" i="34" s="1"/>
  <c r="AG43" i="34"/>
  <c r="AE21" i="45" s="1"/>
  <c r="AG25" i="34"/>
  <c r="AE13" i="45" s="1"/>
  <c r="AG164" i="34"/>
  <c r="AG11" i="34"/>
  <c r="AE6" i="45" s="1"/>
  <c r="AG180" i="34"/>
  <c r="AE113" i="34"/>
  <c r="AD113" i="34"/>
  <c r="AF113" i="34"/>
  <c r="AE97" i="34"/>
  <c r="AW159" i="34"/>
  <c r="AD97" i="34"/>
  <c r="AI73" i="36"/>
  <c r="AI114" i="34" s="1"/>
  <c r="AI57" i="36"/>
  <c r="AI98" i="34" s="1"/>
  <c r="AI43" i="34"/>
  <c r="AG21" i="45" s="1"/>
  <c r="AI11" i="34"/>
  <c r="AG6" i="45" s="1"/>
  <c r="AI25" i="34"/>
  <c r="AG13" i="45" s="1"/>
  <c r="AI164" i="34"/>
  <c r="AI180" i="34"/>
  <c r="AF97" i="34"/>
  <c r="AH57" i="36"/>
  <c r="AH98" i="34" s="1"/>
  <c r="AH73" i="36"/>
  <c r="AH114" i="34" s="1"/>
  <c r="AH43" i="34"/>
  <c r="AF21" i="45" s="1"/>
  <c r="AH11" i="34"/>
  <c r="AF6" i="45" s="1"/>
  <c r="AH25" i="34"/>
  <c r="AF13" i="45" s="1"/>
  <c r="AH164" i="34"/>
  <c r="AH180" i="34"/>
  <c r="AG97" i="34"/>
  <c r="AE57" i="36"/>
  <c r="AE98" i="34" s="1"/>
  <c r="AE73" i="36"/>
  <c r="AE114" i="34" s="1"/>
  <c r="AE43" i="34"/>
  <c r="AC21" i="45" s="1"/>
  <c r="AE164" i="34"/>
  <c r="AE25" i="34"/>
  <c r="AC13" i="45" s="1"/>
  <c r="AE180" i="34"/>
  <c r="AE11" i="34"/>
  <c r="AC6" i="45" s="1"/>
  <c r="BA66" i="36"/>
  <c r="BA107" i="34" s="1"/>
  <c r="BD52" i="36"/>
  <c r="BD93" i="34" s="1"/>
  <c r="BA175" i="34"/>
  <c r="BL52" i="36"/>
  <c r="BL93" i="34" s="1"/>
  <c r="BA36" i="34"/>
  <c r="BA173" i="34"/>
  <c r="BK157" i="34"/>
  <c r="BK50" i="36"/>
  <c r="BD6" i="34"/>
  <c r="AW36" i="34"/>
  <c r="BE159" i="34"/>
  <c r="BI18" i="34"/>
  <c r="BP36" i="34"/>
  <c r="BP66" i="36"/>
  <c r="BP107" i="34" s="1"/>
  <c r="BM18" i="34"/>
  <c r="BE4" i="34"/>
  <c r="BA68" i="36"/>
  <c r="BA109" i="34" s="1"/>
  <c r="BL159" i="34"/>
  <c r="BA157" i="34"/>
  <c r="BA18" i="34"/>
  <c r="BK173" i="34"/>
  <c r="BE173" i="34"/>
  <c r="BD50" i="36"/>
  <c r="BD91" i="34" s="1"/>
  <c r="BI66" i="36"/>
  <c r="BI107" i="34" s="1"/>
  <c r="BC52" i="36"/>
  <c r="BC93" i="34" s="1"/>
  <c r="BL68" i="36"/>
  <c r="BL109" i="34" s="1"/>
  <c r="BL20" i="34"/>
  <c r="BC38" i="34"/>
  <c r="BK52" i="36"/>
  <c r="BK93" i="34" s="1"/>
  <c r="BL6" i="34"/>
  <c r="BL175" i="34"/>
  <c r="BK159" i="34"/>
  <c r="BP68" i="36"/>
  <c r="BP109" i="34" s="1"/>
  <c r="BN38" i="34"/>
  <c r="BD4" i="34"/>
  <c r="BF175" i="34"/>
  <c r="BI36" i="34"/>
  <c r="BI4" i="34"/>
  <c r="BH68" i="36"/>
  <c r="BH109" i="34" s="1"/>
  <c r="BH6" i="34"/>
  <c r="AW20" i="34"/>
  <c r="AW175" i="34"/>
  <c r="BE66" i="36"/>
  <c r="BE107" i="34" s="1"/>
  <c r="BK68" i="36"/>
  <c r="BK109" i="34" s="1"/>
  <c r="BK20" i="34"/>
  <c r="AX5" i="34"/>
  <c r="BE51" i="36"/>
  <c r="BE92" i="34" s="1"/>
  <c r="BF52" i="36"/>
  <c r="BF93" i="34" s="1"/>
  <c r="BF159" i="34"/>
  <c r="BI157" i="34"/>
  <c r="BI50" i="36"/>
  <c r="BI91" i="34" s="1"/>
  <c r="BH20" i="34"/>
  <c r="BH159" i="34"/>
  <c r="AW38" i="34"/>
  <c r="BE36" i="34"/>
  <c r="BE18" i="34"/>
  <c r="BK175" i="34"/>
  <c r="BK38" i="34"/>
  <c r="BF19" i="34"/>
  <c r="AP4" i="34"/>
  <c r="AP50" i="36"/>
  <c r="AP91" i="34" s="1"/>
  <c r="AP157" i="34"/>
  <c r="AX51" i="36"/>
  <c r="AX92" i="34" s="1"/>
  <c r="BN68" i="36"/>
  <c r="BN109" i="34" s="1"/>
  <c r="BN20" i="34"/>
  <c r="AP36" i="34"/>
  <c r="BN52" i="36"/>
  <c r="BN93" i="34" s="1"/>
  <c r="BF68" i="36"/>
  <c r="BF109" i="34" s="1"/>
  <c r="AW68" i="36"/>
  <c r="AW109" i="34" s="1"/>
  <c r="BE157" i="34"/>
  <c r="BL66" i="36"/>
  <c r="BL107" i="34" s="1"/>
  <c r="BL173" i="34"/>
  <c r="BN67" i="36"/>
  <c r="BN108" i="34" s="1"/>
  <c r="BN19" i="34"/>
  <c r="AU174" i="34"/>
  <c r="BH36" i="34"/>
  <c r="BH173" i="34"/>
  <c r="AX158" i="34"/>
  <c r="BL36" i="34"/>
  <c r="BC18" i="34"/>
  <c r="AX19" i="34"/>
  <c r="AX174" i="34"/>
  <c r="BD175" i="34"/>
  <c r="BD38" i="34"/>
  <c r="BL4" i="34"/>
  <c r="BL50" i="36"/>
  <c r="BL91" i="34" s="1"/>
  <c r="BC173" i="34"/>
  <c r="BC50" i="36"/>
  <c r="BC91" i="34" s="1"/>
  <c r="BN174" i="34"/>
  <c r="BN37" i="34"/>
  <c r="AU51" i="36"/>
  <c r="AU92" i="34" s="1"/>
  <c r="AU19" i="34"/>
  <c r="BH4" i="34"/>
  <c r="BH66" i="36"/>
  <c r="BH107" i="34" s="1"/>
  <c r="BD68" i="36"/>
  <c r="BD109" i="34" s="1"/>
  <c r="BD20" i="34"/>
  <c r="BC36" i="34"/>
  <c r="AX67" i="36"/>
  <c r="AX108" i="34" s="1"/>
  <c r="AU67" i="36"/>
  <c r="AU108" i="34" s="1"/>
  <c r="AP6" i="34"/>
  <c r="BH18" i="34"/>
  <c r="BM5" i="34"/>
  <c r="BL67" i="36"/>
  <c r="BL108" i="34" s="1"/>
  <c r="BL37" i="34"/>
  <c r="BL174" i="34"/>
  <c r="BL158" i="34"/>
  <c r="BL51" i="36"/>
  <c r="BL92" i="34" s="1"/>
  <c r="BL19" i="34"/>
  <c r="BL5" i="34"/>
  <c r="BM37" i="34"/>
  <c r="BM67" i="36"/>
  <c r="BM108" i="34" s="1"/>
  <c r="BM174" i="34"/>
  <c r="BM19" i="34"/>
  <c r="BM51" i="36"/>
  <c r="BM92" i="34" s="1"/>
  <c r="AW66" i="36"/>
  <c r="AW107" i="34" s="1"/>
  <c r="AW50" i="36"/>
  <c r="AW91" i="34" s="1"/>
  <c r="BI175" i="34"/>
  <c r="BP52" i="36"/>
  <c r="BP93" i="34" s="1"/>
  <c r="BP6" i="34"/>
  <c r="BD66" i="36"/>
  <c r="BD107" i="34" s="1"/>
  <c r="BM4" i="34"/>
  <c r="BM173" i="34"/>
  <c r="AS20" i="34"/>
  <c r="AS6" i="34"/>
  <c r="AP52" i="36"/>
  <c r="AP93" i="34" s="1"/>
  <c r="AP38" i="34"/>
  <c r="AT20" i="34"/>
  <c r="AT68" i="36"/>
  <c r="AT109" i="34" s="1"/>
  <c r="AT52" i="36"/>
  <c r="AT93" i="34" s="1"/>
  <c r="AT6" i="34"/>
  <c r="AT38" i="34"/>
  <c r="AT175" i="34"/>
  <c r="AT159" i="34"/>
  <c r="AW157" i="34"/>
  <c r="BI68" i="36"/>
  <c r="BI109" i="34" s="1"/>
  <c r="BI159" i="34"/>
  <c r="BP159" i="34"/>
  <c r="BP38" i="34"/>
  <c r="BD18" i="34"/>
  <c r="BD157" i="34"/>
  <c r="BM36" i="34"/>
  <c r="BM66" i="36"/>
  <c r="BM107" i="34" s="1"/>
  <c r="AS38" i="34"/>
  <c r="AP68" i="36"/>
  <c r="AP109" i="34" s="1"/>
  <c r="AP20" i="34"/>
  <c r="AW4" i="34"/>
  <c r="AW18" i="34"/>
  <c r="BI52" i="36"/>
  <c r="BI93" i="34" s="1"/>
  <c r="BD36" i="34"/>
  <c r="BD173" i="34"/>
  <c r="BM157" i="34"/>
  <c r="BM50" i="36"/>
  <c r="BM91" i="34" s="1"/>
  <c r="AS68" i="36"/>
  <c r="AS109" i="34" s="1"/>
  <c r="AP175" i="34"/>
  <c r="AT157" i="34"/>
  <c r="AT173" i="34"/>
  <c r="AT50" i="36"/>
  <c r="AT91" i="34" s="1"/>
  <c r="AT4" i="34"/>
  <c r="AT66" i="36"/>
  <c r="AT107" i="34" s="1"/>
  <c r="AT36" i="34"/>
  <c r="AT18" i="34"/>
  <c r="AV42" i="34"/>
  <c r="AT21" i="45" s="1"/>
  <c r="AT6" i="45"/>
  <c r="AT5" i="34"/>
  <c r="AT174" i="34"/>
  <c r="AT67" i="36"/>
  <c r="AT108" i="34" s="1"/>
  <c r="AT37" i="34"/>
  <c r="AT158" i="34"/>
  <c r="AT51" i="36"/>
  <c r="AT92" i="34" s="1"/>
  <c r="AT19" i="34"/>
  <c r="AV158" i="34"/>
  <c r="AV179" i="34"/>
  <c r="AV72" i="36"/>
  <c r="AV113" i="34" s="1"/>
  <c r="AV24" i="34"/>
  <c r="AT13" i="45" s="1"/>
  <c r="AK37" i="34"/>
  <c r="AK174" i="34"/>
  <c r="AK51" i="36"/>
  <c r="AK92" i="34" s="1"/>
  <c r="BC159" i="34"/>
  <c r="BC20" i="34"/>
  <c r="BC175" i="34"/>
  <c r="BC68" i="36"/>
  <c r="BC109" i="34" s="1"/>
  <c r="AS5" i="34"/>
  <c r="AS36" i="34"/>
  <c r="AS18" i="34"/>
  <c r="AS4" i="34"/>
  <c r="AS173" i="34"/>
  <c r="AS157" i="34"/>
  <c r="AV5" i="34"/>
  <c r="AV66" i="36"/>
  <c r="AV107" i="34" s="1"/>
  <c r="AV67" i="36"/>
  <c r="AV108" i="34" s="1"/>
  <c r="AV37" i="34"/>
  <c r="AV36" i="34"/>
  <c r="AV157" i="34"/>
  <c r="AV51" i="36"/>
  <c r="AV92" i="34" s="1"/>
  <c r="AV19" i="34"/>
  <c r="AV18" i="34"/>
  <c r="AV173" i="34"/>
  <c r="AV174" i="34"/>
  <c r="AV4" i="34"/>
  <c r="AV50" i="36"/>
  <c r="AV91" i="34" s="1"/>
  <c r="AL49" i="34"/>
  <c r="AJ25" i="45" s="1"/>
  <c r="AL31" i="34"/>
  <c r="AJ17" i="45" s="1"/>
  <c r="AL170" i="34"/>
  <c r="AL186" i="34"/>
  <c r="AL17" i="34"/>
  <c r="AJ10" i="45" s="1"/>
  <c r="AL79" i="36"/>
  <c r="AL120" i="34" s="1"/>
  <c r="AL63" i="36"/>
  <c r="AL104" i="34" s="1"/>
  <c r="BC34" i="34"/>
  <c r="BC52" i="34"/>
  <c r="AN49" i="34"/>
  <c r="AL25" i="45" s="1"/>
  <c r="AN31" i="34"/>
  <c r="AL17" i="45" s="1"/>
  <c r="AN170" i="34"/>
  <c r="AN186" i="34"/>
  <c r="AN63" i="36"/>
  <c r="AN104" i="34" s="1"/>
  <c r="AN17" i="34"/>
  <c r="AL10" i="45" s="1"/>
  <c r="AN79" i="36"/>
  <c r="AV49" i="34"/>
  <c r="AT25" i="45" s="1"/>
  <c r="AV31" i="34"/>
  <c r="AT17" i="45" s="1"/>
  <c r="AV17" i="34"/>
  <c r="AT10" i="45" s="1"/>
  <c r="AV170" i="34"/>
  <c r="AV186" i="34"/>
  <c r="AV79" i="36"/>
  <c r="AV120" i="34" s="1"/>
  <c r="AV63" i="36"/>
  <c r="AV104" i="34" s="1"/>
  <c r="AN53" i="34"/>
  <c r="AN35" i="34"/>
  <c r="AW52" i="34"/>
  <c r="AW34" i="34"/>
  <c r="AJ52" i="34"/>
  <c r="AJ34" i="34"/>
  <c r="AR53" i="34"/>
  <c r="AR35" i="34"/>
  <c r="AS19" i="34"/>
  <c r="AS174" i="34"/>
  <c r="AS158" i="34"/>
  <c r="AS37" i="34"/>
  <c r="AS67" i="36"/>
  <c r="AS108" i="34" s="1"/>
  <c r="AS51" i="36"/>
  <c r="AS92" i="34" s="1"/>
  <c r="BO107" i="34"/>
  <c r="AM91" i="34"/>
  <c r="BM53" i="34"/>
  <c r="BM35" i="34"/>
  <c r="AQ91" i="34"/>
  <c r="AY34" i="34"/>
  <c r="AY52" i="34"/>
  <c r="BM52" i="34"/>
  <c r="BM34" i="34"/>
  <c r="BE53" i="34"/>
  <c r="BE35" i="34"/>
  <c r="AM53" i="34"/>
  <c r="AM35" i="34"/>
  <c r="AX91" i="34"/>
  <c r="AU52" i="34"/>
  <c r="AU34" i="34"/>
  <c r="AL34" i="34"/>
  <c r="AL52" i="34"/>
  <c r="BK53" i="34"/>
  <c r="BK35" i="34"/>
  <c r="BJ107" i="34"/>
  <c r="AK31" i="34"/>
  <c r="AI17" i="45" s="1"/>
  <c r="AK170" i="34"/>
  <c r="AK17" i="34"/>
  <c r="AI10" i="45" s="1"/>
  <c r="AK186" i="34"/>
  <c r="AK49" i="34"/>
  <c r="AI25" i="45" s="1"/>
  <c r="AK63" i="36"/>
  <c r="AK104" i="34" s="1"/>
  <c r="AK79" i="36"/>
  <c r="AK120" i="34" s="1"/>
  <c r="AJ53" i="34"/>
  <c r="AJ35" i="34"/>
  <c r="BL34" i="34"/>
  <c r="BL52" i="34"/>
  <c r="BO174" i="34"/>
  <c r="BO19" i="34"/>
  <c r="BO37" i="34"/>
  <c r="BO158" i="34"/>
  <c r="BO5" i="34"/>
  <c r="BO67" i="36"/>
  <c r="BO108" i="34" s="1"/>
  <c r="BO51" i="36"/>
  <c r="BO92" i="34" s="1"/>
  <c r="BB52" i="34"/>
  <c r="BB34" i="34"/>
  <c r="BB91" i="34"/>
  <c r="AZ91" i="34"/>
  <c r="BA53" i="34"/>
  <c r="BA35" i="34"/>
  <c r="AS52" i="34"/>
  <c r="AS34" i="34"/>
  <c r="BH37" i="34"/>
  <c r="BH19" i="34"/>
  <c r="BH5" i="34"/>
  <c r="BH158" i="34"/>
  <c r="BH174" i="34"/>
  <c r="BH51" i="36"/>
  <c r="BH92" i="34" s="1"/>
  <c r="BH67" i="36"/>
  <c r="BH108" i="34" s="1"/>
  <c r="AZ34" i="34"/>
  <c r="AZ52" i="34"/>
  <c r="BI53" i="34"/>
  <c r="BI35" i="34"/>
  <c r="AY107" i="34"/>
  <c r="BF34" i="34"/>
  <c r="BF52" i="34"/>
  <c r="AV53" i="34"/>
  <c r="AV35" i="34"/>
  <c r="AK52" i="34"/>
  <c r="AK34" i="34"/>
  <c r="BA52" i="34"/>
  <c r="BA34" i="34"/>
  <c r="AP170" i="34"/>
  <c r="AP31" i="34"/>
  <c r="AN17" i="45" s="1"/>
  <c r="AP186" i="34"/>
  <c r="AP49" i="34"/>
  <c r="AN25" i="45" s="1"/>
  <c r="AP17" i="34"/>
  <c r="AN10" i="45" s="1"/>
  <c r="AP79" i="36"/>
  <c r="AP120" i="34" s="1"/>
  <c r="AP63" i="36"/>
  <c r="AP104" i="34" s="1"/>
  <c r="AT49" i="34"/>
  <c r="AR25" i="45" s="1"/>
  <c r="AT17" i="34"/>
  <c r="AR10" i="45" s="1"/>
  <c r="AT31" i="34"/>
  <c r="AR17" i="45" s="1"/>
  <c r="AT170" i="34"/>
  <c r="AT186" i="34"/>
  <c r="AT79" i="36"/>
  <c r="AT63" i="36"/>
  <c r="AT104" i="34" s="1"/>
  <c r="BG52" i="34"/>
  <c r="BG34" i="34"/>
  <c r="AS49" i="34"/>
  <c r="AQ25" i="45" s="1"/>
  <c r="AS31" i="34"/>
  <c r="AQ17" i="45" s="1"/>
  <c r="AS170" i="34"/>
  <c r="AS186" i="34"/>
  <c r="AS17" i="34"/>
  <c r="AQ10" i="45" s="1"/>
  <c r="AS63" i="36"/>
  <c r="AS104" i="34" s="1"/>
  <c r="AS79" i="36"/>
  <c r="AS120" i="34" s="1"/>
  <c r="AP53" i="34"/>
  <c r="AP35" i="34"/>
  <c r="AY53" i="34"/>
  <c r="AY35" i="34"/>
  <c r="BK34" i="34"/>
  <c r="BK52" i="34"/>
  <c r="BL53" i="34"/>
  <c r="BL35" i="34"/>
  <c r="BP53" i="34"/>
  <c r="BP35" i="34"/>
  <c r="AR170" i="34"/>
  <c r="AR31" i="34"/>
  <c r="AP17" i="45" s="1"/>
  <c r="AR186" i="34"/>
  <c r="AR49" i="34"/>
  <c r="AP25" i="45" s="1"/>
  <c r="AR17" i="34"/>
  <c r="AP10" i="45" s="1"/>
  <c r="AR79" i="36"/>
  <c r="AR120" i="34" s="1"/>
  <c r="AR63" i="36"/>
  <c r="AR104" i="34" s="1"/>
  <c r="AX34" i="34"/>
  <c r="AX52" i="34"/>
  <c r="BH53" i="34"/>
  <c r="BH35" i="34"/>
  <c r="BP37" i="34"/>
  <c r="BP19" i="34"/>
  <c r="BP174" i="34"/>
  <c r="BP158" i="34"/>
  <c r="BP5" i="34"/>
  <c r="BP67" i="36"/>
  <c r="BP108" i="34" s="1"/>
  <c r="BP51" i="36"/>
  <c r="BP92" i="34" s="1"/>
  <c r="AY174" i="34"/>
  <c r="AY5" i="34"/>
  <c r="AY37" i="34"/>
  <c r="AY51" i="36"/>
  <c r="AY92" i="34" s="1"/>
  <c r="AY158" i="34"/>
  <c r="AY67" i="36"/>
  <c r="AY108" i="34" s="1"/>
  <c r="AY19" i="34"/>
  <c r="AO186" i="34"/>
  <c r="AO17" i="34"/>
  <c r="AM10" i="45" s="1"/>
  <c r="AO170" i="34"/>
  <c r="AO49" i="34"/>
  <c r="AM25" i="45" s="1"/>
  <c r="AO31" i="34"/>
  <c r="AM17" i="45" s="1"/>
  <c r="AO63" i="36"/>
  <c r="AO104" i="34" s="1"/>
  <c r="AO79" i="36"/>
  <c r="AO120" i="34" s="1"/>
  <c r="AR52" i="34"/>
  <c r="AR34" i="34"/>
  <c r="BC107" i="34"/>
  <c r="AZ107" i="34"/>
  <c r="AQ53" i="34"/>
  <c r="AQ35" i="34"/>
  <c r="BD53" i="34"/>
  <c r="BD35" i="34"/>
  <c r="BO91" i="34"/>
  <c r="BC53" i="34"/>
  <c r="BC35" i="34"/>
  <c r="AX53" i="34"/>
  <c r="AX35" i="34"/>
  <c r="BA19" i="34"/>
  <c r="BA174" i="34"/>
  <c r="BA5" i="34"/>
  <c r="BA37" i="34"/>
  <c r="BA158" i="34"/>
  <c r="BA51" i="36"/>
  <c r="BA92" i="34" s="1"/>
  <c r="BA67" i="36"/>
  <c r="BA108" i="34" s="1"/>
  <c r="AM170" i="34"/>
  <c r="AM31" i="34"/>
  <c r="AK17" i="45" s="1"/>
  <c r="AM186" i="34"/>
  <c r="AM49" i="34"/>
  <c r="AK25" i="45" s="1"/>
  <c r="AM17" i="34"/>
  <c r="AK10" i="45" s="1"/>
  <c r="AM63" i="36"/>
  <c r="AM104" i="34" s="1"/>
  <c r="AM79" i="36"/>
  <c r="AM120" i="34" s="1"/>
  <c r="AJ186" i="34"/>
  <c r="AJ31" i="34"/>
  <c r="AH17" i="45" s="1"/>
  <c r="AJ49" i="34"/>
  <c r="AH25" i="45" s="1"/>
  <c r="AJ17" i="34"/>
  <c r="AH10" i="45" s="1"/>
  <c r="AJ170" i="34"/>
  <c r="AJ63" i="36"/>
  <c r="AJ104" i="34" s="1"/>
  <c r="AJ79" i="36"/>
  <c r="AJ120" i="34" s="1"/>
  <c r="AQ34" i="34"/>
  <c r="AQ52" i="34"/>
  <c r="AS53" i="34"/>
  <c r="AS35" i="34"/>
  <c r="AQ49" i="34"/>
  <c r="AO25" i="45" s="1"/>
  <c r="AQ31" i="34"/>
  <c r="AO17" i="45" s="1"/>
  <c r="AQ17" i="34"/>
  <c r="AO10" i="45" s="1"/>
  <c r="AQ186" i="34"/>
  <c r="AQ170" i="34"/>
  <c r="AQ63" i="36"/>
  <c r="AQ104" i="34" s="1"/>
  <c r="AQ79" i="36"/>
  <c r="AQ120" i="34" s="1"/>
  <c r="AW53" i="34"/>
  <c r="AW35" i="34"/>
  <c r="BB53" i="34"/>
  <c r="BB35" i="34"/>
  <c r="AM34" i="34"/>
  <c r="AM52" i="34"/>
  <c r="AT34" i="34"/>
  <c r="AT52" i="34"/>
  <c r="AL53" i="34"/>
  <c r="AL35" i="34"/>
  <c r="AN34" i="34"/>
  <c r="AN52" i="34"/>
  <c r="AO52" i="34"/>
  <c r="AO34" i="34"/>
  <c r="AO53" i="34"/>
  <c r="AO35" i="34"/>
  <c r="BK91" i="34"/>
  <c r="BD34" i="34"/>
  <c r="BD52" i="34"/>
  <c r="BE52" i="34"/>
  <c r="BE34" i="34"/>
  <c r="BO52" i="34"/>
  <c r="BO34" i="34"/>
  <c r="BB107" i="34"/>
  <c r="AT53" i="34"/>
  <c r="AT35" i="34"/>
  <c r="AU170" i="34"/>
  <c r="AU31" i="34"/>
  <c r="AS17" i="45" s="1"/>
  <c r="AU49" i="34"/>
  <c r="AS25" i="45" s="1"/>
  <c r="AU17" i="34"/>
  <c r="AS10" i="45" s="1"/>
  <c r="AU186" i="34"/>
  <c r="AU63" i="36"/>
  <c r="AU104" i="34" s="1"/>
  <c r="AU79" i="36"/>
  <c r="AU120" i="34" s="1"/>
  <c r="AK53" i="34"/>
  <c r="AK35" i="34"/>
  <c r="BH34" i="34"/>
  <c r="BH52" i="34"/>
  <c r="AP52" i="34"/>
  <c r="AP34" i="34"/>
  <c r="AU53" i="34"/>
  <c r="AU35" i="34"/>
  <c r="AY91" i="34"/>
  <c r="BJ158" i="34"/>
  <c r="BJ37" i="34"/>
  <c r="BJ5" i="34"/>
  <c r="BJ19" i="34"/>
  <c r="BJ174" i="34"/>
  <c r="BJ51" i="36"/>
  <c r="BJ92" i="34" s="1"/>
  <c r="BJ67" i="36"/>
  <c r="BJ108" i="34" s="1"/>
  <c r="AM107" i="34"/>
  <c r="AZ53" i="34"/>
  <c r="AZ35" i="34"/>
  <c r="AQ107" i="34"/>
  <c r="AX107" i="34"/>
  <c r="BG107" i="34"/>
  <c r="BG91" i="34"/>
  <c r="BF37" i="34"/>
  <c r="AJ107" i="34"/>
  <c r="AJ91" i="34"/>
  <c r="AV52" i="34"/>
  <c r="AV34" i="34"/>
  <c r="BN52" i="34"/>
  <c r="BN34" i="34"/>
  <c r="BG53" i="34"/>
  <c r="BG35" i="34"/>
  <c r="BI52" i="34"/>
  <c r="BI34" i="34"/>
  <c r="BJ52" i="34"/>
  <c r="BJ34" i="34"/>
  <c r="BP34" i="34"/>
  <c r="BP52" i="34"/>
  <c r="BF53" i="34"/>
  <c r="BF35" i="34"/>
  <c r="BO53" i="34"/>
  <c r="BO35" i="34"/>
  <c r="BN53" i="34"/>
  <c r="BN35" i="34"/>
  <c r="BJ53" i="34"/>
  <c r="BJ35" i="34"/>
  <c r="AR41" i="36" l="1"/>
  <c r="AQ82" i="36"/>
  <c r="AW17" i="36"/>
  <c r="AS28" i="50"/>
  <c r="AF26" i="45"/>
  <c r="AW180" i="34"/>
  <c r="AW43" i="34"/>
  <c r="AU21" i="45" s="1"/>
  <c r="AW164" i="34"/>
  <c r="AW11" i="34"/>
  <c r="AU6" i="45" s="1"/>
  <c r="AW57" i="36"/>
  <c r="AW98" i="34" s="1"/>
  <c r="AW25" i="34"/>
  <c r="AU13" i="45" s="1"/>
  <c r="AW73" i="36"/>
  <c r="AW114" i="34" s="1"/>
  <c r="AB18" i="45"/>
  <c r="AE26" i="45"/>
  <c r="AX4" i="36"/>
  <c r="AX12" i="36"/>
  <c r="AX10" i="34"/>
  <c r="AX72" i="36"/>
  <c r="AX113" i="34" s="1"/>
  <c r="AX179" i="34"/>
  <c r="AX56" i="36"/>
  <c r="AX97" i="34" s="1"/>
  <c r="AX24" i="34"/>
  <c r="AX42" i="34"/>
  <c r="AX163" i="34"/>
  <c r="AC26" i="45"/>
  <c r="AY18" i="45"/>
  <c r="AG20" i="45"/>
  <c r="AB26" i="45"/>
  <c r="AG18" i="45"/>
  <c r="AE18" i="45"/>
  <c r="AG5" i="45"/>
  <c r="AE12" i="45"/>
  <c r="AF18" i="45"/>
  <c r="AC18" i="45"/>
  <c r="AG4" i="45"/>
  <c r="AG58" i="45" s="1"/>
  <c r="AQ26" i="45"/>
  <c r="AC39" i="50"/>
  <c r="AE54" i="45"/>
  <c r="AG26" i="45"/>
  <c r="AG12" i="45"/>
  <c r="AD26" i="45"/>
  <c r="AD18" i="45"/>
  <c r="AF67" i="36"/>
  <c r="AF51" i="36"/>
  <c r="AF92" i="34" s="1"/>
  <c r="AF37" i="34"/>
  <c r="AF19" i="34"/>
  <c r="AD12" i="45" s="1"/>
  <c r="AD11" i="45" s="1"/>
  <c r="AD59" i="45" s="1"/>
  <c r="AF5" i="34"/>
  <c r="AD5" i="45" s="1"/>
  <c r="AD4" i="45" s="1"/>
  <c r="AD58" i="45" s="1"/>
  <c r="AF158" i="34"/>
  <c r="AD53" i="45" s="1"/>
  <c r="AF174" i="34"/>
  <c r="AG54" i="45"/>
  <c r="AG19" i="45"/>
  <c r="AG60" i="45" s="1"/>
  <c r="AE51" i="36"/>
  <c r="AE92" i="34" s="1"/>
  <c r="AE67" i="36"/>
  <c r="AE108" i="34" s="1"/>
  <c r="AC47" i="45" s="1"/>
  <c r="AE19" i="34"/>
  <c r="AC12" i="45" s="1"/>
  <c r="AC11" i="45" s="1"/>
  <c r="AC59" i="45" s="1"/>
  <c r="AE5" i="34"/>
  <c r="AE37" i="34"/>
  <c r="AC20" i="45" s="1"/>
  <c r="AE174" i="34"/>
  <c r="AC54" i="45" s="1"/>
  <c r="AE158" i="34"/>
  <c r="AC53" i="45" s="1"/>
  <c r="AG53" i="45"/>
  <c r="AE53" i="45"/>
  <c r="AD54" i="45"/>
  <c r="AA39" i="50"/>
  <c r="AC5" i="45"/>
  <c r="AC4" i="45" s="1"/>
  <c r="AC58" i="45" s="1"/>
  <c r="AE5" i="45"/>
  <c r="AE4" i="45" s="1"/>
  <c r="AE58" i="45" s="1"/>
  <c r="AD20" i="45"/>
  <c r="AD19" i="45" s="1"/>
  <c r="AD60" i="45" s="1"/>
  <c r="AH51" i="36"/>
  <c r="AH92" i="34" s="1"/>
  <c r="AH67" i="36"/>
  <c r="AH108" i="34" s="1"/>
  <c r="AF47" i="45" s="1"/>
  <c r="AH19" i="34"/>
  <c r="AF12" i="45" s="1"/>
  <c r="AH5" i="34"/>
  <c r="AF5" i="45" s="1"/>
  <c r="AF4" i="45" s="1"/>
  <c r="AF58" i="45" s="1"/>
  <c r="AH37" i="34"/>
  <c r="AF20" i="45" s="1"/>
  <c r="AF19" i="45" s="1"/>
  <c r="AF60" i="45" s="1"/>
  <c r="AH158" i="34"/>
  <c r="AF53" i="45" s="1"/>
  <c r="AH174" i="34"/>
  <c r="AF54" i="45" s="1"/>
  <c r="AE20" i="45"/>
  <c r="AE19" i="45" s="1"/>
  <c r="AE60" i="45" s="1"/>
  <c r="Z39" i="50"/>
  <c r="AD67" i="36"/>
  <c r="AD108" i="34" s="1"/>
  <c r="AB47" i="45" s="1"/>
  <c r="AD51" i="36"/>
  <c r="AD92" i="34" s="1"/>
  <c r="AD37" i="34"/>
  <c r="AB20" i="45" s="1"/>
  <c r="AD174" i="34"/>
  <c r="AB54" i="45" s="1"/>
  <c r="AD19" i="34"/>
  <c r="AB12" i="45" s="1"/>
  <c r="AD5" i="34"/>
  <c r="AB5" i="45" s="1"/>
  <c r="AB4" i="45" s="1"/>
  <c r="AB58" i="45" s="1"/>
  <c r="AD158" i="34"/>
  <c r="AB53" i="45" s="1"/>
  <c r="AG138" i="34"/>
  <c r="AG142" i="34"/>
  <c r="AG139" i="34"/>
  <c r="AI139" i="34"/>
  <c r="AI138" i="34"/>
  <c r="AG143" i="34"/>
  <c r="AG47" i="45"/>
  <c r="AE47" i="45"/>
  <c r="AI142" i="34"/>
  <c r="AI143" i="34"/>
  <c r="BB26" i="45"/>
  <c r="BF5" i="34"/>
  <c r="BF174" i="34"/>
  <c r="BE67" i="36"/>
  <c r="BE108" i="34" s="1"/>
  <c r="BE37" i="34"/>
  <c r="BF67" i="36"/>
  <c r="BF108" i="34" s="1"/>
  <c r="AU158" i="34"/>
  <c r="AU5" i="34"/>
  <c r="AU37" i="34"/>
  <c r="BE174" i="34"/>
  <c r="BE158" i="34"/>
  <c r="BE19" i="34"/>
  <c r="BF158" i="34"/>
  <c r="BF51" i="36"/>
  <c r="BF92" i="34" s="1"/>
  <c r="BE5" i="34"/>
  <c r="BN51" i="36"/>
  <c r="BN92" i="34" s="1"/>
  <c r="BN5" i="34"/>
  <c r="BN158" i="34"/>
  <c r="BM158" i="34"/>
  <c r="AK158" i="34"/>
  <c r="AK67" i="36"/>
  <c r="AK108" i="34" s="1"/>
  <c r="AK19" i="34"/>
  <c r="AK5" i="34"/>
  <c r="AR19" i="34"/>
  <c r="AR174" i="34"/>
  <c r="AR5" i="34"/>
  <c r="AR67" i="36"/>
  <c r="AR108" i="34" s="1"/>
  <c r="AR158" i="34"/>
  <c r="AR37" i="34"/>
  <c r="AR51" i="36"/>
  <c r="AR92" i="34" s="1"/>
  <c r="BI158" i="34"/>
  <c r="BI19" i="34"/>
  <c r="BI37" i="34"/>
  <c r="BI174" i="34"/>
  <c r="BI51" i="36"/>
  <c r="BI92" i="34" s="1"/>
  <c r="BI5" i="34"/>
  <c r="BI67" i="36"/>
  <c r="BI108" i="34" s="1"/>
  <c r="AP19" i="34"/>
  <c r="AP51" i="36"/>
  <c r="AP92" i="34" s="1"/>
  <c r="AP174" i="34"/>
  <c r="AP67" i="36"/>
  <c r="AP108" i="34" s="1"/>
  <c r="AP37" i="34"/>
  <c r="AP5" i="34"/>
  <c r="AP158" i="34"/>
  <c r="BK37" i="34"/>
  <c r="BK174" i="34"/>
  <c r="BK5" i="34"/>
  <c r="BK51" i="36"/>
  <c r="BK92" i="34" s="1"/>
  <c r="BK19" i="34"/>
  <c r="BK67" i="36"/>
  <c r="BK108" i="34" s="1"/>
  <c r="BK158" i="34"/>
  <c r="BD158" i="34"/>
  <c r="BD67" i="36"/>
  <c r="BD108" i="34" s="1"/>
  <c r="BD37" i="34"/>
  <c r="BD174" i="34"/>
  <c r="BD19" i="34"/>
  <c r="BD5" i="34"/>
  <c r="BD51" i="36"/>
  <c r="BD92" i="34" s="1"/>
  <c r="AW19" i="34"/>
  <c r="AW51" i="36"/>
  <c r="AW92" i="34" s="1"/>
  <c r="AW37" i="34"/>
  <c r="AW67" i="36"/>
  <c r="AW108" i="34" s="1"/>
  <c r="AW174" i="34"/>
  <c r="AW5" i="34"/>
  <c r="AW158" i="34"/>
  <c r="AO37" i="34"/>
  <c r="AO67" i="36"/>
  <c r="AO108" i="34" s="1"/>
  <c r="AO174" i="34"/>
  <c r="AO19" i="34"/>
  <c r="AO5" i="34"/>
  <c r="AO158" i="34"/>
  <c r="AO51" i="36"/>
  <c r="AO92" i="34" s="1"/>
  <c r="BC5" i="34"/>
  <c r="BC51" i="36"/>
  <c r="BC92" i="34" s="1"/>
  <c r="BC174" i="34"/>
  <c r="BC67" i="36"/>
  <c r="BC108" i="34" s="1"/>
  <c r="BC158" i="34"/>
  <c r="BC37" i="34"/>
  <c r="BC19" i="34"/>
  <c r="BG26" i="45"/>
  <c r="AU18" i="45"/>
  <c r="AS26" i="45"/>
  <c r="AN26" i="45"/>
  <c r="AL18" i="45"/>
  <c r="AV26" i="45"/>
  <c r="BD18" i="45"/>
  <c r="AS18" i="45"/>
  <c r="BF26" i="45"/>
  <c r="BJ26" i="45"/>
  <c r="AP18" i="45"/>
  <c r="AT18" i="45"/>
  <c r="BI26" i="45"/>
  <c r="BK26" i="45"/>
  <c r="BN18" i="45"/>
  <c r="AK26" i="45"/>
  <c r="AZ18" i="45"/>
  <c r="AP26" i="45"/>
  <c r="BA18" i="45"/>
  <c r="AJ26" i="45"/>
  <c r="BK18" i="45"/>
  <c r="AW26" i="45"/>
  <c r="AY26" i="45"/>
  <c r="BJ18" i="45"/>
  <c r="BA26" i="45"/>
  <c r="AL26" i="45"/>
  <c r="BI18" i="45"/>
  <c r="BC18" i="45"/>
  <c r="AH18" i="45"/>
  <c r="BB18" i="45"/>
  <c r="AW18" i="45"/>
  <c r="AH26" i="45"/>
  <c r="AK18" i="45"/>
  <c r="AO18" i="45"/>
  <c r="BN26" i="45"/>
  <c r="AT26" i="45"/>
  <c r="BF18" i="45"/>
  <c r="AU26" i="45"/>
  <c r="BE18" i="45"/>
  <c r="AX18" i="45"/>
  <c r="BG18" i="45"/>
  <c r="AN18" i="45"/>
  <c r="BC26" i="45"/>
  <c r="AJ18" i="45"/>
  <c r="AO26" i="45"/>
  <c r="BH18" i="45"/>
  <c r="BL26" i="45"/>
  <c r="BE26" i="45"/>
  <c r="AI18" i="45"/>
  <c r="BH26" i="45"/>
  <c r="AR26" i="45"/>
  <c r="AI26" i="45"/>
  <c r="AQ18" i="45"/>
  <c r="BM18" i="45"/>
  <c r="AM18" i="45"/>
  <c r="AR18" i="45"/>
  <c r="AV18" i="45"/>
  <c r="BD26" i="45"/>
  <c r="BL18" i="45"/>
  <c r="BM26" i="45"/>
  <c r="AM26" i="45"/>
  <c r="AX26" i="45"/>
  <c r="AZ26" i="45"/>
  <c r="AN120" i="34"/>
  <c r="AT120" i="34"/>
  <c r="AT28" i="50" l="1"/>
  <c r="AX17" i="36"/>
  <c r="AW169" i="34"/>
  <c r="AW48" i="34"/>
  <c r="AW185" i="34"/>
  <c r="AW16" i="34"/>
  <c r="AW18" i="36"/>
  <c r="AW78" i="36"/>
  <c r="AW119" i="34" s="1"/>
  <c r="AW30" i="34"/>
  <c r="AW62" i="36"/>
  <c r="AW103" i="34" s="1"/>
  <c r="AS41" i="36"/>
  <c r="AR82" i="36"/>
  <c r="AE143" i="34"/>
  <c r="AY4" i="36"/>
  <c r="AY12" i="36"/>
  <c r="AY56" i="36"/>
  <c r="AY97" i="34" s="1"/>
  <c r="AY10" i="34"/>
  <c r="AY72" i="36"/>
  <c r="AY113" i="34" s="1"/>
  <c r="AY24" i="34"/>
  <c r="AY42" i="34"/>
  <c r="AY163" i="34"/>
  <c r="AY179" i="34"/>
  <c r="AX11" i="34"/>
  <c r="AV6" i="45" s="1"/>
  <c r="AX57" i="36"/>
  <c r="AX98" i="34" s="1"/>
  <c r="AX43" i="34"/>
  <c r="AV21" i="45" s="1"/>
  <c r="AX180" i="34"/>
  <c r="AX73" i="36"/>
  <c r="AX114" i="34" s="1"/>
  <c r="AX25" i="34"/>
  <c r="AV13" i="45" s="1"/>
  <c r="AX164" i="34"/>
  <c r="AB11" i="45"/>
  <c r="AB59" i="45" s="1"/>
  <c r="AC19" i="45"/>
  <c r="AC60" i="45" s="1"/>
  <c r="AC71" i="45" s="1"/>
  <c r="AB19" i="45"/>
  <c r="AB60" i="45" s="1"/>
  <c r="AE139" i="34"/>
  <c r="AG11" i="45"/>
  <c r="AG59" i="45" s="1"/>
  <c r="AG71" i="45" s="1"/>
  <c r="AF11" i="45"/>
  <c r="AF59" i="45" s="1"/>
  <c r="AF71" i="45" s="1"/>
  <c r="AE52" i="45"/>
  <c r="AE67" i="45" s="1"/>
  <c r="AE11" i="45"/>
  <c r="AE59" i="45" s="1"/>
  <c r="AE71" i="45" s="1"/>
  <c r="AD138" i="34"/>
  <c r="AD142" i="34"/>
  <c r="AD139" i="34"/>
  <c r="AH143" i="34"/>
  <c r="AE142" i="34"/>
  <c r="AE138" i="34"/>
  <c r="AH139" i="34"/>
  <c r="AF138" i="34"/>
  <c r="AF142" i="34"/>
  <c r="AD143" i="34"/>
  <c r="AF52" i="45"/>
  <c r="AF67" i="45" s="1"/>
  <c r="AD52" i="45"/>
  <c r="AD67" i="45" s="1"/>
  <c r="AB52" i="45"/>
  <c r="AB67" i="45" s="1"/>
  <c r="AC52" i="45"/>
  <c r="AC67" i="45" s="1"/>
  <c r="AG52" i="45"/>
  <c r="AG67" i="45" s="1"/>
  <c r="AD71" i="45"/>
  <c r="AF108" i="34"/>
  <c r="AD47" i="45" s="1"/>
  <c r="AF139" i="34"/>
  <c r="AH142" i="34"/>
  <c r="AF143" i="34"/>
  <c r="AH138" i="34"/>
  <c r="AT41" i="36" l="1"/>
  <c r="AS82" i="36"/>
  <c r="AW49" i="34"/>
  <c r="AU25" i="45" s="1"/>
  <c r="AW79" i="36"/>
  <c r="AW120" i="34" s="1"/>
  <c r="AW31" i="34"/>
  <c r="AU17" i="45" s="1"/>
  <c r="AW170" i="34"/>
  <c r="AW17" i="34"/>
  <c r="AU10" i="45" s="1"/>
  <c r="AW63" i="36"/>
  <c r="AW104" i="34" s="1"/>
  <c r="AW186" i="34"/>
  <c r="AX62" i="36"/>
  <c r="AX103" i="34" s="1"/>
  <c r="AX16" i="34"/>
  <c r="AX185" i="34"/>
  <c r="AX30" i="34"/>
  <c r="AX18" i="36"/>
  <c r="AX169" i="34"/>
  <c r="AX78" i="36"/>
  <c r="AX119" i="34" s="1"/>
  <c r="AX48" i="34"/>
  <c r="AU28" i="50"/>
  <c r="AY17" i="36"/>
  <c r="AB71" i="45"/>
  <c r="AY180" i="34"/>
  <c r="AY164" i="34"/>
  <c r="AY25" i="34"/>
  <c r="AW13" i="45" s="1"/>
  <c r="AY73" i="36"/>
  <c r="AY114" i="34" s="1"/>
  <c r="AY43" i="34"/>
  <c r="AW21" i="45" s="1"/>
  <c r="AY11" i="34"/>
  <c r="AW6" i="45" s="1"/>
  <c r="AY57" i="36"/>
  <c r="AY98" i="34" s="1"/>
  <c r="AZ4" i="36"/>
  <c r="AZ12" i="36"/>
  <c r="AZ24" i="34"/>
  <c r="AZ72" i="36"/>
  <c r="AZ113" i="34" s="1"/>
  <c r="AZ10" i="34"/>
  <c r="AZ179" i="34"/>
  <c r="AZ56" i="36"/>
  <c r="AZ97" i="34" s="1"/>
  <c r="AZ163" i="34"/>
  <c r="AZ42" i="34"/>
  <c r="AY185" i="34" l="1"/>
  <c r="AY48" i="34"/>
  <c r="AY62" i="36"/>
  <c r="AY103" i="34" s="1"/>
  <c r="AY18" i="36"/>
  <c r="AY169" i="34"/>
  <c r="AY16" i="34"/>
  <c r="AY30" i="34"/>
  <c r="AY78" i="36"/>
  <c r="AY119" i="34" s="1"/>
  <c r="AV28" i="50"/>
  <c r="AZ17" i="36"/>
  <c r="AX170" i="34"/>
  <c r="AX17" i="34"/>
  <c r="AV10" i="45" s="1"/>
  <c r="AX63" i="36"/>
  <c r="AX104" i="34" s="1"/>
  <c r="AX49" i="34"/>
  <c r="AV25" i="45" s="1"/>
  <c r="AX186" i="34"/>
  <c r="AX79" i="36"/>
  <c r="AX120" i="34" s="1"/>
  <c r="AX31" i="34"/>
  <c r="AV17" i="45" s="1"/>
  <c r="AU41" i="36"/>
  <c r="AT82" i="36"/>
  <c r="AZ43" i="34"/>
  <c r="AX21" i="45" s="1"/>
  <c r="AZ57" i="36"/>
  <c r="AZ98" i="34" s="1"/>
  <c r="AZ25" i="34"/>
  <c r="AX13" i="45" s="1"/>
  <c r="AZ180" i="34"/>
  <c r="AZ11" i="34"/>
  <c r="AX6" i="45" s="1"/>
  <c r="AZ164" i="34"/>
  <c r="AZ73" i="36"/>
  <c r="AZ114" i="34" s="1"/>
  <c r="BA12" i="36"/>
  <c r="BA10" i="34"/>
  <c r="BA163" i="34"/>
  <c r="BA72" i="36"/>
  <c r="BA113" i="34" s="1"/>
  <c r="BA24" i="34"/>
  <c r="BA42" i="34"/>
  <c r="BA179" i="34"/>
  <c r="BA56" i="36"/>
  <c r="BA97" i="34" s="1"/>
  <c r="AY186" i="34" l="1"/>
  <c r="AY79" i="36"/>
  <c r="AY120" i="34" s="1"/>
  <c r="AY170" i="34"/>
  <c r="AY49" i="34"/>
  <c r="AW25" i="45" s="1"/>
  <c r="AY31" i="34"/>
  <c r="AW17" i="45" s="1"/>
  <c r="AY17" i="34"/>
  <c r="AW10" i="45" s="1"/>
  <c r="AY63" i="36"/>
  <c r="AY104" i="34" s="1"/>
  <c r="AV41" i="36"/>
  <c r="AU82" i="36"/>
  <c r="AZ18" i="36"/>
  <c r="AZ78" i="36"/>
  <c r="AZ119" i="34" s="1"/>
  <c r="AZ48" i="34"/>
  <c r="AZ185" i="34"/>
  <c r="AZ169" i="34"/>
  <c r="AZ30" i="34"/>
  <c r="AZ16" i="34"/>
  <c r="AZ62" i="36"/>
  <c r="AZ103" i="34" s="1"/>
  <c r="AW28" i="50"/>
  <c r="BA17" i="36"/>
  <c r="BB12" i="36"/>
  <c r="BB163" i="34"/>
  <c r="BB24" i="34"/>
  <c r="BB42" i="34"/>
  <c r="BB56" i="36"/>
  <c r="BB97" i="34" s="1"/>
  <c r="BB72" i="36"/>
  <c r="BB113" i="34" s="1"/>
  <c r="BB10" i="34"/>
  <c r="BB179" i="34"/>
  <c r="BA180" i="34"/>
  <c r="BA25" i="34"/>
  <c r="AY13" i="45" s="1"/>
  <c r="BA73" i="36"/>
  <c r="BA114" i="34" s="1"/>
  <c r="BA164" i="34"/>
  <c r="BA11" i="34"/>
  <c r="AY6" i="45" s="1"/>
  <c r="BA43" i="34"/>
  <c r="AY21" i="45" s="1"/>
  <c r="BA57" i="36"/>
  <c r="BA98" i="34" s="1"/>
  <c r="AW41" i="36" l="1"/>
  <c r="AV82" i="36"/>
  <c r="BA16" i="34"/>
  <c r="BA185" i="34"/>
  <c r="BA30" i="34"/>
  <c r="BA169" i="34"/>
  <c r="BA62" i="36"/>
  <c r="BA103" i="34" s="1"/>
  <c r="BA48" i="34"/>
  <c r="BA18" i="36"/>
  <c r="BA78" i="36"/>
  <c r="BA119" i="34" s="1"/>
  <c r="AX28" i="50"/>
  <c r="BB17" i="36"/>
  <c r="AZ170" i="34"/>
  <c r="AZ186" i="34"/>
  <c r="AZ17" i="34"/>
  <c r="AX10" i="45" s="1"/>
  <c r="AZ63" i="36"/>
  <c r="AZ104" i="34" s="1"/>
  <c r="AZ31" i="34"/>
  <c r="AX17" i="45" s="1"/>
  <c r="AZ49" i="34"/>
  <c r="AX25" i="45" s="1"/>
  <c r="AZ79" i="36"/>
  <c r="AZ120" i="34" s="1"/>
  <c r="BB43" i="34"/>
  <c r="AZ21" i="45" s="1"/>
  <c r="BB164" i="34"/>
  <c r="BB73" i="36"/>
  <c r="BB114" i="34" s="1"/>
  <c r="BB180" i="34"/>
  <c r="BB57" i="36"/>
  <c r="BB98" i="34" s="1"/>
  <c r="BB25" i="34"/>
  <c r="AZ13" i="45" s="1"/>
  <c r="BB11" i="34"/>
  <c r="AZ6" i="45" s="1"/>
  <c r="BC12" i="36"/>
  <c r="BC42" i="34"/>
  <c r="BC179" i="34"/>
  <c r="BC163" i="34"/>
  <c r="BC10" i="34"/>
  <c r="BC72" i="36"/>
  <c r="BC113" i="34" s="1"/>
  <c r="BC24" i="34"/>
  <c r="BC56" i="36"/>
  <c r="BC97" i="34" s="1"/>
  <c r="BB78" i="36" l="1"/>
  <c r="BB119" i="34" s="1"/>
  <c r="BB16" i="34"/>
  <c r="BB30" i="34"/>
  <c r="BB185" i="34"/>
  <c r="BB18" i="36"/>
  <c r="BB62" i="36"/>
  <c r="BB103" i="34" s="1"/>
  <c r="BB48" i="34"/>
  <c r="BB169" i="34"/>
  <c r="AY28" i="50"/>
  <c r="BC17" i="36"/>
  <c r="BA17" i="34"/>
  <c r="AY10" i="45" s="1"/>
  <c r="BA170" i="34"/>
  <c r="BA79" i="36"/>
  <c r="BA120" i="34" s="1"/>
  <c r="BA49" i="34"/>
  <c r="AY25" i="45" s="1"/>
  <c r="BA63" i="36"/>
  <c r="BA104" i="34" s="1"/>
  <c r="BA31" i="34"/>
  <c r="AY17" i="45" s="1"/>
  <c r="BA186" i="34"/>
  <c r="AX41" i="36"/>
  <c r="AW82" i="36"/>
  <c r="BC25" i="34"/>
  <c r="BA13" i="45" s="1"/>
  <c r="BC73" i="36"/>
  <c r="BC114" i="34" s="1"/>
  <c r="BC43" i="34"/>
  <c r="BA21" i="45" s="1"/>
  <c r="BC164" i="34"/>
  <c r="BC11" i="34"/>
  <c r="BA6" i="45" s="1"/>
  <c r="BC180" i="34"/>
  <c r="BC57" i="36"/>
  <c r="BC98" i="34" s="1"/>
  <c r="BD179" i="34"/>
  <c r="BD72" i="36"/>
  <c r="BD113" i="34" s="1"/>
  <c r="BD24" i="34"/>
  <c r="BD12" i="36"/>
  <c r="BD56" i="36"/>
  <c r="BD97" i="34" s="1"/>
  <c r="BD42" i="34"/>
  <c r="BD10" i="34"/>
  <c r="BD163" i="34"/>
  <c r="AY41" i="36" l="1"/>
  <c r="AX82" i="36"/>
  <c r="BC169" i="34"/>
  <c r="BC16" i="34"/>
  <c r="BC30" i="34"/>
  <c r="BC18" i="36"/>
  <c r="BC185" i="34"/>
  <c r="BC48" i="34"/>
  <c r="BC78" i="36"/>
  <c r="BC119" i="34" s="1"/>
  <c r="BC62" i="36"/>
  <c r="BC103" i="34" s="1"/>
  <c r="AZ28" i="50"/>
  <c r="BD17" i="36"/>
  <c r="BB170" i="34"/>
  <c r="BB63" i="36"/>
  <c r="BB104" i="34" s="1"/>
  <c r="BB186" i="34"/>
  <c r="BB17" i="34"/>
  <c r="AZ10" i="45" s="1"/>
  <c r="BB31" i="34"/>
  <c r="AZ17" i="45" s="1"/>
  <c r="BB79" i="36"/>
  <c r="BB120" i="34" s="1"/>
  <c r="BB49" i="34"/>
  <c r="AZ25" i="45" s="1"/>
  <c r="BD43" i="34"/>
  <c r="BB21" i="45" s="1"/>
  <c r="BD164" i="34"/>
  <c r="BD25" i="34"/>
  <c r="BB13" i="45" s="1"/>
  <c r="BD11" i="34"/>
  <c r="BB6" i="45" s="1"/>
  <c r="BD57" i="36"/>
  <c r="BD98" i="34" s="1"/>
  <c r="BD180" i="34"/>
  <c r="BD73" i="36"/>
  <c r="BD114" i="34" s="1"/>
  <c r="BE12" i="36"/>
  <c r="BE72" i="36"/>
  <c r="BE113" i="34" s="1"/>
  <c r="BE42" i="34"/>
  <c r="BE56" i="36"/>
  <c r="BE97" i="34" s="1"/>
  <c r="BE163" i="34"/>
  <c r="BE10" i="34"/>
  <c r="BE24" i="34"/>
  <c r="BE179" i="34"/>
  <c r="BD169" i="34" l="1"/>
  <c r="BD30" i="34"/>
  <c r="BD185" i="34"/>
  <c r="BD48" i="34"/>
  <c r="BD78" i="36"/>
  <c r="BD119" i="34" s="1"/>
  <c r="BD18" i="36"/>
  <c r="BD62" i="36"/>
  <c r="BD103" i="34" s="1"/>
  <c r="BD16" i="34"/>
  <c r="BA28" i="50"/>
  <c r="BE17" i="36"/>
  <c r="BC31" i="34"/>
  <c r="BA17" i="45" s="1"/>
  <c r="BC63" i="36"/>
  <c r="BC104" i="34" s="1"/>
  <c r="BC186" i="34"/>
  <c r="BC170" i="34"/>
  <c r="BC79" i="36"/>
  <c r="BC120" i="34" s="1"/>
  <c r="BC17" i="34"/>
  <c r="BA10" i="45" s="1"/>
  <c r="BC49" i="34"/>
  <c r="BA25" i="45" s="1"/>
  <c r="AZ41" i="36"/>
  <c r="AY82" i="36"/>
  <c r="BE25" i="34"/>
  <c r="BC13" i="45" s="1"/>
  <c r="BE57" i="36"/>
  <c r="BE98" i="34" s="1"/>
  <c r="BE180" i="34"/>
  <c r="BE164" i="34"/>
  <c r="BE73" i="36"/>
  <c r="BE114" i="34" s="1"/>
  <c r="BE43" i="34"/>
  <c r="BC21" i="45" s="1"/>
  <c r="BE11" i="34"/>
  <c r="BC6" i="45" s="1"/>
  <c r="BF12" i="36"/>
  <c r="BF72" i="36"/>
  <c r="BF113" i="34" s="1"/>
  <c r="BF24" i="34"/>
  <c r="BF10" i="34"/>
  <c r="BF163" i="34"/>
  <c r="BF56" i="36"/>
  <c r="BF97" i="34" s="1"/>
  <c r="BF42" i="34"/>
  <c r="BF179" i="34"/>
  <c r="BA41" i="36" l="1"/>
  <c r="AZ82" i="36"/>
  <c r="BE185" i="34"/>
  <c r="BE30" i="34"/>
  <c r="BE78" i="36"/>
  <c r="BE119" i="34" s="1"/>
  <c r="BE16" i="34"/>
  <c r="BE62" i="36"/>
  <c r="BE103" i="34" s="1"/>
  <c r="BE18" i="36"/>
  <c r="BE169" i="34"/>
  <c r="BE48" i="34"/>
  <c r="BD49" i="34"/>
  <c r="BB25" i="45" s="1"/>
  <c r="BD17" i="34"/>
  <c r="BB10" i="45" s="1"/>
  <c r="BD79" i="36"/>
  <c r="BD120" i="34" s="1"/>
  <c r="BD186" i="34"/>
  <c r="BD31" i="34"/>
  <c r="BB17" i="45" s="1"/>
  <c r="BD170" i="34"/>
  <c r="BD63" i="36"/>
  <c r="BD104" i="34" s="1"/>
  <c r="BF17" i="36"/>
  <c r="BB28" i="50"/>
  <c r="BF11" i="34"/>
  <c r="BD6" i="45" s="1"/>
  <c r="BF73" i="36"/>
  <c r="BF114" i="34" s="1"/>
  <c r="BF25" i="34"/>
  <c r="BD13" i="45" s="1"/>
  <c r="BF180" i="34"/>
  <c r="BF164" i="34"/>
  <c r="BF43" i="34"/>
  <c r="BD21" i="45" s="1"/>
  <c r="BF57" i="36"/>
  <c r="BF98" i="34" s="1"/>
  <c r="BG163" i="34"/>
  <c r="BG10" i="34"/>
  <c r="BG179" i="34"/>
  <c r="BG56" i="36"/>
  <c r="BG97" i="34" s="1"/>
  <c r="BG24" i="34"/>
  <c r="BG12" i="36"/>
  <c r="BG72" i="36"/>
  <c r="BG113" i="34" s="1"/>
  <c r="BG42" i="34"/>
  <c r="BE186" i="34" l="1"/>
  <c r="BE79" i="36"/>
  <c r="BE120" i="34" s="1"/>
  <c r="BE31" i="34"/>
  <c r="BC17" i="45" s="1"/>
  <c r="BE17" i="34"/>
  <c r="BC10" i="45" s="1"/>
  <c r="BE63" i="36"/>
  <c r="BE104" i="34" s="1"/>
  <c r="BE49" i="34"/>
  <c r="BC25" i="45" s="1"/>
  <c r="BE170" i="34"/>
  <c r="BC28" i="50"/>
  <c r="BG17" i="36"/>
  <c r="BF185" i="34"/>
  <c r="BF16" i="34"/>
  <c r="BF18" i="36"/>
  <c r="BF169" i="34"/>
  <c r="BF48" i="34"/>
  <c r="BF62" i="36"/>
  <c r="BF103" i="34" s="1"/>
  <c r="BF30" i="34"/>
  <c r="BF78" i="36"/>
  <c r="BF119" i="34" s="1"/>
  <c r="BB41" i="36"/>
  <c r="BA82" i="36"/>
  <c r="BG164" i="34"/>
  <c r="BG43" i="34"/>
  <c r="BE21" i="45" s="1"/>
  <c r="BG11" i="34"/>
  <c r="BE6" i="45" s="1"/>
  <c r="BG180" i="34"/>
  <c r="BG73" i="36"/>
  <c r="BG114" i="34" s="1"/>
  <c r="BG25" i="34"/>
  <c r="BE13" i="45" s="1"/>
  <c r="BG57" i="36"/>
  <c r="BG98" i="34" s="1"/>
  <c r="BH12" i="36"/>
  <c r="BH179" i="34"/>
  <c r="BH56" i="36"/>
  <c r="BH97" i="34" s="1"/>
  <c r="BH42" i="34"/>
  <c r="BH163" i="34"/>
  <c r="BH72" i="36"/>
  <c r="BH113" i="34" s="1"/>
  <c r="BH24" i="34"/>
  <c r="BH10" i="34"/>
  <c r="BF31" i="34" l="1"/>
  <c r="BD17" i="45" s="1"/>
  <c r="BF63" i="36"/>
  <c r="BF104" i="34" s="1"/>
  <c r="BF170" i="34"/>
  <c r="BF79" i="36"/>
  <c r="BF120" i="34" s="1"/>
  <c r="BF49" i="34"/>
  <c r="BD25" i="45" s="1"/>
  <c r="BF186" i="34"/>
  <c r="BF17" i="34"/>
  <c r="BD10" i="45" s="1"/>
  <c r="BD28" i="50"/>
  <c r="BH17" i="36"/>
  <c r="BC41" i="36"/>
  <c r="BB82" i="36"/>
  <c r="BG169" i="34"/>
  <c r="BG48" i="34"/>
  <c r="BG62" i="36"/>
  <c r="BG103" i="34" s="1"/>
  <c r="BG78" i="36"/>
  <c r="BG119" i="34" s="1"/>
  <c r="BG30" i="34"/>
  <c r="BG18" i="36"/>
  <c r="BG185" i="34"/>
  <c r="BG16" i="34"/>
  <c r="BI163" i="34"/>
  <c r="BI10" i="34"/>
  <c r="BI179" i="34"/>
  <c r="BI42" i="34"/>
  <c r="BI72" i="36"/>
  <c r="BI113" i="34" s="1"/>
  <c r="BI56" i="36"/>
  <c r="BI97" i="34" s="1"/>
  <c r="BI24" i="34"/>
  <c r="BI12" i="36"/>
  <c r="BH43" i="34"/>
  <c r="BF21" i="45" s="1"/>
  <c r="BH180" i="34"/>
  <c r="BH57" i="36"/>
  <c r="BH98" i="34" s="1"/>
  <c r="BH11" i="34"/>
  <c r="BF6" i="45" s="1"/>
  <c r="BH25" i="34"/>
  <c r="BF13" i="45" s="1"/>
  <c r="BH164" i="34"/>
  <c r="BH73" i="36"/>
  <c r="BH114" i="34" s="1"/>
  <c r="BE28" i="50" l="1"/>
  <c r="BI17" i="36"/>
  <c r="BD41" i="36"/>
  <c r="BC82" i="36"/>
  <c r="BG17" i="34"/>
  <c r="BE10" i="45" s="1"/>
  <c r="BG79" i="36"/>
  <c r="BG120" i="34" s="1"/>
  <c r="BG49" i="34"/>
  <c r="BE25" i="45" s="1"/>
  <c r="BG186" i="34"/>
  <c r="BG170" i="34"/>
  <c r="BG31" i="34"/>
  <c r="BE17" i="45" s="1"/>
  <c r="BG63" i="36"/>
  <c r="BG104" i="34" s="1"/>
  <c r="BH185" i="34"/>
  <c r="BH30" i="34"/>
  <c r="BH62" i="36"/>
  <c r="BH103" i="34" s="1"/>
  <c r="BH18" i="36"/>
  <c r="BH78" i="36"/>
  <c r="BH119" i="34" s="1"/>
  <c r="BH169" i="34"/>
  <c r="BH48" i="34"/>
  <c r="BH16" i="34"/>
  <c r="BI43" i="34"/>
  <c r="BG21" i="45" s="1"/>
  <c r="BI180" i="34"/>
  <c r="BI164" i="34"/>
  <c r="BI25" i="34"/>
  <c r="BG13" i="45" s="1"/>
  <c r="BI57" i="36"/>
  <c r="BI98" i="34" s="1"/>
  <c r="BI11" i="34"/>
  <c r="BG6" i="45" s="1"/>
  <c r="BI73" i="36"/>
  <c r="BI114" i="34" s="1"/>
  <c r="BJ12" i="36"/>
  <c r="BJ24" i="34"/>
  <c r="BJ163" i="34"/>
  <c r="BJ42" i="34"/>
  <c r="BJ56" i="36"/>
  <c r="BJ97" i="34" s="1"/>
  <c r="BJ10" i="34"/>
  <c r="BJ179" i="34"/>
  <c r="BJ72" i="36"/>
  <c r="BJ113" i="34" s="1"/>
  <c r="BH49" i="34" l="1"/>
  <c r="BF25" i="45" s="1"/>
  <c r="BH186" i="34"/>
  <c r="BH17" i="34"/>
  <c r="BF10" i="45" s="1"/>
  <c r="BH79" i="36"/>
  <c r="BH120" i="34" s="1"/>
  <c r="BH31" i="34"/>
  <c r="BF17" i="45" s="1"/>
  <c r="BH170" i="34"/>
  <c r="BH63" i="36"/>
  <c r="BH104" i="34" s="1"/>
  <c r="BE41" i="36"/>
  <c r="BD82" i="36"/>
  <c r="BI169" i="34"/>
  <c r="BI185" i="34"/>
  <c r="BI30" i="34"/>
  <c r="BI16" i="34"/>
  <c r="BI62" i="36"/>
  <c r="BI103" i="34" s="1"/>
  <c r="BI18" i="36"/>
  <c r="BI78" i="36"/>
  <c r="BI119" i="34" s="1"/>
  <c r="BI48" i="34"/>
  <c r="BF28" i="50"/>
  <c r="BJ17" i="36"/>
  <c r="BJ180" i="34"/>
  <c r="BJ11" i="34"/>
  <c r="BH6" i="45" s="1"/>
  <c r="BJ25" i="34"/>
  <c r="BH13" i="45" s="1"/>
  <c r="BJ57" i="36"/>
  <c r="BJ98" i="34" s="1"/>
  <c r="BJ164" i="34"/>
  <c r="BJ43" i="34"/>
  <c r="BH21" i="45" s="1"/>
  <c r="BJ73" i="36"/>
  <c r="BJ114" i="34" s="1"/>
  <c r="BK12" i="36"/>
  <c r="BK56" i="36"/>
  <c r="BK97" i="34" s="1"/>
  <c r="BK24" i="34"/>
  <c r="BK10" i="34"/>
  <c r="BK72" i="36"/>
  <c r="BK113" i="34" s="1"/>
  <c r="BK42" i="34"/>
  <c r="BK163" i="34"/>
  <c r="BK179" i="34"/>
  <c r="BJ185" i="34" l="1"/>
  <c r="BJ16" i="34"/>
  <c r="BJ78" i="36"/>
  <c r="BJ119" i="34" s="1"/>
  <c r="BJ30" i="34"/>
  <c r="BJ62" i="36"/>
  <c r="BJ103" i="34" s="1"/>
  <c r="BJ18" i="36"/>
  <c r="BJ169" i="34"/>
  <c r="BJ48" i="34"/>
  <c r="BI49" i="34"/>
  <c r="BG25" i="45" s="1"/>
  <c r="BI186" i="34"/>
  <c r="BI79" i="36"/>
  <c r="BI120" i="34" s="1"/>
  <c r="BI17" i="34"/>
  <c r="BG10" i="45" s="1"/>
  <c r="BI31" i="34"/>
  <c r="BG17" i="45" s="1"/>
  <c r="BI63" i="36"/>
  <c r="BI104" i="34" s="1"/>
  <c r="BI170" i="34"/>
  <c r="BF41" i="36"/>
  <c r="BE82" i="36"/>
  <c r="BG28" i="50"/>
  <c r="BK17" i="36"/>
  <c r="BK25" i="34"/>
  <c r="BI13" i="45" s="1"/>
  <c r="BK43" i="34"/>
  <c r="BI21" i="45" s="1"/>
  <c r="BK180" i="34"/>
  <c r="BK164" i="34"/>
  <c r="BK73" i="36"/>
  <c r="BK114" i="34" s="1"/>
  <c r="BK11" i="34"/>
  <c r="BI6" i="45" s="1"/>
  <c r="BK57" i="36"/>
  <c r="BK98" i="34" s="1"/>
  <c r="BL12" i="36"/>
  <c r="BL10" i="34"/>
  <c r="BL72" i="36"/>
  <c r="BL113" i="34" s="1"/>
  <c r="BL56" i="36"/>
  <c r="BL97" i="34" s="1"/>
  <c r="BL179" i="34"/>
  <c r="BL42" i="34"/>
  <c r="BL163" i="34"/>
  <c r="BL24" i="34"/>
  <c r="BG41" i="36" l="1"/>
  <c r="BF82" i="36"/>
  <c r="BK185" i="34"/>
  <c r="BK16" i="34"/>
  <c r="BK62" i="36"/>
  <c r="BK103" i="34" s="1"/>
  <c r="BK169" i="34"/>
  <c r="BK30" i="34"/>
  <c r="BK18" i="36"/>
  <c r="BK78" i="36"/>
  <c r="BK119" i="34" s="1"/>
  <c r="BK48" i="34"/>
  <c r="BH28" i="50"/>
  <c r="BL17" i="36"/>
  <c r="BJ186" i="34"/>
  <c r="BJ31" i="34"/>
  <c r="BH17" i="45" s="1"/>
  <c r="BJ170" i="34"/>
  <c r="BJ49" i="34"/>
  <c r="BH25" i="45" s="1"/>
  <c r="BJ79" i="36"/>
  <c r="BJ120" i="34" s="1"/>
  <c r="BJ17" i="34"/>
  <c r="BH10" i="45" s="1"/>
  <c r="BJ63" i="36"/>
  <c r="BJ104" i="34" s="1"/>
  <c r="BM12" i="36"/>
  <c r="BM42" i="34"/>
  <c r="BM72" i="36"/>
  <c r="BM113" i="34" s="1"/>
  <c r="BM179" i="34"/>
  <c r="BM24" i="34"/>
  <c r="BM163" i="34"/>
  <c r="BM56" i="36"/>
  <c r="BM97" i="34" s="1"/>
  <c r="BM10" i="34"/>
  <c r="BL180" i="34"/>
  <c r="BL57" i="36"/>
  <c r="BL98" i="34" s="1"/>
  <c r="BL25" i="34"/>
  <c r="BJ13" i="45" s="1"/>
  <c r="BL73" i="36"/>
  <c r="BL114" i="34" s="1"/>
  <c r="BL164" i="34"/>
  <c r="BL11" i="34"/>
  <c r="BJ6" i="45" s="1"/>
  <c r="BL43" i="34"/>
  <c r="BJ21" i="45" s="1"/>
  <c r="BL185" i="34" l="1"/>
  <c r="BL62" i="36"/>
  <c r="BL103" i="34" s="1"/>
  <c r="BL48" i="34"/>
  <c r="BL30" i="34"/>
  <c r="BL18" i="36"/>
  <c r="BL78" i="36"/>
  <c r="BL119" i="34" s="1"/>
  <c r="BL169" i="34"/>
  <c r="BL16" i="34"/>
  <c r="BK31" i="34"/>
  <c r="BI17" i="45" s="1"/>
  <c r="BK49" i="34"/>
  <c r="BI25" i="45" s="1"/>
  <c r="BK186" i="34"/>
  <c r="BK170" i="34"/>
  <c r="BK17" i="34"/>
  <c r="BI10" i="45" s="1"/>
  <c r="BK79" i="36"/>
  <c r="BK120" i="34" s="1"/>
  <c r="BK63" i="36"/>
  <c r="BK104" i="34" s="1"/>
  <c r="BI28" i="50"/>
  <c r="BM17" i="36"/>
  <c r="BH41" i="36"/>
  <c r="BG82" i="36"/>
  <c r="BM11" i="34"/>
  <c r="BK6" i="45" s="1"/>
  <c r="BM180" i="34"/>
  <c r="BM73" i="36"/>
  <c r="BM114" i="34" s="1"/>
  <c r="BM43" i="34"/>
  <c r="BK21" i="45" s="1"/>
  <c r="BM25" i="34"/>
  <c r="BK13" i="45" s="1"/>
  <c r="BM57" i="36"/>
  <c r="BM98" i="34" s="1"/>
  <c r="BM164" i="34"/>
  <c r="BN163" i="34"/>
  <c r="BN12" i="36"/>
  <c r="BN56" i="36"/>
  <c r="BN97" i="34" s="1"/>
  <c r="BN179" i="34"/>
  <c r="BN24" i="34"/>
  <c r="BN42" i="34"/>
  <c r="BN10" i="34"/>
  <c r="BN72" i="36"/>
  <c r="BN113" i="34" s="1"/>
  <c r="BJ28" i="50" l="1"/>
  <c r="BN17" i="36"/>
  <c r="BI41" i="36"/>
  <c r="BH82" i="36"/>
  <c r="BM185" i="34"/>
  <c r="BM30" i="34"/>
  <c r="BM78" i="36"/>
  <c r="BM119" i="34" s="1"/>
  <c r="BM62" i="36"/>
  <c r="BM103" i="34" s="1"/>
  <c r="BM48" i="34"/>
  <c r="BM18" i="36"/>
  <c r="BM169" i="34"/>
  <c r="BM16" i="34"/>
  <c r="BL17" i="34"/>
  <c r="BJ10" i="45" s="1"/>
  <c r="BL79" i="36"/>
  <c r="BL120" i="34" s="1"/>
  <c r="BL49" i="34"/>
  <c r="BJ25" i="45" s="1"/>
  <c r="BL63" i="36"/>
  <c r="BL104" i="34" s="1"/>
  <c r="BL170" i="34"/>
  <c r="BL31" i="34"/>
  <c r="BJ17" i="45" s="1"/>
  <c r="BL186" i="34"/>
  <c r="BO12" i="36"/>
  <c r="BO163" i="34"/>
  <c r="BO42" i="34"/>
  <c r="BO72" i="36"/>
  <c r="BO113" i="34" s="1"/>
  <c r="BO56" i="36"/>
  <c r="BO97" i="34" s="1"/>
  <c r="BO24" i="34"/>
  <c r="BO179" i="34"/>
  <c r="BO10" i="34"/>
  <c r="BN11" i="34"/>
  <c r="BL6" i="45" s="1"/>
  <c r="BN25" i="34"/>
  <c r="BL13" i="45" s="1"/>
  <c r="BN57" i="36"/>
  <c r="BN98" i="34" s="1"/>
  <c r="BN180" i="34"/>
  <c r="BN73" i="36"/>
  <c r="BN114" i="34" s="1"/>
  <c r="BN164" i="34"/>
  <c r="BN43" i="34"/>
  <c r="BL21" i="45" s="1"/>
  <c r="BM31" i="34" l="1"/>
  <c r="BK17" i="45" s="1"/>
  <c r="BM170" i="34"/>
  <c r="BM79" i="36"/>
  <c r="BM120" i="34" s="1"/>
  <c r="BM49" i="34"/>
  <c r="BK25" i="45" s="1"/>
  <c r="BM186" i="34"/>
  <c r="BM17" i="34"/>
  <c r="BK10" i="45" s="1"/>
  <c r="BM63" i="36"/>
  <c r="BM104" i="34" s="1"/>
  <c r="BN62" i="36"/>
  <c r="BN103" i="34" s="1"/>
  <c r="BN48" i="34"/>
  <c r="BN185" i="34"/>
  <c r="BN78" i="36"/>
  <c r="BN119" i="34" s="1"/>
  <c r="BN169" i="34"/>
  <c r="BN16" i="34"/>
  <c r="BN18" i="36"/>
  <c r="BN30" i="34"/>
  <c r="BJ41" i="36"/>
  <c r="BI82" i="36"/>
  <c r="BK28" i="50"/>
  <c r="BP17" i="36" s="1"/>
  <c r="BP18" i="36" s="1"/>
  <c r="BO17" i="36"/>
  <c r="BO164" i="34"/>
  <c r="BO73" i="36"/>
  <c r="BO114" i="34" s="1"/>
  <c r="BO43" i="34"/>
  <c r="BM21" i="45" s="1"/>
  <c r="BO11" i="34"/>
  <c r="BM6" i="45" s="1"/>
  <c r="BO57" i="36"/>
  <c r="BO98" i="34" s="1"/>
  <c r="BO25" i="34"/>
  <c r="BM13" i="45" s="1"/>
  <c r="BO180" i="34"/>
  <c r="BP12" i="36"/>
  <c r="BP56" i="36"/>
  <c r="BP97" i="34" s="1"/>
  <c r="BP24" i="34"/>
  <c r="BP42" i="34"/>
  <c r="BP72" i="36"/>
  <c r="BP113" i="34" s="1"/>
  <c r="BP179" i="34"/>
  <c r="BP10" i="34"/>
  <c r="BP163" i="34"/>
  <c r="BP185" i="34"/>
  <c r="BP169" i="34"/>
  <c r="BP62" i="36"/>
  <c r="BP78" i="36"/>
  <c r="BP48" i="34"/>
  <c r="BP30" i="34"/>
  <c r="BP16" i="34"/>
  <c r="BO169" i="34" l="1"/>
  <c r="BO16" i="34"/>
  <c r="BO185" i="34"/>
  <c r="BO48" i="34"/>
  <c r="BO62" i="36"/>
  <c r="BO103" i="34" s="1"/>
  <c r="BO30" i="34"/>
  <c r="BO78" i="36"/>
  <c r="BO119" i="34" s="1"/>
  <c r="BO18" i="36"/>
  <c r="BN186" i="34"/>
  <c r="BN63" i="36"/>
  <c r="BN104" i="34" s="1"/>
  <c r="BN31" i="34"/>
  <c r="BL17" i="45" s="1"/>
  <c r="BN79" i="36"/>
  <c r="BN120" i="34" s="1"/>
  <c r="BN17" i="34"/>
  <c r="BL10" i="45" s="1"/>
  <c r="BN49" i="34"/>
  <c r="BL25" i="45" s="1"/>
  <c r="BN170" i="34"/>
  <c r="BK41" i="36"/>
  <c r="BJ82" i="36"/>
  <c r="BP43" i="34"/>
  <c r="BN21" i="45" s="1"/>
  <c r="BP180" i="34"/>
  <c r="BP11" i="34"/>
  <c r="BN6" i="45" s="1"/>
  <c r="BP57" i="36"/>
  <c r="BP98" i="34" s="1"/>
  <c r="BP164" i="34"/>
  <c r="BP25" i="34"/>
  <c r="BN13" i="45" s="1"/>
  <c r="BP73" i="36"/>
  <c r="BP114" i="34" s="1"/>
  <c r="BP119" i="34"/>
  <c r="BP186" i="34"/>
  <c r="BP31" i="34"/>
  <c r="BN17" i="45" s="1"/>
  <c r="BP49" i="34"/>
  <c r="BN25" i="45" s="1"/>
  <c r="BP170" i="34"/>
  <c r="BP17" i="34"/>
  <c r="BN10" i="45" s="1"/>
  <c r="BP79" i="36"/>
  <c r="BP120" i="34" s="1"/>
  <c r="BP63" i="36"/>
  <c r="BP104" i="34" s="1"/>
  <c r="BP103" i="34"/>
  <c r="BL41" i="36" l="1"/>
  <c r="BK82" i="36"/>
  <c r="BO170" i="34"/>
  <c r="BO63" i="36"/>
  <c r="BO104" i="34" s="1"/>
  <c r="BO186" i="34"/>
  <c r="BO31" i="34"/>
  <c r="BM17" i="45" s="1"/>
  <c r="BO79" i="36"/>
  <c r="BO120" i="34" s="1"/>
  <c r="BO49" i="34"/>
  <c r="BM25" i="45" s="1"/>
  <c r="BO17" i="34"/>
  <c r="BM10" i="45" s="1"/>
  <c r="BM41" i="36" l="1"/>
  <c r="BL82" i="36"/>
  <c r="BN41" i="36" l="1"/>
  <c r="BM82" i="36"/>
  <c r="T18" i="55"/>
  <c r="BO41" i="36" l="1"/>
  <c r="BN82" i="36"/>
  <c r="BA18" i="55"/>
  <c r="AE39" i="50"/>
  <c r="AC18" i="55"/>
  <c r="Y18" i="55"/>
  <c r="AJ18" i="55"/>
  <c r="AA18" i="55"/>
  <c r="U18" i="55"/>
  <c r="AE18" i="55"/>
  <c r="AP18" i="55"/>
  <c r="AB18" i="55"/>
  <c r="BP41" i="36" l="1"/>
  <c r="BP82" i="36" s="1"/>
  <c r="BO82" i="36"/>
  <c r="AL18" i="55"/>
  <c r="AK18" i="55"/>
  <c r="AF18" i="55"/>
  <c r="AG18" i="55"/>
  <c r="AY18" i="55"/>
  <c r="AD18" i="55"/>
  <c r="AM18" i="55"/>
  <c r="AH18" i="55"/>
  <c r="W18" i="55"/>
  <c r="AV18" i="55"/>
  <c r="AN18" i="55"/>
  <c r="AT18" i="55"/>
  <c r="AU18" i="55"/>
  <c r="V18" i="55"/>
  <c r="AQ18" i="55"/>
  <c r="AI18" i="55"/>
  <c r="Z18" i="55"/>
  <c r="AO69" i="36"/>
  <c r="AX18" i="55"/>
  <c r="AR18" i="55"/>
  <c r="AZ18" i="55"/>
  <c r="AW18" i="55"/>
  <c r="X18" i="55"/>
  <c r="AS18" i="55"/>
  <c r="AO18" i="55"/>
  <c r="AJ7" i="34"/>
  <c r="AH5" i="45" s="1"/>
  <c r="AH4" i="45" s="1"/>
  <c r="AH58" i="45" s="1"/>
  <c r="AJ176" i="34"/>
  <c r="AH54" i="45" s="1"/>
  <c r="AJ160" i="34"/>
  <c r="AH53" i="45" s="1"/>
  <c r="AJ21" i="34"/>
  <c r="AH12" i="45" s="1"/>
  <c r="AH11" i="45" s="1"/>
  <c r="AH59" i="45" s="1"/>
  <c r="AJ69" i="36"/>
  <c r="AJ53" i="36"/>
  <c r="AJ39" i="34"/>
  <c r="AH20" i="45" s="1"/>
  <c r="AH19" i="45" s="1"/>
  <c r="AH60" i="45" s="1"/>
  <c r="AK39" i="50"/>
  <c r="AP176" i="34"/>
  <c r="AN54" i="45" s="1"/>
  <c r="AP39" i="34"/>
  <c r="AN20" i="45" s="1"/>
  <c r="AN19" i="45" s="1"/>
  <c r="AN60" i="45" s="1"/>
  <c r="AP160" i="34"/>
  <c r="AN53" i="45" s="1"/>
  <c r="AP53" i="36"/>
  <c r="AP7" i="34"/>
  <c r="AN5" i="45" s="1"/>
  <c r="AN4" i="45" s="1"/>
  <c r="AN58" i="45" s="1"/>
  <c r="AP69" i="36"/>
  <c r="AP21" i="34"/>
  <c r="AN12" i="45" s="1"/>
  <c r="AN11" i="45" s="1"/>
  <c r="AN59" i="45" s="1"/>
  <c r="AN39" i="50"/>
  <c r="AS39" i="34"/>
  <c r="AQ20" i="45" s="1"/>
  <c r="AQ19" i="45" s="1"/>
  <c r="AQ60" i="45" s="1"/>
  <c r="AS160" i="34"/>
  <c r="AQ53" i="45" s="1"/>
  <c r="AS21" i="34"/>
  <c r="AQ12" i="45" s="1"/>
  <c r="AQ11" i="45" s="1"/>
  <c r="AQ59" i="45" s="1"/>
  <c r="AS53" i="36"/>
  <c r="AS69" i="36"/>
  <c r="AS176" i="34"/>
  <c r="AQ54" i="45" s="1"/>
  <c r="AS7" i="34"/>
  <c r="AQ5" i="45" s="1"/>
  <c r="AQ4" i="45" s="1"/>
  <c r="AQ58" i="45" s="1"/>
  <c r="AN176" i="34"/>
  <c r="AL54" i="45" s="1"/>
  <c r="AI39" i="50"/>
  <c r="AN21" i="34"/>
  <c r="AL12" i="45" s="1"/>
  <c r="AL11" i="45" s="1"/>
  <c r="AL59" i="45" s="1"/>
  <c r="AN7" i="34"/>
  <c r="AL5" i="45" s="1"/>
  <c r="AL4" i="45" s="1"/>
  <c r="AL58" i="45" s="1"/>
  <c r="AN53" i="36"/>
  <c r="AN160" i="34"/>
  <c r="AL53" i="45" s="1"/>
  <c r="AN39" i="34"/>
  <c r="AL20" i="45" s="1"/>
  <c r="AL19" i="45" s="1"/>
  <c r="AL60" i="45" s="1"/>
  <c r="AN69" i="36"/>
  <c r="AQ7" i="34"/>
  <c r="AO5" i="45" s="1"/>
  <c r="AO4" i="45" s="1"/>
  <c r="AO58" i="45" s="1"/>
  <c r="AQ69" i="36"/>
  <c r="AQ176" i="34"/>
  <c r="AO54" i="45" s="1"/>
  <c r="AL39" i="50"/>
  <c r="AQ53" i="36"/>
  <c r="AQ160" i="34"/>
  <c r="AO53" i="45" s="1"/>
  <c r="AQ21" i="34"/>
  <c r="AO12" i="45" s="1"/>
  <c r="AO11" i="45" s="1"/>
  <c r="AO59" i="45" s="1"/>
  <c r="AQ39" i="34"/>
  <c r="AO20" i="45" s="1"/>
  <c r="AO19" i="45" s="1"/>
  <c r="AO60" i="45" s="1"/>
  <c r="AK21" i="34"/>
  <c r="AI12" i="45" s="1"/>
  <c r="AI11" i="45" s="1"/>
  <c r="AI59" i="45" s="1"/>
  <c r="AK176" i="34"/>
  <c r="AI54" i="45" s="1"/>
  <c r="AK53" i="36"/>
  <c r="AK39" i="34"/>
  <c r="AI20" i="45" s="1"/>
  <c r="AI19" i="45" s="1"/>
  <c r="AI60" i="45" s="1"/>
  <c r="AF39" i="50"/>
  <c r="AK7" i="34"/>
  <c r="AI5" i="45" s="1"/>
  <c r="AI4" i="45" s="1"/>
  <c r="AI58" i="45" s="1"/>
  <c r="AK69" i="36"/>
  <c r="AK160" i="34"/>
  <c r="AI53" i="45" s="1"/>
  <c r="AP39" i="50"/>
  <c r="AU176" i="34"/>
  <c r="AS54" i="45" s="1"/>
  <c r="AU69" i="36"/>
  <c r="AU21" i="34"/>
  <c r="AS12" i="45" s="1"/>
  <c r="AS11" i="45" s="1"/>
  <c r="AS59" i="45" s="1"/>
  <c r="AU160" i="34"/>
  <c r="AS53" i="45" s="1"/>
  <c r="AU39" i="34"/>
  <c r="AS20" i="45" s="1"/>
  <c r="AS19" i="45" s="1"/>
  <c r="AS60" i="45" s="1"/>
  <c r="AU7" i="34"/>
  <c r="AS5" i="45" s="1"/>
  <c r="AS4" i="45" s="1"/>
  <c r="AS58" i="45" s="1"/>
  <c r="AU53" i="36"/>
  <c r="AM176" i="34"/>
  <c r="AK54" i="45" s="1"/>
  <c r="AM21" i="34"/>
  <c r="AK12" i="45" s="1"/>
  <c r="AK11" i="45" s="1"/>
  <c r="AK59" i="45" s="1"/>
  <c r="AH39" i="50"/>
  <c r="AM69" i="36"/>
  <c r="AM7" i="34"/>
  <c r="AK5" i="45" s="1"/>
  <c r="AK4" i="45" s="1"/>
  <c r="AK58" i="45" s="1"/>
  <c r="AM39" i="34"/>
  <c r="AK20" i="45" s="1"/>
  <c r="AK19" i="45" s="1"/>
  <c r="AK60" i="45" s="1"/>
  <c r="AM160" i="34"/>
  <c r="AK53" i="45" s="1"/>
  <c r="AM53" i="36"/>
  <c r="AR176" i="34"/>
  <c r="AP54" i="45" s="1"/>
  <c r="AR69" i="36"/>
  <c r="AM39" i="50"/>
  <c r="AR21" i="34"/>
  <c r="AP12" i="45" s="1"/>
  <c r="AP11" i="45" s="1"/>
  <c r="AP59" i="45" s="1"/>
  <c r="AR39" i="34"/>
  <c r="AP20" i="45" s="1"/>
  <c r="AP19" i="45" s="1"/>
  <c r="AP60" i="45" s="1"/>
  <c r="AR7" i="34"/>
  <c r="AP5" i="45" s="1"/>
  <c r="AP4" i="45" s="1"/>
  <c r="AP58" i="45" s="1"/>
  <c r="AR160" i="34"/>
  <c r="AP53" i="45" s="1"/>
  <c r="AR53" i="36"/>
  <c r="AV69" i="36"/>
  <c r="AV176" i="34"/>
  <c r="AT54" i="45" s="1"/>
  <c r="AQ39" i="50"/>
  <c r="AV39" i="34"/>
  <c r="AT20" i="45" s="1"/>
  <c r="AT19" i="45" s="1"/>
  <c r="AT60" i="45" s="1"/>
  <c r="AV21" i="34"/>
  <c r="AT12" i="45" s="1"/>
  <c r="AT11" i="45" s="1"/>
  <c r="AT59" i="45" s="1"/>
  <c r="AV7" i="34"/>
  <c r="AT5" i="45" s="1"/>
  <c r="AT4" i="45" s="1"/>
  <c r="AT58" i="45" s="1"/>
  <c r="AV160" i="34"/>
  <c r="AT53" i="45" s="1"/>
  <c r="AV53" i="36"/>
  <c r="AG39" i="50"/>
  <c r="AL69" i="36"/>
  <c r="AL176" i="34"/>
  <c r="AJ54" i="45" s="1"/>
  <c r="AL21" i="34"/>
  <c r="AJ12" i="45" s="1"/>
  <c r="AJ11" i="45" s="1"/>
  <c r="AJ59" i="45" s="1"/>
  <c r="AL53" i="36"/>
  <c r="AL160" i="34"/>
  <c r="AJ53" i="45" s="1"/>
  <c r="AL7" i="34"/>
  <c r="AJ5" i="45" s="1"/>
  <c r="AJ4" i="45" s="1"/>
  <c r="AJ58" i="45" s="1"/>
  <c r="AL39" i="34"/>
  <c r="AJ20" i="45" s="1"/>
  <c r="AJ19" i="45" s="1"/>
  <c r="AJ60" i="45" s="1"/>
  <c r="AT7" i="34"/>
  <c r="AR5" i="45" s="1"/>
  <c r="AR4" i="45" s="1"/>
  <c r="AR58" i="45" s="1"/>
  <c r="AO39" i="50"/>
  <c r="AT176" i="34"/>
  <c r="AR54" i="45" s="1"/>
  <c r="AT160" i="34"/>
  <c r="AR53" i="45" s="1"/>
  <c r="AT69" i="36"/>
  <c r="AT53" i="36"/>
  <c r="AT21" i="34"/>
  <c r="AR12" i="45" s="1"/>
  <c r="AR11" i="45" s="1"/>
  <c r="AR59" i="45" s="1"/>
  <c r="AT39" i="34"/>
  <c r="AR20" i="45" s="1"/>
  <c r="AR19" i="45" s="1"/>
  <c r="AR60" i="45" s="1"/>
  <c r="AO39" i="34" l="1"/>
  <c r="AM20" i="45" s="1"/>
  <c r="AM19" i="45" s="1"/>
  <c r="AM60" i="45" s="1"/>
  <c r="AJ39" i="50"/>
  <c r="AO176" i="34"/>
  <c r="AM54" i="45" s="1"/>
  <c r="AO7" i="34"/>
  <c r="AM5" i="45" s="1"/>
  <c r="AM4" i="45" s="1"/>
  <c r="AM58" i="45" s="1"/>
  <c r="AO21" i="34"/>
  <c r="AM12" i="45" s="1"/>
  <c r="AM11" i="45" s="1"/>
  <c r="AM59" i="45" s="1"/>
  <c r="AO160" i="34"/>
  <c r="AM53" i="45" s="1"/>
  <c r="AO53" i="36"/>
  <c r="AO142" i="34" s="1"/>
  <c r="AT52" i="45"/>
  <c r="AT67" i="45" s="1"/>
  <c r="AI52" i="45"/>
  <c r="AI67" i="45" s="1"/>
  <c r="AN52" i="45"/>
  <c r="AN67" i="45" s="1"/>
  <c r="AH52" i="45"/>
  <c r="AH67" i="45" s="1"/>
  <c r="AS52" i="45"/>
  <c r="AS67" i="45" s="1"/>
  <c r="AO52" i="45"/>
  <c r="AO67" i="45" s="1"/>
  <c r="AP52" i="45"/>
  <c r="AP67" i="45" s="1"/>
  <c r="AK52" i="45"/>
  <c r="AK67" i="45" s="1"/>
  <c r="AL94" i="34"/>
  <c r="AL142" i="34"/>
  <c r="AL138" i="34"/>
  <c r="AK110" i="34"/>
  <c r="AI47" i="45" s="1"/>
  <c r="AK139" i="34"/>
  <c r="AK143" i="34"/>
  <c r="AK94" i="34"/>
  <c r="AK142" i="34"/>
  <c r="AK138" i="34"/>
  <c r="AQ52" i="45"/>
  <c r="AQ67" i="45" s="1"/>
  <c r="AP139" i="34"/>
  <c r="AP143" i="34"/>
  <c r="AP110" i="34"/>
  <c r="AN47" i="45" s="1"/>
  <c r="AJ138" i="34"/>
  <c r="AJ142" i="34"/>
  <c r="AJ94" i="34"/>
  <c r="AT143" i="34"/>
  <c r="AT139" i="34"/>
  <c r="AT110" i="34"/>
  <c r="AR47" i="45" s="1"/>
  <c r="AV110" i="34"/>
  <c r="AT47" i="45" s="1"/>
  <c r="AV139" i="34"/>
  <c r="AV143" i="34"/>
  <c r="AR52" i="45"/>
  <c r="AR67" i="45" s="1"/>
  <c r="AV142" i="34"/>
  <c r="AV94" i="34"/>
  <c r="AV138" i="34"/>
  <c r="AR142" i="34"/>
  <c r="AR138" i="34"/>
  <c r="AR94" i="34"/>
  <c r="AM142" i="34"/>
  <c r="AM138" i="34"/>
  <c r="AM94" i="34"/>
  <c r="AM143" i="34"/>
  <c r="AM139" i="34"/>
  <c r="AM110" i="34"/>
  <c r="AK47" i="45" s="1"/>
  <c r="AU142" i="34"/>
  <c r="AU138" i="34"/>
  <c r="AU94" i="34"/>
  <c r="AQ139" i="34"/>
  <c r="AQ143" i="34"/>
  <c r="AQ110" i="34"/>
  <c r="AO47" i="45" s="1"/>
  <c r="AL52" i="45"/>
  <c r="AL67" i="45" s="1"/>
  <c r="AS139" i="34"/>
  <c r="AS143" i="34"/>
  <c r="AS110" i="34"/>
  <c r="AQ47" i="45" s="1"/>
  <c r="AJ139" i="34"/>
  <c r="AJ110" i="34"/>
  <c r="AH47" i="45" s="1"/>
  <c r="AJ143" i="34"/>
  <c r="AO143" i="34"/>
  <c r="AO139" i="34"/>
  <c r="AO110" i="34"/>
  <c r="AM47" i="45" s="1"/>
  <c r="AU110" i="34"/>
  <c r="AS47" i="45" s="1"/>
  <c r="AU139" i="34"/>
  <c r="AU143" i="34"/>
  <c r="AQ138" i="34"/>
  <c r="AQ142" i="34"/>
  <c r="AQ94" i="34"/>
  <c r="AN94" i="34"/>
  <c r="AN142" i="34"/>
  <c r="AN138" i="34"/>
  <c r="AS142" i="34"/>
  <c r="AS138" i="34"/>
  <c r="AS94" i="34"/>
  <c r="AP142" i="34"/>
  <c r="AP138" i="34"/>
  <c r="AP94" i="34"/>
  <c r="AT142" i="34"/>
  <c r="AT94" i="34"/>
  <c r="AT138" i="34"/>
  <c r="AJ52" i="45"/>
  <c r="AJ67" i="45" s="1"/>
  <c r="AL143" i="34"/>
  <c r="AL139" i="34"/>
  <c r="AL110" i="34"/>
  <c r="AJ47" i="45" s="1"/>
  <c r="AR110" i="34"/>
  <c r="AP47" i="45" s="1"/>
  <c r="AR139" i="34"/>
  <c r="AR143" i="34"/>
  <c r="AN143" i="34"/>
  <c r="AN139" i="34"/>
  <c r="AN110" i="34"/>
  <c r="AL47" i="45" s="1"/>
  <c r="AO138" i="34" l="1"/>
  <c r="AO94" i="34"/>
  <c r="AM52" i="45"/>
  <c r="AM67" i="45" s="1"/>
  <c r="AJ38" i="57"/>
  <c r="AJ39" i="57"/>
  <c r="AJ40" i="57"/>
  <c r="AI40" i="57"/>
  <c r="BA47" i="36" l="1"/>
  <c r="BA136" i="34" s="1"/>
  <c r="AG47" i="36"/>
  <c r="AE47" i="36"/>
  <c r="AI47" i="36"/>
  <c r="AH47" i="36"/>
  <c r="AF47" i="36"/>
  <c r="AD47" i="36"/>
  <c r="BA88" i="34"/>
  <c r="AY44" i="45" s="1"/>
  <c r="BA48" i="36"/>
  <c r="BN47" i="36"/>
  <c r="BK47" i="36"/>
  <c r="AN47" i="36"/>
  <c r="BI47" i="36"/>
  <c r="AX47" i="36"/>
  <c r="BB47" i="36"/>
  <c r="AM47" i="36"/>
  <c r="AK47" i="36"/>
  <c r="AS47" i="36"/>
  <c r="AO47" i="36"/>
  <c r="AV47" i="36"/>
  <c r="AW47" i="36"/>
  <c r="AL47" i="36"/>
  <c r="AT47" i="36"/>
  <c r="BC47" i="36"/>
  <c r="AP47" i="36"/>
  <c r="BP47" i="36"/>
  <c r="BF47" i="36"/>
  <c r="BE47" i="36"/>
  <c r="AJ47" i="36"/>
  <c r="BM47" i="36"/>
  <c r="BG47" i="36"/>
  <c r="BD47" i="36"/>
  <c r="AZ47" i="36"/>
  <c r="AY47" i="36"/>
  <c r="BL47" i="36"/>
  <c r="BO47" i="36"/>
  <c r="AR47" i="36"/>
  <c r="BJ47" i="36"/>
  <c r="AU47" i="36"/>
  <c r="AI39" i="57"/>
  <c r="AI38" i="57"/>
  <c r="BH47" i="36"/>
  <c r="AQ47" i="36"/>
  <c r="BA140" i="34" l="1"/>
  <c r="AH46" i="36"/>
  <c r="AH87" i="34" s="1"/>
  <c r="AF42" i="45" s="1"/>
  <c r="AF64" i="45" s="1"/>
  <c r="AG46" i="36"/>
  <c r="AG87" i="34" s="1"/>
  <c r="AE42" i="45" s="1"/>
  <c r="AE64" i="45" s="1"/>
  <c r="AI46" i="36"/>
  <c r="AI87" i="34" s="1"/>
  <c r="AG42" i="45" s="1"/>
  <c r="AG64" i="45" s="1"/>
  <c r="AD46" i="36"/>
  <c r="AD87" i="34" s="1"/>
  <c r="AB42" i="45" s="1"/>
  <c r="AB64" i="45" s="1"/>
  <c r="AE46" i="36"/>
  <c r="AE87" i="34" s="1"/>
  <c r="AC42" i="45" s="1"/>
  <c r="AC64" i="45" s="1"/>
  <c r="AF46" i="36"/>
  <c r="AF87" i="34" s="1"/>
  <c r="AD42" i="45" s="1"/>
  <c r="AD64" i="45" s="1"/>
  <c r="AI48" i="36"/>
  <c r="AI88" i="34"/>
  <c r="AG44" i="45" s="1"/>
  <c r="AI140" i="34"/>
  <c r="AI136" i="34"/>
  <c r="AD48" i="36"/>
  <c r="AD136" i="34"/>
  <c r="AD88" i="34"/>
  <c r="AB44" i="45" s="1"/>
  <c r="AD140" i="34"/>
  <c r="AE48" i="36"/>
  <c r="AE140" i="34"/>
  <c r="AE136" i="34"/>
  <c r="AE88" i="34"/>
  <c r="AC44" i="45" s="1"/>
  <c r="AF48" i="36"/>
  <c r="AF88" i="34"/>
  <c r="AD44" i="45" s="1"/>
  <c r="AF136" i="34"/>
  <c r="AF140" i="34"/>
  <c r="AG48" i="36"/>
  <c r="AG136" i="34"/>
  <c r="AG140" i="34"/>
  <c r="AG88" i="34"/>
  <c r="AE44" i="45" s="1"/>
  <c r="AF45" i="36"/>
  <c r="AF86" i="34" s="1"/>
  <c r="AD41" i="45" s="1"/>
  <c r="AD63" i="45" s="1"/>
  <c r="AE45" i="36"/>
  <c r="AE86" i="34" s="1"/>
  <c r="AC41" i="45" s="1"/>
  <c r="AC63" i="45" s="1"/>
  <c r="AD45" i="36"/>
  <c r="AD86" i="34" s="1"/>
  <c r="AB41" i="45" s="1"/>
  <c r="AB63" i="45" s="1"/>
  <c r="AI45" i="36"/>
  <c r="AI86" i="34" s="1"/>
  <c r="AG41" i="45" s="1"/>
  <c r="AG63" i="45" s="1"/>
  <c r="AH45" i="36"/>
  <c r="AH86" i="34" s="1"/>
  <c r="AF41" i="45" s="1"/>
  <c r="AF63" i="45" s="1"/>
  <c r="AG45" i="36"/>
  <c r="AG86" i="34" s="1"/>
  <c r="AE41" i="45" s="1"/>
  <c r="AE63" i="45" s="1"/>
  <c r="AH48" i="36"/>
  <c r="AH136" i="34"/>
  <c r="AH88" i="34"/>
  <c r="AF44" i="45" s="1"/>
  <c r="AH140" i="34"/>
  <c r="AQ88" i="34"/>
  <c r="AO44" i="45" s="1"/>
  <c r="AQ140" i="34"/>
  <c r="AQ48" i="36"/>
  <c r="AQ136" i="34"/>
  <c r="AU140" i="34"/>
  <c r="AU136" i="34"/>
  <c r="AU88" i="34"/>
  <c r="AS44" i="45" s="1"/>
  <c r="AU48" i="36"/>
  <c r="BL88" i="34"/>
  <c r="BJ44" i="45" s="1"/>
  <c r="BL48" i="36"/>
  <c r="BL140" i="34"/>
  <c r="BL136" i="34"/>
  <c r="BG140" i="34"/>
  <c r="BG88" i="34"/>
  <c r="BE44" i="45" s="1"/>
  <c r="BG48" i="36"/>
  <c r="BG136" i="34"/>
  <c r="BF136" i="34"/>
  <c r="BF88" i="34"/>
  <c r="BD44" i="45" s="1"/>
  <c r="BF140" i="34"/>
  <c r="BF48" i="36"/>
  <c r="AT48" i="36"/>
  <c r="AT140" i="34"/>
  <c r="AT88" i="34"/>
  <c r="AR44" i="45" s="1"/>
  <c r="AT136" i="34"/>
  <c r="AO88" i="34"/>
  <c r="AM44" i="45" s="1"/>
  <c r="AO48" i="36"/>
  <c r="AO140" i="34"/>
  <c r="AO136" i="34"/>
  <c r="BB88" i="34"/>
  <c r="AZ44" i="45" s="1"/>
  <c r="BB48" i="36"/>
  <c r="BB140" i="34"/>
  <c r="BB136" i="34"/>
  <c r="BK48" i="36"/>
  <c r="BK140" i="34"/>
  <c r="BK88" i="34"/>
  <c r="BI44" i="45" s="1"/>
  <c r="BK136" i="34"/>
  <c r="BH48" i="36"/>
  <c r="BH88" i="34"/>
  <c r="BF44" i="45" s="1"/>
  <c r="BH136" i="34"/>
  <c r="BH140" i="34"/>
  <c r="BJ48" i="36"/>
  <c r="BJ140" i="34"/>
  <c r="BJ136" i="34"/>
  <c r="BJ88" i="34"/>
  <c r="BH44" i="45" s="1"/>
  <c r="AY140" i="34"/>
  <c r="AY136" i="34"/>
  <c r="AY88" i="34"/>
  <c r="AW44" i="45" s="1"/>
  <c r="AY48" i="36"/>
  <c r="BM140" i="34"/>
  <c r="BM48" i="36"/>
  <c r="BM88" i="34"/>
  <c r="BK44" i="45" s="1"/>
  <c r="BM136" i="34"/>
  <c r="BP48" i="36"/>
  <c r="BP136" i="34"/>
  <c r="BP140" i="34"/>
  <c r="BP88" i="34"/>
  <c r="BN44" i="45" s="1"/>
  <c r="AL48" i="36"/>
  <c r="AL88" i="34"/>
  <c r="AJ44" i="45" s="1"/>
  <c r="AL140" i="34"/>
  <c r="AL136" i="34"/>
  <c r="AS88" i="34"/>
  <c r="AQ44" i="45" s="1"/>
  <c r="AS140" i="34"/>
  <c r="AS48" i="36"/>
  <c r="AS136" i="34"/>
  <c r="AX140" i="34"/>
  <c r="AX48" i="36"/>
  <c r="AX136" i="34"/>
  <c r="AX88" i="34"/>
  <c r="AV44" i="45" s="1"/>
  <c r="BN48" i="36"/>
  <c r="BN136" i="34"/>
  <c r="BN140" i="34"/>
  <c r="BN88" i="34"/>
  <c r="BL44" i="45" s="1"/>
  <c r="AJ45" i="36"/>
  <c r="AJ86" i="34" s="1"/>
  <c r="AH41" i="45" s="1"/>
  <c r="AH63" i="45" s="1"/>
  <c r="AP45" i="36"/>
  <c r="AP86" i="34" s="1"/>
  <c r="AN41" i="45" s="1"/>
  <c r="AN63" i="45" s="1"/>
  <c r="AU45" i="36"/>
  <c r="AU86" i="34" s="1"/>
  <c r="AS41" i="45" s="1"/>
  <c r="AS63" i="45" s="1"/>
  <c r="BD45" i="36"/>
  <c r="BD86" i="34" s="1"/>
  <c r="BB41" i="45" s="1"/>
  <c r="BB63" i="45" s="1"/>
  <c r="AO45" i="36"/>
  <c r="AO86" i="34" s="1"/>
  <c r="AM41" i="45" s="1"/>
  <c r="AM63" i="45" s="1"/>
  <c r="AM45" i="36"/>
  <c r="AM86" i="34" s="1"/>
  <c r="AK41" i="45" s="1"/>
  <c r="AK63" i="45" s="1"/>
  <c r="AT45" i="36"/>
  <c r="AT86" i="34" s="1"/>
  <c r="AR41" i="45" s="1"/>
  <c r="AR63" i="45" s="1"/>
  <c r="AV45" i="36"/>
  <c r="AV86" i="34" s="1"/>
  <c r="AT41" i="45" s="1"/>
  <c r="AT63" i="45" s="1"/>
  <c r="AL45" i="36"/>
  <c r="AL86" i="34" s="1"/>
  <c r="AJ41" i="45" s="1"/>
  <c r="AJ63" i="45" s="1"/>
  <c r="AS45" i="36"/>
  <c r="AS86" i="34" s="1"/>
  <c r="AQ41" i="45" s="1"/>
  <c r="AQ63" i="45" s="1"/>
  <c r="AW45" i="36"/>
  <c r="AW86" i="34" s="1"/>
  <c r="AU41" i="45" s="1"/>
  <c r="AU63" i="45" s="1"/>
  <c r="AY45" i="36"/>
  <c r="AY86" i="34" s="1"/>
  <c r="AW41" i="45" s="1"/>
  <c r="AW63" i="45" s="1"/>
  <c r="BC45" i="36"/>
  <c r="BC86" i="34" s="1"/>
  <c r="BA41" i="45" s="1"/>
  <c r="BA63" i="45" s="1"/>
  <c r="AQ45" i="36"/>
  <c r="AQ86" i="34" s="1"/>
  <c r="AO41" i="45" s="1"/>
  <c r="AO63" i="45" s="1"/>
  <c r="BN45" i="36"/>
  <c r="BN86" i="34" s="1"/>
  <c r="BL41" i="45" s="1"/>
  <c r="BL63" i="45" s="1"/>
  <c r="AR45" i="36"/>
  <c r="AR86" i="34" s="1"/>
  <c r="AP41" i="45" s="1"/>
  <c r="AP63" i="45" s="1"/>
  <c r="BB45" i="36"/>
  <c r="BB86" i="34" s="1"/>
  <c r="AZ41" i="45" s="1"/>
  <c r="AZ63" i="45" s="1"/>
  <c r="AZ45" i="36"/>
  <c r="AZ86" i="34" s="1"/>
  <c r="AX41" i="45" s="1"/>
  <c r="AX63" i="45" s="1"/>
  <c r="BF45" i="36"/>
  <c r="BF86" i="34" s="1"/>
  <c r="BD41" i="45" s="1"/>
  <c r="BD63" i="45" s="1"/>
  <c r="BK45" i="36"/>
  <c r="BK86" i="34" s="1"/>
  <c r="BI41" i="45" s="1"/>
  <c r="BI63" i="45" s="1"/>
  <c r="AN45" i="36"/>
  <c r="AN86" i="34" s="1"/>
  <c r="AL41" i="45" s="1"/>
  <c r="AL63" i="45" s="1"/>
  <c r="BE45" i="36"/>
  <c r="BE86" i="34" s="1"/>
  <c r="BC41" i="45" s="1"/>
  <c r="BC63" i="45" s="1"/>
  <c r="BL45" i="36"/>
  <c r="BL86" i="34" s="1"/>
  <c r="BJ41" i="45" s="1"/>
  <c r="BJ63" i="45" s="1"/>
  <c r="BM45" i="36"/>
  <c r="BM86" i="34" s="1"/>
  <c r="BK41" i="45" s="1"/>
  <c r="BK63" i="45" s="1"/>
  <c r="BP45" i="36"/>
  <c r="BP86" i="34" s="1"/>
  <c r="BN41" i="45" s="1"/>
  <c r="BN63" i="45" s="1"/>
  <c r="BG45" i="36"/>
  <c r="BG86" i="34" s="1"/>
  <c r="BE41" i="45" s="1"/>
  <c r="BE63" i="45" s="1"/>
  <c r="BI45" i="36"/>
  <c r="BI86" i="34" s="1"/>
  <c r="BG41" i="45" s="1"/>
  <c r="BG63" i="45" s="1"/>
  <c r="BA45" i="36"/>
  <c r="BA86" i="34" s="1"/>
  <c r="AY41" i="45" s="1"/>
  <c r="AY63" i="45" s="1"/>
  <c r="BJ45" i="36"/>
  <c r="BJ86" i="34" s="1"/>
  <c r="BH41" i="45" s="1"/>
  <c r="BH63" i="45" s="1"/>
  <c r="AK45" i="36"/>
  <c r="AK86" i="34" s="1"/>
  <c r="AI41" i="45" s="1"/>
  <c r="AI63" i="45" s="1"/>
  <c r="AX45" i="36"/>
  <c r="AX86" i="34" s="1"/>
  <c r="AV41" i="45" s="1"/>
  <c r="AV63" i="45" s="1"/>
  <c r="BO45" i="36"/>
  <c r="BO86" i="34" s="1"/>
  <c r="BM41" i="45" s="1"/>
  <c r="BM63" i="45" s="1"/>
  <c r="BH45" i="36"/>
  <c r="BH86" i="34" s="1"/>
  <c r="BF41" i="45" s="1"/>
  <c r="BF63" i="45" s="1"/>
  <c r="AR140" i="34"/>
  <c r="AR48" i="36"/>
  <c r="AR136" i="34"/>
  <c r="AR88" i="34"/>
  <c r="AP44" i="45" s="1"/>
  <c r="AZ140" i="34"/>
  <c r="AZ48" i="36"/>
  <c r="AZ136" i="34"/>
  <c r="AZ88" i="34"/>
  <c r="AX44" i="45" s="1"/>
  <c r="AJ140" i="34"/>
  <c r="AJ136" i="34"/>
  <c r="AJ48" i="36"/>
  <c r="AJ88" i="34"/>
  <c r="AH44" i="45" s="1"/>
  <c r="AP48" i="36"/>
  <c r="AP140" i="34"/>
  <c r="AP136" i="34"/>
  <c r="AP88" i="34"/>
  <c r="AN44" i="45" s="1"/>
  <c r="AW136" i="34"/>
  <c r="AW48" i="36"/>
  <c r="AW88" i="34"/>
  <c r="AU44" i="45" s="1"/>
  <c r="AW140" i="34"/>
  <c r="AK88" i="34"/>
  <c r="AI44" i="45" s="1"/>
  <c r="AK136" i="34"/>
  <c r="AK48" i="36"/>
  <c r="AK140" i="34"/>
  <c r="BI48" i="36"/>
  <c r="BI140" i="34"/>
  <c r="BI88" i="34"/>
  <c r="BG44" i="45" s="1"/>
  <c r="BI136" i="34"/>
  <c r="BA137" i="34"/>
  <c r="BA89" i="34"/>
  <c r="BA141" i="34"/>
  <c r="AP46" i="36"/>
  <c r="AP87" i="34" s="1"/>
  <c r="AN42" i="45" s="1"/>
  <c r="AN64" i="45" s="1"/>
  <c r="AK46" i="36"/>
  <c r="AK87" i="34" s="1"/>
  <c r="AI42" i="45" s="1"/>
  <c r="AI64" i="45" s="1"/>
  <c r="AU46" i="36"/>
  <c r="AU87" i="34" s="1"/>
  <c r="AS42" i="45" s="1"/>
  <c r="AS64" i="45" s="1"/>
  <c r="AT46" i="36"/>
  <c r="AT87" i="34" s="1"/>
  <c r="AR42" i="45" s="1"/>
  <c r="AR64" i="45" s="1"/>
  <c r="AR46" i="36"/>
  <c r="AR87" i="34" s="1"/>
  <c r="AP42" i="45" s="1"/>
  <c r="AP64" i="45" s="1"/>
  <c r="AM46" i="36"/>
  <c r="AM87" i="34" s="1"/>
  <c r="AK42" i="45" s="1"/>
  <c r="AK64" i="45" s="1"/>
  <c r="AJ46" i="36"/>
  <c r="AJ87" i="34" s="1"/>
  <c r="AH42" i="45" s="1"/>
  <c r="AH64" i="45" s="1"/>
  <c r="AS46" i="36"/>
  <c r="AS87" i="34" s="1"/>
  <c r="AQ42" i="45" s="1"/>
  <c r="AQ64" i="45" s="1"/>
  <c r="AW46" i="36"/>
  <c r="AW87" i="34" s="1"/>
  <c r="AU42" i="45" s="1"/>
  <c r="AU64" i="45" s="1"/>
  <c r="AY46" i="36"/>
  <c r="AY87" i="34" s="1"/>
  <c r="AW42" i="45" s="1"/>
  <c r="AW64" i="45" s="1"/>
  <c r="AZ46" i="36"/>
  <c r="AZ87" i="34" s="1"/>
  <c r="AX42" i="45" s="1"/>
  <c r="AX64" i="45" s="1"/>
  <c r="AO46" i="36"/>
  <c r="AO87" i="34" s="1"/>
  <c r="AM42" i="45" s="1"/>
  <c r="AM64" i="45" s="1"/>
  <c r="AQ46" i="36"/>
  <c r="AQ87" i="34" s="1"/>
  <c r="AO42" i="45" s="1"/>
  <c r="AO64" i="45" s="1"/>
  <c r="AN46" i="36"/>
  <c r="AN87" i="34" s="1"/>
  <c r="AL42" i="45" s="1"/>
  <c r="AL64" i="45" s="1"/>
  <c r="BB46" i="36"/>
  <c r="BB87" i="34" s="1"/>
  <c r="AZ42" i="45" s="1"/>
  <c r="AZ64" i="45" s="1"/>
  <c r="BJ46" i="36"/>
  <c r="BJ87" i="34" s="1"/>
  <c r="BH42" i="45" s="1"/>
  <c r="BH64" i="45" s="1"/>
  <c r="BC46" i="36"/>
  <c r="BC87" i="34" s="1"/>
  <c r="BA42" i="45" s="1"/>
  <c r="BA64" i="45" s="1"/>
  <c r="BH46" i="36"/>
  <c r="BH87" i="34" s="1"/>
  <c r="BF42" i="45" s="1"/>
  <c r="BF64" i="45" s="1"/>
  <c r="BM46" i="36"/>
  <c r="BM87" i="34" s="1"/>
  <c r="BK42" i="45" s="1"/>
  <c r="BK64" i="45" s="1"/>
  <c r="AL46" i="36"/>
  <c r="AL87" i="34" s="1"/>
  <c r="AJ42" i="45" s="1"/>
  <c r="AJ64" i="45" s="1"/>
  <c r="BE46" i="36"/>
  <c r="BE87" i="34" s="1"/>
  <c r="BC42" i="45" s="1"/>
  <c r="BC64" i="45" s="1"/>
  <c r="AX46" i="36"/>
  <c r="AX87" i="34" s="1"/>
  <c r="AV42" i="45" s="1"/>
  <c r="AV64" i="45" s="1"/>
  <c r="BA46" i="36"/>
  <c r="BA87" i="34" s="1"/>
  <c r="AY42" i="45" s="1"/>
  <c r="AY64" i="45" s="1"/>
  <c r="BK46" i="36"/>
  <c r="BK87" i="34" s="1"/>
  <c r="BI42" i="45" s="1"/>
  <c r="BI64" i="45" s="1"/>
  <c r="AV46" i="36"/>
  <c r="AV87" i="34" s="1"/>
  <c r="AT42" i="45" s="1"/>
  <c r="AT64" i="45" s="1"/>
  <c r="BN46" i="36"/>
  <c r="BN87" i="34" s="1"/>
  <c r="BL42" i="45" s="1"/>
  <c r="BL64" i="45" s="1"/>
  <c r="BI46" i="36"/>
  <c r="BI87" i="34" s="1"/>
  <c r="BG42" i="45" s="1"/>
  <c r="BG64" i="45" s="1"/>
  <c r="BF46" i="36"/>
  <c r="BF87" i="34" s="1"/>
  <c r="BD42" i="45" s="1"/>
  <c r="BD64" i="45" s="1"/>
  <c r="BP46" i="36"/>
  <c r="BP87" i="34" s="1"/>
  <c r="BN42" i="45" s="1"/>
  <c r="BN64" i="45" s="1"/>
  <c r="BD46" i="36"/>
  <c r="BD87" i="34" s="1"/>
  <c r="BB42" i="45" s="1"/>
  <c r="BB64" i="45" s="1"/>
  <c r="BG46" i="36"/>
  <c r="BG87" i="34" s="1"/>
  <c r="BE42" i="45" s="1"/>
  <c r="BE64" i="45" s="1"/>
  <c r="BL46" i="36"/>
  <c r="BL87" i="34" s="1"/>
  <c r="BJ42" i="45" s="1"/>
  <c r="BJ64" i="45" s="1"/>
  <c r="BO46" i="36"/>
  <c r="BO87" i="34" s="1"/>
  <c r="BM42" i="45" s="1"/>
  <c r="BM64" i="45" s="1"/>
  <c r="BO88" i="34"/>
  <c r="BM44" i="45" s="1"/>
  <c r="BO136" i="34"/>
  <c r="BO140" i="34"/>
  <c r="BO48" i="36"/>
  <c r="BD136" i="34"/>
  <c r="BD88" i="34"/>
  <c r="BB44" i="45" s="1"/>
  <c r="BD140" i="34"/>
  <c r="BD48" i="36"/>
  <c r="BE48" i="36"/>
  <c r="BE88" i="34"/>
  <c r="BC44" i="45" s="1"/>
  <c r="BE140" i="34"/>
  <c r="BE136" i="34"/>
  <c r="BC48" i="36"/>
  <c r="BC136" i="34"/>
  <c r="BC140" i="34"/>
  <c r="BC88" i="34"/>
  <c r="BA44" i="45" s="1"/>
  <c r="AV88" i="34"/>
  <c r="AT44" i="45" s="1"/>
  <c r="AV48" i="36"/>
  <c r="AV140" i="34"/>
  <c r="AV136" i="34"/>
  <c r="AM136" i="34"/>
  <c r="AM140" i="34"/>
  <c r="AM48" i="36"/>
  <c r="AM88" i="34"/>
  <c r="AK44" i="45" s="1"/>
  <c r="AN88" i="34"/>
  <c r="AL44" i="45" s="1"/>
  <c r="AN48" i="36"/>
  <c r="AN140" i="34"/>
  <c r="AN136" i="34"/>
  <c r="AG141" i="34" l="1"/>
  <c r="AG89" i="34"/>
  <c r="AE45" i="45" s="1"/>
  <c r="AG137" i="34"/>
  <c r="AE50" i="45" s="1"/>
  <c r="AF141" i="34"/>
  <c r="AF89" i="34"/>
  <c r="AD45" i="45" s="1"/>
  <c r="AF137" i="34"/>
  <c r="AE137" i="34"/>
  <c r="AE89" i="34"/>
  <c r="AC45" i="45" s="1"/>
  <c r="AE141" i="34"/>
  <c r="AD137" i="34"/>
  <c r="AB50" i="45" s="1"/>
  <c r="AD89" i="34"/>
  <c r="AB45" i="45" s="1"/>
  <c r="AD141" i="34"/>
  <c r="AI137" i="34"/>
  <c r="AG50" i="45" s="1"/>
  <c r="AI141" i="34"/>
  <c r="AI89" i="34"/>
  <c r="AG45" i="45" s="1"/>
  <c r="AH89" i="34"/>
  <c r="AF45" i="45" s="1"/>
  <c r="AH137" i="34"/>
  <c r="AF50" i="45" s="1"/>
  <c r="AH141" i="34"/>
  <c r="AD50" i="45"/>
  <c r="AC50" i="45"/>
  <c r="AT141" i="34"/>
  <c r="AT89" i="34"/>
  <c r="AR45" i="45" s="1"/>
  <c r="AT137" i="34"/>
  <c r="BC137" i="34"/>
  <c r="BC141" i="34"/>
  <c r="BC89" i="34"/>
  <c r="BE141" i="34"/>
  <c r="BE137" i="34"/>
  <c r="BE89" i="34"/>
  <c r="BI137" i="34"/>
  <c r="BI141" i="34"/>
  <c r="BI89" i="34"/>
  <c r="AP137" i="34"/>
  <c r="AN50" i="45" s="1"/>
  <c r="AP141" i="34"/>
  <c r="AP89" i="34"/>
  <c r="AN45" i="45" s="1"/>
  <c r="BN141" i="34"/>
  <c r="BN137" i="34"/>
  <c r="BN89" i="34"/>
  <c r="AL137" i="34"/>
  <c r="AJ50" i="45" s="1"/>
  <c r="AL141" i="34"/>
  <c r="AL89" i="34"/>
  <c r="AJ45" i="45" s="1"/>
  <c r="BP137" i="34"/>
  <c r="BP89" i="34"/>
  <c r="BP141" i="34"/>
  <c r="BJ137" i="34"/>
  <c r="BJ89" i="34"/>
  <c r="BJ141" i="34"/>
  <c r="BH137" i="34"/>
  <c r="BH89" i="34"/>
  <c r="BH141" i="34"/>
  <c r="BB141" i="34"/>
  <c r="BB137" i="34"/>
  <c r="BB89" i="34"/>
  <c r="AO137" i="34"/>
  <c r="AO141" i="34"/>
  <c r="AO89" i="34"/>
  <c r="AM45" i="45" s="1"/>
  <c r="BL137" i="34"/>
  <c r="BL141" i="34"/>
  <c r="BL89" i="34"/>
  <c r="BO137" i="34"/>
  <c r="BO141" i="34"/>
  <c r="BO89" i="34"/>
  <c r="AY141" i="34"/>
  <c r="AY137" i="34"/>
  <c r="AY89" i="34"/>
  <c r="BK137" i="34"/>
  <c r="BK141" i="34"/>
  <c r="BK89" i="34"/>
  <c r="AM141" i="34"/>
  <c r="AM137" i="34"/>
  <c r="AK50" i="45" s="1"/>
  <c r="AM89" i="34"/>
  <c r="AK45" i="45" s="1"/>
  <c r="AK137" i="34"/>
  <c r="AI50" i="45" s="1"/>
  <c r="AK141" i="34"/>
  <c r="AK89" i="34"/>
  <c r="AI45" i="45" s="1"/>
  <c r="AJ141" i="34"/>
  <c r="AJ137" i="34"/>
  <c r="AH50" i="45" s="1"/>
  <c r="AJ89" i="34"/>
  <c r="AH45" i="45" s="1"/>
  <c r="AS137" i="34"/>
  <c r="AQ50" i="45" s="1"/>
  <c r="AS141" i="34"/>
  <c r="AS89" i="34"/>
  <c r="AQ45" i="45" s="1"/>
  <c r="AM50" i="45"/>
  <c r="AR50" i="45"/>
  <c r="BF137" i="34"/>
  <c r="BF141" i="34"/>
  <c r="BF89" i="34"/>
  <c r="AU137" i="34"/>
  <c r="AS50" i="45" s="1"/>
  <c r="AU141" i="34"/>
  <c r="AU89" i="34"/>
  <c r="AS45" i="45" s="1"/>
  <c r="BD137" i="34"/>
  <c r="BD141" i="34"/>
  <c r="BD89" i="34"/>
  <c r="AN141" i="34"/>
  <c r="AN137" i="34"/>
  <c r="AL50" i="45" s="1"/>
  <c r="AN89" i="34"/>
  <c r="AL45" i="45" s="1"/>
  <c r="AV137" i="34"/>
  <c r="AT50" i="45" s="1"/>
  <c r="AV141" i="34"/>
  <c r="AV89" i="34"/>
  <c r="AT45" i="45" s="1"/>
  <c r="AW137" i="34"/>
  <c r="AW141" i="34"/>
  <c r="AW89" i="34"/>
  <c r="AZ141" i="34"/>
  <c r="AZ137" i="34"/>
  <c r="AZ89" i="34"/>
  <c r="AR137" i="34"/>
  <c r="AP50" i="45" s="1"/>
  <c r="AR141" i="34"/>
  <c r="AR89" i="34"/>
  <c r="AP45" i="45" s="1"/>
  <c r="AX141" i="34"/>
  <c r="AX137" i="34"/>
  <c r="AX89" i="34"/>
  <c r="BM137" i="34"/>
  <c r="BM141" i="34"/>
  <c r="BM89" i="34"/>
  <c r="BG137" i="34"/>
  <c r="BG141" i="34"/>
  <c r="BG89" i="34"/>
  <c r="AQ141" i="34"/>
  <c r="AQ137" i="34"/>
  <c r="AO50" i="45" s="1"/>
  <c r="AQ89" i="34"/>
  <c r="AO45" i="45" s="1"/>
  <c r="AJ37" i="57"/>
  <c r="AI37" i="57"/>
  <c r="AE43" i="36" l="1"/>
  <c r="AE84" i="36" s="1"/>
  <c r="AE85" i="36" s="1"/>
  <c r="AH43" i="36"/>
  <c r="AH84" i="36" s="1"/>
  <c r="AH85" i="36" s="1"/>
  <c r="AF43" i="36"/>
  <c r="AF84" i="36" s="1"/>
  <c r="AF85" i="36" s="1"/>
  <c r="AG43" i="36"/>
  <c r="AG84" i="36" s="1"/>
  <c r="AG85" i="36" s="1"/>
  <c r="AD43" i="36"/>
  <c r="AD84" i="36" s="1"/>
  <c r="AD85" i="36" s="1"/>
  <c r="AI43" i="36"/>
  <c r="AI84" i="36" s="1"/>
  <c r="AI85" i="36" s="1"/>
  <c r="AQ43" i="36"/>
  <c r="AQ84" i="36" s="1"/>
  <c r="AQ85" i="36" s="1"/>
  <c r="AT43" i="36"/>
  <c r="AT84" i="36" s="1"/>
  <c r="AT85" i="36" s="1"/>
  <c r="AL43" i="36"/>
  <c r="AL84" i="36" s="1"/>
  <c r="AL85" i="36" s="1"/>
  <c r="AM43" i="36"/>
  <c r="AM84" i="36" s="1"/>
  <c r="AM85" i="36" s="1"/>
  <c r="AS43" i="36"/>
  <c r="AS84" i="36" s="1"/>
  <c r="AS85" i="36" s="1"/>
  <c r="AO43" i="36"/>
  <c r="AO84" i="36" s="1"/>
  <c r="AO85" i="36" s="1"/>
  <c r="AN43" i="36"/>
  <c r="AN84" i="36" s="1"/>
  <c r="AN85" i="36" s="1"/>
  <c r="AU43" i="36"/>
  <c r="AU84" i="36" s="1"/>
  <c r="AU85" i="36" s="1"/>
  <c r="AK43" i="36"/>
  <c r="AK84" i="36" s="1"/>
  <c r="AK85" i="36" s="1"/>
  <c r="AR43" i="36"/>
  <c r="AR84" i="36" s="1"/>
  <c r="AR85" i="36" s="1"/>
  <c r="AJ43" i="36"/>
  <c r="AJ84" i="36" s="1"/>
  <c r="AJ85" i="36" s="1"/>
  <c r="AP43" i="36"/>
  <c r="AP84" i="36" s="1"/>
  <c r="AP85" i="36" s="1"/>
  <c r="AV43" i="36"/>
  <c r="AV84" i="36" l="1"/>
  <c r="AV85" i="36" s="1"/>
  <c r="AW43" i="36"/>
  <c r="AF90" i="34"/>
  <c r="AD46" i="45" s="1"/>
  <c r="AD43" i="45" s="1"/>
  <c r="AD65" i="45" s="1"/>
  <c r="AF144" i="34"/>
  <c r="AD51" i="45" s="1"/>
  <c r="AD49" i="45" s="1"/>
  <c r="AD66" i="45" s="1"/>
  <c r="AI144" i="34"/>
  <c r="AG51" i="45" s="1"/>
  <c r="AG49" i="45" s="1"/>
  <c r="AG66" i="45" s="1"/>
  <c r="AI90" i="34"/>
  <c r="AG46" i="45" s="1"/>
  <c r="AG43" i="45" s="1"/>
  <c r="AG65" i="45" s="1"/>
  <c r="AH90" i="34"/>
  <c r="AF46" i="45" s="1"/>
  <c r="AF43" i="45" s="1"/>
  <c r="AF65" i="45" s="1"/>
  <c r="AH144" i="34"/>
  <c r="AF51" i="45" s="1"/>
  <c r="AF49" i="45" s="1"/>
  <c r="AF66" i="45" s="1"/>
  <c r="AD144" i="34"/>
  <c r="AB51" i="45" s="1"/>
  <c r="AB49" i="45" s="1"/>
  <c r="AB66" i="45" s="1"/>
  <c r="AD90" i="34"/>
  <c r="AB46" i="45" s="1"/>
  <c r="AB43" i="45" s="1"/>
  <c r="AB65" i="45" s="1"/>
  <c r="AE90" i="34"/>
  <c r="AC46" i="45" s="1"/>
  <c r="AC43" i="45" s="1"/>
  <c r="AC65" i="45" s="1"/>
  <c r="AE144" i="34"/>
  <c r="AC51" i="45" s="1"/>
  <c r="AC49" i="45" s="1"/>
  <c r="AC66" i="45" s="1"/>
  <c r="AG90" i="34"/>
  <c r="AE46" i="45" s="1"/>
  <c r="AE43" i="45" s="1"/>
  <c r="AE65" i="45" s="1"/>
  <c r="AG144" i="34"/>
  <c r="AE51" i="45" s="1"/>
  <c r="AE49" i="45" s="1"/>
  <c r="AE66" i="45" s="1"/>
  <c r="AV90" i="34"/>
  <c r="AT46" i="45" s="1"/>
  <c r="AT43" i="45" s="1"/>
  <c r="AT65" i="45" s="1"/>
  <c r="AV144" i="34"/>
  <c r="AT51" i="45" s="1"/>
  <c r="AT49" i="45" s="1"/>
  <c r="AT66" i="45" s="1"/>
  <c r="AP144" i="34"/>
  <c r="AN51" i="45" s="1"/>
  <c r="AN49" i="45" s="1"/>
  <c r="AN66" i="45" s="1"/>
  <c r="AP90" i="34"/>
  <c r="AN46" i="45" s="1"/>
  <c r="AN43" i="45" s="1"/>
  <c r="AN65" i="45" s="1"/>
  <c r="AR144" i="34"/>
  <c r="AP51" i="45" s="1"/>
  <c r="AP49" i="45" s="1"/>
  <c r="AP66" i="45" s="1"/>
  <c r="AR90" i="34"/>
  <c r="AP46" i="45" s="1"/>
  <c r="AP43" i="45" s="1"/>
  <c r="AP65" i="45" s="1"/>
  <c r="AU144" i="34"/>
  <c r="AS51" i="45" s="1"/>
  <c r="AS49" i="45" s="1"/>
  <c r="AS66" i="45" s="1"/>
  <c r="AU90" i="34"/>
  <c r="AS46" i="45" s="1"/>
  <c r="AS43" i="45" s="1"/>
  <c r="AS65" i="45" s="1"/>
  <c r="AM144" i="34"/>
  <c r="AK51" i="45" s="1"/>
  <c r="AK49" i="45" s="1"/>
  <c r="AK66" i="45" s="1"/>
  <c r="AM90" i="34"/>
  <c r="AK46" i="45" s="1"/>
  <c r="AK43" i="45" s="1"/>
  <c r="AK65" i="45" s="1"/>
  <c r="AQ90" i="34"/>
  <c r="AO46" i="45" s="1"/>
  <c r="AO43" i="45" s="1"/>
  <c r="AO65" i="45" s="1"/>
  <c r="AQ144" i="34"/>
  <c r="AO51" i="45" s="1"/>
  <c r="AO49" i="45" s="1"/>
  <c r="AO66" i="45" s="1"/>
  <c r="AN144" i="34"/>
  <c r="AL51" i="45" s="1"/>
  <c r="AL49" i="45" s="1"/>
  <c r="AL66" i="45" s="1"/>
  <c r="AN90" i="34"/>
  <c r="AL46" i="45" s="1"/>
  <c r="AL43" i="45" s="1"/>
  <c r="AL65" i="45" s="1"/>
  <c r="AK144" i="34"/>
  <c r="AI51" i="45" s="1"/>
  <c r="AI49" i="45" s="1"/>
  <c r="AI66" i="45" s="1"/>
  <c r="AK90" i="34"/>
  <c r="AI46" i="45" s="1"/>
  <c r="AI43" i="45" s="1"/>
  <c r="AI65" i="45" s="1"/>
  <c r="AO90" i="34"/>
  <c r="AM46" i="45" s="1"/>
  <c r="AM43" i="45" s="1"/>
  <c r="AM65" i="45" s="1"/>
  <c r="AO144" i="34"/>
  <c r="AM51" i="45" s="1"/>
  <c r="AM49" i="45" s="1"/>
  <c r="AM66" i="45" s="1"/>
  <c r="AT90" i="34"/>
  <c r="AR46" i="45" s="1"/>
  <c r="AR43" i="45" s="1"/>
  <c r="AR65" i="45" s="1"/>
  <c r="AT144" i="34"/>
  <c r="AR51" i="45" s="1"/>
  <c r="AR49" i="45" s="1"/>
  <c r="AR66" i="45" s="1"/>
  <c r="AJ144" i="34"/>
  <c r="AH51" i="45" s="1"/>
  <c r="AH49" i="45" s="1"/>
  <c r="AH66" i="45" s="1"/>
  <c r="AJ90" i="34"/>
  <c r="AH46" i="45" s="1"/>
  <c r="AH43" i="45" s="1"/>
  <c r="AH65" i="45" s="1"/>
  <c r="AS144" i="34"/>
  <c r="AQ51" i="45" s="1"/>
  <c r="AQ49" i="45" s="1"/>
  <c r="AQ66" i="45" s="1"/>
  <c r="AS90" i="34"/>
  <c r="AQ46" i="45" s="1"/>
  <c r="AQ43" i="45" s="1"/>
  <c r="AQ65" i="45" s="1"/>
  <c r="AL90" i="34"/>
  <c r="AJ46" i="45" s="1"/>
  <c r="AJ43" i="45" s="1"/>
  <c r="AJ65" i="45" s="1"/>
  <c r="AL144" i="34"/>
  <c r="AJ51" i="45" s="1"/>
  <c r="AJ49" i="45" s="1"/>
  <c r="AJ66" i="45" s="1"/>
  <c r="AX43" i="36" l="1"/>
  <c r="AW84" i="36"/>
  <c r="AW85" i="36" s="1"/>
  <c r="AC72" i="45"/>
  <c r="AC73" i="45" s="1"/>
  <c r="AC77" i="45" s="1"/>
  <c r="AE72" i="45"/>
  <c r="AE73" i="45" s="1"/>
  <c r="AE77" i="45" s="1"/>
  <c r="AB72" i="45"/>
  <c r="AB73" i="45" s="1"/>
  <c r="AB77" i="45" s="1"/>
  <c r="AG72" i="45"/>
  <c r="AG73" i="45" s="1"/>
  <c r="AG77" i="45" s="1"/>
  <c r="AF72" i="45"/>
  <c r="AF73" i="45" s="1"/>
  <c r="AF77" i="45" s="1"/>
  <c r="AD72" i="45"/>
  <c r="AD73" i="45" s="1"/>
  <c r="AD77" i="45" s="1"/>
  <c r="BM8" i="36"/>
  <c r="BM53" i="36" s="1"/>
  <c r="BB8" i="36"/>
  <c r="BB7" i="34" s="1"/>
  <c r="AZ5" i="45" s="1"/>
  <c r="AZ4" i="45" s="1"/>
  <c r="AZ58" i="45" s="1"/>
  <c r="BE8" i="36"/>
  <c r="BE160" i="34" s="1"/>
  <c r="BC53" i="45" s="1"/>
  <c r="AY8" i="36"/>
  <c r="AY39" i="34" s="1"/>
  <c r="AW20" i="45" s="1"/>
  <c r="AW19" i="45" s="1"/>
  <c r="AW60" i="45" s="1"/>
  <c r="BF8" i="36"/>
  <c r="AX8" i="36"/>
  <c r="BH8" i="36"/>
  <c r="BH176" i="34" s="1"/>
  <c r="BF54" i="45" s="1"/>
  <c r="BO8" i="36"/>
  <c r="BP8" i="36"/>
  <c r="AW8" i="36"/>
  <c r="AW53" i="36" s="1"/>
  <c r="AW94" i="34" s="1"/>
  <c r="AU45" i="45" s="1"/>
  <c r="BC8" i="36"/>
  <c r="BJ8" i="36"/>
  <c r="BJ160" i="34" s="1"/>
  <c r="BH53" i="45" s="1"/>
  <c r="BD8" i="36"/>
  <c r="AZ8" i="36"/>
  <c r="BN8" i="36"/>
  <c r="BG8" i="36"/>
  <c r="BG53" i="36" s="1"/>
  <c r="BA8" i="36"/>
  <c r="BA53" i="36" s="1"/>
  <c r="BK8" i="36"/>
  <c r="BI8" i="36"/>
  <c r="BI53" i="36" s="1"/>
  <c r="BL8" i="36"/>
  <c r="BL53" i="36" s="1"/>
  <c r="BL94" i="34" s="1"/>
  <c r="BJ45" i="45" s="1"/>
  <c r="AW144" i="34" l="1"/>
  <c r="AW90" i="34"/>
  <c r="AU46" i="45" s="1"/>
  <c r="AY43" i="36"/>
  <c r="AX84" i="36"/>
  <c r="AX85" i="36" s="1"/>
  <c r="BE69" i="36"/>
  <c r="BI94" i="34"/>
  <c r="BG45" i="45" s="1"/>
  <c r="BI142" i="34"/>
  <c r="BJ53" i="36"/>
  <c r="BJ94" i="34" s="1"/>
  <c r="BH45" i="45" s="1"/>
  <c r="AY53" i="36"/>
  <c r="BA142" i="34"/>
  <c r="BA138" i="34"/>
  <c r="BA94" i="34"/>
  <c r="AY45" i="45" s="1"/>
  <c r="BG142" i="34"/>
  <c r="BG94" i="34"/>
  <c r="BE45" i="45" s="1"/>
  <c r="BG138" i="34"/>
  <c r="BI21" i="34"/>
  <c r="BG12" i="45" s="1"/>
  <c r="BG11" i="45" s="1"/>
  <c r="BG59" i="45" s="1"/>
  <c r="BD39" i="50"/>
  <c r="BI176" i="34"/>
  <c r="BG54" i="45" s="1"/>
  <c r="BI39" i="34"/>
  <c r="BG20" i="45" s="1"/>
  <c r="BG19" i="45" s="1"/>
  <c r="BG60" i="45" s="1"/>
  <c r="BI4" i="36"/>
  <c r="BI7" i="34"/>
  <c r="BG5" i="45" s="1"/>
  <c r="BG4" i="45" s="1"/>
  <c r="BG58" i="45" s="1"/>
  <c r="BI160" i="34"/>
  <c r="BG53" i="45" s="1"/>
  <c r="BG52" i="45" s="1"/>
  <c r="BG67" i="45" s="1"/>
  <c r="BI69" i="36"/>
  <c r="BC4" i="36"/>
  <c r="BC69" i="36"/>
  <c r="BC21" i="34"/>
  <c r="BA12" i="45" s="1"/>
  <c r="BA11" i="45" s="1"/>
  <c r="BA59" i="45" s="1"/>
  <c r="AX39" i="50"/>
  <c r="BC176" i="34"/>
  <c r="BA54" i="45" s="1"/>
  <c r="BC39" i="34"/>
  <c r="BA20" i="45" s="1"/>
  <c r="BA19" i="45" s="1"/>
  <c r="BA60" i="45" s="1"/>
  <c r="BC7" i="34"/>
  <c r="BA5" i="45" s="1"/>
  <c r="BA4" i="45" s="1"/>
  <c r="BA58" i="45" s="1"/>
  <c r="BC53" i="36"/>
  <c r="BP4" i="36"/>
  <c r="BP21" i="34"/>
  <c r="BN12" i="45" s="1"/>
  <c r="BN11" i="45" s="1"/>
  <c r="BN59" i="45" s="1"/>
  <c r="BP69" i="36"/>
  <c r="BK39" i="50"/>
  <c r="BP7" i="34"/>
  <c r="BN5" i="45" s="1"/>
  <c r="BN4" i="45" s="1"/>
  <c r="BN58" i="45" s="1"/>
  <c r="BP160" i="34"/>
  <c r="BN53" i="45" s="1"/>
  <c r="BP176" i="34"/>
  <c r="BN54" i="45" s="1"/>
  <c r="BP39" i="34"/>
  <c r="BN20" i="45" s="1"/>
  <c r="BN19" i="45" s="1"/>
  <c r="BN60" i="45" s="1"/>
  <c r="BO39" i="34"/>
  <c r="BM20" i="45" s="1"/>
  <c r="BM19" i="45" s="1"/>
  <c r="BM60" i="45" s="1"/>
  <c r="BO4" i="36"/>
  <c r="BO69" i="36"/>
  <c r="BJ39" i="50"/>
  <c r="BO7" i="34"/>
  <c r="BM5" i="45" s="1"/>
  <c r="BM4" i="45" s="1"/>
  <c r="BM58" i="45" s="1"/>
  <c r="BO21" i="34"/>
  <c r="BM12" i="45" s="1"/>
  <c r="BM11" i="45" s="1"/>
  <c r="BM59" i="45" s="1"/>
  <c r="BO160" i="34"/>
  <c r="BM53" i="45" s="1"/>
  <c r="BO176" i="34"/>
  <c r="BM54" i="45" s="1"/>
  <c r="BF39" i="50"/>
  <c r="BK4" i="36"/>
  <c r="BK176" i="34"/>
  <c r="BI54" i="45" s="1"/>
  <c r="BK7" i="34"/>
  <c r="BI5" i="45" s="1"/>
  <c r="BI4" i="45" s="1"/>
  <c r="BI58" i="45" s="1"/>
  <c r="BK160" i="34"/>
  <c r="BI53" i="45" s="1"/>
  <c r="BK21" i="34"/>
  <c r="BI12" i="45" s="1"/>
  <c r="BI11" i="45" s="1"/>
  <c r="BI59" i="45" s="1"/>
  <c r="BK39" i="34"/>
  <c r="BI20" i="45" s="1"/>
  <c r="BI19" i="45" s="1"/>
  <c r="BI60" i="45" s="1"/>
  <c r="BK69" i="36"/>
  <c r="BN4" i="36"/>
  <c r="BN7" i="34"/>
  <c r="BL5" i="45" s="1"/>
  <c r="BL4" i="45" s="1"/>
  <c r="BL58" i="45" s="1"/>
  <c r="BN39" i="34"/>
  <c r="BL20" i="45" s="1"/>
  <c r="BL19" i="45" s="1"/>
  <c r="BL60" i="45" s="1"/>
  <c r="BN21" i="34"/>
  <c r="BL12" i="45" s="1"/>
  <c r="BL11" i="45" s="1"/>
  <c r="BL59" i="45" s="1"/>
  <c r="BN176" i="34"/>
  <c r="BL54" i="45" s="1"/>
  <c r="BI39" i="50"/>
  <c r="BN69" i="36"/>
  <c r="BN160" i="34"/>
  <c r="BL53" i="45" s="1"/>
  <c r="BL142" i="34"/>
  <c r="BL138" i="34"/>
  <c r="BL4" i="36"/>
  <c r="BL7" i="34"/>
  <c r="BJ5" i="45" s="1"/>
  <c r="BJ4" i="45" s="1"/>
  <c r="BJ58" i="45" s="1"/>
  <c r="BL176" i="34"/>
  <c r="BJ54" i="45" s="1"/>
  <c r="BL69" i="36"/>
  <c r="BG39" i="50"/>
  <c r="BL21" i="34"/>
  <c r="BJ12" i="45" s="1"/>
  <c r="BJ11" i="45" s="1"/>
  <c r="BJ59" i="45" s="1"/>
  <c r="BL39" i="34"/>
  <c r="BJ20" i="45" s="1"/>
  <c r="BJ19" i="45" s="1"/>
  <c r="BJ60" i="45" s="1"/>
  <c r="BL160" i="34"/>
  <c r="BJ53" i="45" s="1"/>
  <c r="AY39" i="50"/>
  <c r="BD7" i="34"/>
  <c r="BB5" i="45" s="1"/>
  <c r="BB4" i="45" s="1"/>
  <c r="BB58" i="45" s="1"/>
  <c r="BD4" i="36"/>
  <c r="BD176" i="34"/>
  <c r="BB54" i="45" s="1"/>
  <c r="BD21" i="34"/>
  <c r="BB12" i="45" s="1"/>
  <c r="BB11" i="45" s="1"/>
  <c r="BB59" i="45" s="1"/>
  <c r="BD69" i="36"/>
  <c r="BD39" i="34"/>
  <c r="BB20" i="45" s="1"/>
  <c r="BB19" i="45" s="1"/>
  <c r="BB60" i="45" s="1"/>
  <c r="BD160" i="34"/>
  <c r="BB53" i="45" s="1"/>
  <c r="BK53" i="36"/>
  <c r="BI138" i="34"/>
  <c r="BN53" i="36"/>
  <c r="AY138" i="34"/>
  <c r="AY94" i="34"/>
  <c r="AW45" i="45" s="1"/>
  <c r="AY142" i="34"/>
  <c r="BE139" i="34"/>
  <c r="BE143" i="34"/>
  <c r="BE110" i="34"/>
  <c r="BC47" i="45" s="1"/>
  <c r="BM138" i="34"/>
  <c r="BM142" i="34"/>
  <c r="BM94" i="34"/>
  <c r="BK45" i="45" s="1"/>
  <c r="BA4" i="36"/>
  <c r="BA69" i="36"/>
  <c r="BA21" i="34"/>
  <c r="AY12" i="45" s="1"/>
  <c r="AY11" i="45" s="1"/>
  <c r="AY59" i="45" s="1"/>
  <c r="BA7" i="34"/>
  <c r="AY5" i="45" s="1"/>
  <c r="AY4" i="45" s="1"/>
  <c r="AY58" i="45" s="1"/>
  <c r="AV39" i="50"/>
  <c r="BA176" i="34"/>
  <c r="AY54" i="45" s="1"/>
  <c r="BA160" i="34"/>
  <c r="AY53" i="45" s="1"/>
  <c r="BA39" i="34"/>
  <c r="AY20" i="45" s="1"/>
  <c r="AY19" i="45" s="1"/>
  <c r="AY60" i="45" s="1"/>
  <c r="BG176" i="34"/>
  <c r="BE54" i="45" s="1"/>
  <c r="BG4" i="36"/>
  <c r="BG69" i="36"/>
  <c r="BB39" i="50"/>
  <c r="BG7" i="34"/>
  <c r="BE5" i="45" s="1"/>
  <c r="BE4" i="45" s="1"/>
  <c r="BE58" i="45" s="1"/>
  <c r="BG21" i="34"/>
  <c r="BE12" i="45" s="1"/>
  <c r="BE11" i="45" s="1"/>
  <c r="BE59" i="45" s="1"/>
  <c r="BG160" i="34"/>
  <c r="BE53" i="45" s="1"/>
  <c r="BG39" i="34"/>
  <c r="BE20" i="45" s="1"/>
  <c r="BE19" i="45" s="1"/>
  <c r="BE60" i="45" s="1"/>
  <c r="AW138" i="34"/>
  <c r="AW142" i="34"/>
  <c r="AX176" i="34"/>
  <c r="AV54" i="45" s="1"/>
  <c r="AX39" i="34"/>
  <c r="AV20" i="45" s="1"/>
  <c r="AV19" i="45" s="1"/>
  <c r="AV60" i="45" s="1"/>
  <c r="AS39" i="50"/>
  <c r="AX7" i="34"/>
  <c r="AV5" i="45" s="1"/>
  <c r="AV4" i="45" s="1"/>
  <c r="AV58" i="45" s="1"/>
  <c r="AX69" i="36"/>
  <c r="AX21" i="34"/>
  <c r="AV12" i="45" s="1"/>
  <c r="AV11" i="45" s="1"/>
  <c r="AV59" i="45" s="1"/>
  <c r="AX53" i="36"/>
  <c r="AU39" i="50"/>
  <c r="AZ21" i="34"/>
  <c r="AX12" i="45" s="1"/>
  <c r="AX11" i="45" s="1"/>
  <c r="AX59" i="45" s="1"/>
  <c r="AZ176" i="34"/>
  <c r="AX54" i="45" s="1"/>
  <c r="AZ69" i="36"/>
  <c r="AZ160" i="34"/>
  <c r="AX53" i="45" s="1"/>
  <c r="AZ53" i="36"/>
  <c r="AZ7" i="34"/>
  <c r="AX5" i="45" s="1"/>
  <c r="AX4" i="45" s="1"/>
  <c r="AX58" i="45" s="1"/>
  <c r="AZ39" i="34"/>
  <c r="AX20" i="45" s="1"/>
  <c r="AX19" i="45" s="1"/>
  <c r="AX60" i="45" s="1"/>
  <c r="BJ4" i="36"/>
  <c r="BJ39" i="34"/>
  <c r="BH20" i="45" s="1"/>
  <c r="BH19" i="45" s="1"/>
  <c r="BH60" i="45" s="1"/>
  <c r="BJ21" i="34"/>
  <c r="BH12" i="45" s="1"/>
  <c r="BH11" i="45" s="1"/>
  <c r="BH59" i="45" s="1"/>
  <c r="BE39" i="50"/>
  <c r="BJ7" i="34"/>
  <c r="BH5" i="45" s="1"/>
  <c r="BH4" i="45" s="1"/>
  <c r="BH58" i="45" s="1"/>
  <c r="BJ176" i="34"/>
  <c r="BH54" i="45" s="1"/>
  <c r="BH52" i="45" s="1"/>
  <c r="BH67" i="45" s="1"/>
  <c r="BJ69" i="36"/>
  <c r="BD53" i="36"/>
  <c r="AW21" i="34"/>
  <c r="AU12" i="45" s="1"/>
  <c r="AU11" i="45" s="1"/>
  <c r="AU59" i="45" s="1"/>
  <c r="AW176" i="34"/>
  <c r="AU54" i="45" s="1"/>
  <c r="AR39" i="50"/>
  <c r="AW7" i="34"/>
  <c r="AU5" i="45" s="1"/>
  <c r="AU4" i="45" s="1"/>
  <c r="AU58" i="45" s="1"/>
  <c r="AW160" i="34"/>
  <c r="AU53" i="45" s="1"/>
  <c r="AW39" i="34"/>
  <c r="AU20" i="45" s="1"/>
  <c r="AU19" i="45" s="1"/>
  <c r="AU60" i="45" s="1"/>
  <c r="AW69" i="36"/>
  <c r="BP53" i="36"/>
  <c r="BO53" i="36"/>
  <c r="BC160" i="34"/>
  <c r="BA53" i="45" s="1"/>
  <c r="BA39" i="50"/>
  <c r="BF4" i="36"/>
  <c r="BF21" i="34"/>
  <c r="BD12" i="45" s="1"/>
  <c r="BD11" i="45" s="1"/>
  <c r="BD59" i="45" s="1"/>
  <c r="BF7" i="34"/>
  <c r="BD5" i="45" s="1"/>
  <c r="BD4" i="45" s="1"/>
  <c r="BD58" i="45" s="1"/>
  <c r="BF176" i="34"/>
  <c r="BD54" i="45" s="1"/>
  <c r="BF160" i="34"/>
  <c r="BD53" i="45" s="1"/>
  <c r="BF39" i="34"/>
  <c r="BD20" i="45" s="1"/>
  <c r="BD19" i="45" s="1"/>
  <c r="BD60" i="45" s="1"/>
  <c r="BF69" i="36"/>
  <c r="BF53" i="36"/>
  <c r="AX160" i="34"/>
  <c r="AV53" i="45" s="1"/>
  <c r="BB53" i="36"/>
  <c r="BM21" i="34"/>
  <c r="BK12" i="45" s="1"/>
  <c r="BK11" i="45" s="1"/>
  <c r="BK59" i="45" s="1"/>
  <c r="BM69" i="36"/>
  <c r="BH21" i="34"/>
  <c r="BF12" i="45" s="1"/>
  <c r="BF11" i="45" s="1"/>
  <c r="BF59" i="45" s="1"/>
  <c r="BB160" i="34"/>
  <c r="AZ53" i="45" s="1"/>
  <c r="BM160" i="34"/>
  <c r="BK53" i="45" s="1"/>
  <c r="BH160" i="34"/>
  <c r="BF53" i="45" s="1"/>
  <c r="BF52" i="45" s="1"/>
  <c r="BF67" i="45" s="1"/>
  <c r="BH53" i="36"/>
  <c r="AY69" i="36"/>
  <c r="AT39" i="50"/>
  <c r="AY160" i="34"/>
  <c r="AW53" i="45" s="1"/>
  <c r="AY21" i="34"/>
  <c r="AW12" i="45" s="1"/>
  <c r="AW11" i="45" s="1"/>
  <c r="AW59" i="45" s="1"/>
  <c r="AY176" i="34"/>
  <c r="AW54" i="45" s="1"/>
  <c r="BE176" i="34"/>
  <c r="BC54" i="45" s="1"/>
  <c r="BC52" i="45" s="1"/>
  <c r="BC67" i="45" s="1"/>
  <c r="AZ39" i="50"/>
  <c r="BE21" i="34"/>
  <c r="BC12" i="45" s="1"/>
  <c r="BC11" i="45" s="1"/>
  <c r="BC59" i="45" s="1"/>
  <c r="BE39" i="34"/>
  <c r="BC20" i="45" s="1"/>
  <c r="BC19" i="45" s="1"/>
  <c r="BC60" i="45" s="1"/>
  <c r="BE4" i="36"/>
  <c r="BH69" i="36"/>
  <c r="BH4" i="36"/>
  <c r="BC39" i="50"/>
  <c r="BH7" i="34"/>
  <c r="BF5" i="45" s="1"/>
  <c r="BF4" i="45" s="1"/>
  <c r="BF58" i="45" s="1"/>
  <c r="BH39" i="34"/>
  <c r="BF20" i="45" s="1"/>
  <c r="BF19" i="45" s="1"/>
  <c r="BF60" i="45" s="1"/>
  <c r="AY7" i="34"/>
  <c r="AW5" i="45" s="1"/>
  <c r="AW4" i="45" s="1"/>
  <c r="AW58" i="45" s="1"/>
  <c r="BB4" i="36"/>
  <c r="BB69" i="36"/>
  <c r="BB176" i="34"/>
  <c r="AZ54" i="45" s="1"/>
  <c r="BB21" i="34"/>
  <c r="AZ12" i="45" s="1"/>
  <c r="AZ11" i="45" s="1"/>
  <c r="AZ59" i="45" s="1"/>
  <c r="AW39" i="50"/>
  <c r="BB39" i="34"/>
  <c r="AZ20" i="45" s="1"/>
  <c r="AZ19" i="45" s="1"/>
  <c r="AZ60" i="45" s="1"/>
  <c r="BE7" i="34"/>
  <c r="BC5" i="45" s="1"/>
  <c r="BC4" i="45" s="1"/>
  <c r="BC58" i="45" s="1"/>
  <c r="BE53" i="36"/>
  <c r="BH39" i="50"/>
  <c r="BM7" i="34"/>
  <c r="BK5" i="45" s="1"/>
  <c r="BK4" i="45" s="1"/>
  <c r="BK58" i="45" s="1"/>
  <c r="BM39" i="34"/>
  <c r="BK20" i="45" s="1"/>
  <c r="BK19" i="45" s="1"/>
  <c r="BK60" i="45" s="1"/>
  <c r="BM176" i="34"/>
  <c r="BK54" i="45" s="1"/>
  <c r="BM4" i="36"/>
  <c r="AX90" i="34" l="1"/>
  <c r="AV46" i="45" s="1"/>
  <c r="AX144" i="34"/>
  <c r="AZ43" i="36"/>
  <c r="AY84" i="36"/>
  <c r="AY85" i="36" s="1"/>
  <c r="BE52" i="45"/>
  <c r="BE67" i="45" s="1"/>
  <c r="BB52" i="45"/>
  <c r="BB67" i="45" s="1"/>
  <c r="BJ138" i="34"/>
  <c r="AV52" i="45"/>
  <c r="AV67" i="45" s="1"/>
  <c r="BJ142" i="34"/>
  <c r="BI52" i="45"/>
  <c r="BI67" i="45" s="1"/>
  <c r="AU52" i="45"/>
  <c r="AU67" i="45" s="1"/>
  <c r="AY52" i="45"/>
  <c r="AY67" i="45" s="1"/>
  <c r="BJ52" i="45"/>
  <c r="BJ67" i="45" s="1"/>
  <c r="BN52" i="45"/>
  <c r="BN67" i="45" s="1"/>
  <c r="BD52" i="45"/>
  <c r="BD67" i="45" s="1"/>
  <c r="AW52" i="45"/>
  <c r="AW67" i="45" s="1"/>
  <c r="BM52" i="45"/>
  <c r="BM67" i="45" s="1"/>
  <c r="BA52" i="45"/>
  <c r="BA67" i="45" s="1"/>
  <c r="AX52" i="45"/>
  <c r="AX67" i="45" s="1"/>
  <c r="BB143" i="34"/>
  <c r="BB139" i="34"/>
  <c r="BB110" i="34"/>
  <c r="AZ47" i="45" s="1"/>
  <c r="BK52" i="45"/>
  <c r="BK67" i="45" s="1"/>
  <c r="BF138" i="34"/>
  <c r="BF94" i="34"/>
  <c r="BD45" i="45" s="1"/>
  <c r="BF142" i="34"/>
  <c r="AW143" i="34"/>
  <c r="AU51" i="45" s="1"/>
  <c r="AW139" i="34"/>
  <c r="AU50" i="45" s="1"/>
  <c r="AW110" i="34"/>
  <c r="AU47" i="45" s="1"/>
  <c r="AU43" i="45" s="1"/>
  <c r="AU65" i="45" s="1"/>
  <c r="BJ110" i="34"/>
  <c r="BH47" i="45" s="1"/>
  <c r="BJ139" i="34"/>
  <c r="BH50" i="45" s="1"/>
  <c r="BJ143" i="34"/>
  <c r="BA139" i="34"/>
  <c r="AY50" i="45" s="1"/>
  <c r="BA143" i="34"/>
  <c r="BA110" i="34"/>
  <c r="AY47" i="45" s="1"/>
  <c r="BD139" i="34"/>
  <c r="BD143" i="34"/>
  <c r="BD110" i="34"/>
  <c r="BB47" i="45" s="1"/>
  <c r="BL52" i="45"/>
  <c r="BL67" i="45" s="1"/>
  <c r="BK143" i="34"/>
  <c r="BK139" i="34"/>
  <c r="BK110" i="34"/>
  <c r="BI47" i="45" s="1"/>
  <c r="BC142" i="34"/>
  <c r="BC138" i="34"/>
  <c r="BC94" i="34"/>
  <c r="BA45" i="45" s="1"/>
  <c r="BI139" i="34"/>
  <c r="BG50" i="45" s="1"/>
  <c r="BI143" i="34"/>
  <c r="BI110" i="34"/>
  <c r="BG47" i="45" s="1"/>
  <c r="BH139" i="34"/>
  <c r="BH143" i="34"/>
  <c r="BH110" i="34"/>
  <c r="BF47" i="45" s="1"/>
  <c r="BM143" i="34"/>
  <c r="BM139" i="34"/>
  <c r="BK50" i="45" s="1"/>
  <c r="BM110" i="34"/>
  <c r="BK47" i="45" s="1"/>
  <c r="AY143" i="34"/>
  <c r="AY110" i="34"/>
  <c r="AW47" i="45" s="1"/>
  <c r="AY139" i="34"/>
  <c r="AW50" i="45" s="1"/>
  <c r="AZ52" i="45"/>
  <c r="AZ67" i="45" s="1"/>
  <c r="BB138" i="34"/>
  <c r="BB142" i="34"/>
  <c r="BB94" i="34"/>
  <c r="AZ45" i="45" s="1"/>
  <c r="BF143" i="34"/>
  <c r="BF110" i="34"/>
  <c r="BD47" i="45" s="1"/>
  <c r="BF139" i="34"/>
  <c r="AZ94" i="34"/>
  <c r="AX45" i="45" s="1"/>
  <c r="AZ138" i="34"/>
  <c r="AZ142" i="34"/>
  <c r="AX138" i="34"/>
  <c r="AX94" i="34"/>
  <c r="AV45" i="45" s="1"/>
  <c r="AX142" i="34"/>
  <c r="BK142" i="34"/>
  <c r="BK94" i="34"/>
  <c r="BI45" i="45" s="1"/>
  <c r="BK138" i="34"/>
  <c r="BN139" i="34"/>
  <c r="BN143" i="34"/>
  <c r="BN110" i="34"/>
  <c r="BL47" i="45" s="1"/>
  <c r="BO143" i="34"/>
  <c r="BO110" i="34"/>
  <c r="BM47" i="45" s="1"/>
  <c r="BO139" i="34"/>
  <c r="BP143" i="34"/>
  <c r="BP110" i="34"/>
  <c r="BN47" i="45" s="1"/>
  <c r="BP139" i="34"/>
  <c r="BO142" i="34"/>
  <c r="BO94" i="34"/>
  <c r="BM45" i="45" s="1"/>
  <c r="BO138" i="34"/>
  <c r="BL110" i="34"/>
  <c r="BJ47" i="45" s="1"/>
  <c r="BL139" i="34"/>
  <c r="BJ50" i="45" s="1"/>
  <c r="BL143" i="34"/>
  <c r="BC110" i="34"/>
  <c r="BA47" i="45" s="1"/>
  <c r="BC139" i="34"/>
  <c r="BC143" i="34"/>
  <c r="BE138" i="34"/>
  <c r="BC50" i="45" s="1"/>
  <c r="BE94" i="34"/>
  <c r="BC45" i="45" s="1"/>
  <c r="BE142" i="34"/>
  <c r="BH142" i="34"/>
  <c r="BH138" i="34"/>
  <c r="BH94" i="34"/>
  <c r="BF45" i="45" s="1"/>
  <c r="BP142" i="34"/>
  <c r="BP94" i="34"/>
  <c r="BN45" i="45" s="1"/>
  <c r="BP138" i="34"/>
  <c r="BD138" i="34"/>
  <c r="BD142" i="34"/>
  <c r="BD94" i="34"/>
  <c r="BB45" i="45" s="1"/>
  <c r="AZ143" i="34"/>
  <c r="AZ139" i="34"/>
  <c r="AZ110" i="34"/>
  <c r="AX47" i="45" s="1"/>
  <c r="AX143" i="34"/>
  <c r="AX139" i="34"/>
  <c r="AX110" i="34"/>
  <c r="AV47" i="45" s="1"/>
  <c r="BG143" i="34"/>
  <c r="BG110" i="34"/>
  <c r="BE47" i="45" s="1"/>
  <c r="BG139" i="34"/>
  <c r="BE50" i="45" s="1"/>
  <c r="BN142" i="34"/>
  <c r="BN138" i="34"/>
  <c r="BN94" i="34"/>
  <c r="BL45" i="45" s="1"/>
  <c r="BA43" i="36" l="1"/>
  <c r="AZ84" i="36"/>
  <c r="AZ85" i="36" s="1"/>
  <c r="AY90" i="34"/>
  <c r="AW46" i="45" s="1"/>
  <c r="AW43" i="45" s="1"/>
  <c r="AW65" i="45" s="1"/>
  <c r="AY144" i="34"/>
  <c r="AW51" i="45" s="1"/>
  <c r="AW49" i="45" s="1"/>
  <c r="AW66" i="45" s="1"/>
  <c r="BF50" i="45"/>
  <c r="BI50" i="45"/>
  <c r="BL50" i="45"/>
  <c r="BN50" i="45"/>
  <c r="BM50" i="45"/>
  <c r="BB50" i="45"/>
  <c r="AZ50" i="45"/>
  <c r="AU49" i="45"/>
  <c r="AU66" i="45" s="1"/>
  <c r="AV43" i="45"/>
  <c r="AV65" i="45" s="1"/>
  <c r="AV50" i="45"/>
  <c r="BA50" i="45"/>
  <c r="AV51" i="45"/>
  <c r="AX50" i="45"/>
  <c r="BD50" i="45"/>
  <c r="AZ90" i="34" l="1"/>
  <c r="AX46" i="45" s="1"/>
  <c r="AX43" i="45" s="1"/>
  <c r="AX65" i="45" s="1"/>
  <c r="AZ144" i="34"/>
  <c r="AX51" i="45" s="1"/>
  <c r="AX49" i="45" s="1"/>
  <c r="AX66" i="45" s="1"/>
  <c r="BB43" i="36"/>
  <c r="BA84" i="36"/>
  <c r="BA85" i="36" s="1"/>
  <c r="AV49" i="45"/>
  <c r="AV66" i="45" s="1"/>
  <c r="BA144" i="34" l="1"/>
  <c r="AY51" i="45" s="1"/>
  <c r="AY49" i="45" s="1"/>
  <c r="AY66" i="45" s="1"/>
  <c r="BA90" i="34"/>
  <c r="AY46" i="45" s="1"/>
  <c r="AY43" i="45" s="1"/>
  <c r="AY65" i="45" s="1"/>
  <c r="BC43" i="36"/>
  <c r="BB84" i="36"/>
  <c r="BB85" i="36" s="1"/>
  <c r="BB144" i="34" l="1"/>
  <c r="AZ51" i="45" s="1"/>
  <c r="AZ49" i="45" s="1"/>
  <c r="AZ66" i="45" s="1"/>
  <c r="BB90" i="34"/>
  <c r="AZ46" i="45" s="1"/>
  <c r="AZ43" i="45" s="1"/>
  <c r="AZ65" i="45" s="1"/>
  <c r="BD43" i="36"/>
  <c r="BC84" i="36"/>
  <c r="BC85" i="36" s="1"/>
  <c r="BC144" i="34" l="1"/>
  <c r="BA51" i="45" s="1"/>
  <c r="BA49" i="45" s="1"/>
  <c r="BA66" i="45" s="1"/>
  <c r="BC90" i="34"/>
  <c r="BA46" i="45" s="1"/>
  <c r="BA43" i="45" s="1"/>
  <c r="BA65" i="45" s="1"/>
  <c r="BE43" i="36"/>
  <c r="BD84" i="36"/>
  <c r="BD85" i="36" s="1"/>
  <c r="BF43" i="36" l="1"/>
  <c r="BE84" i="36"/>
  <c r="BE85" i="36" s="1"/>
  <c r="BD90" i="34"/>
  <c r="BB46" i="45" s="1"/>
  <c r="BB43" i="45" s="1"/>
  <c r="BB65" i="45" s="1"/>
  <c r="BD144" i="34"/>
  <c r="BB51" i="45" s="1"/>
  <c r="BB49" i="45" s="1"/>
  <c r="BB66" i="45" s="1"/>
  <c r="BE90" i="34" l="1"/>
  <c r="BC46" i="45" s="1"/>
  <c r="BC43" i="45" s="1"/>
  <c r="BC65" i="45" s="1"/>
  <c r="BE144" i="34"/>
  <c r="BC51" i="45" s="1"/>
  <c r="BC49" i="45" s="1"/>
  <c r="BC66" i="45" s="1"/>
  <c r="BG43" i="36"/>
  <c r="BF84" i="36"/>
  <c r="BF85" i="36" s="1"/>
  <c r="BF144" i="34" l="1"/>
  <c r="BD51" i="45" s="1"/>
  <c r="BD49" i="45" s="1"/>
  <c r="BD66" i="45" s="1"/>
  <c r="BF90" i="34"/>
  <c r="BD46" i="45" s="1"/>
  <c r="BD43" i="45" s="1"/>
  <c r="BD65" i="45" s="1"/>
  <c r="BH43" i="36"/>
  <c r="BG84" i="36"/>
  <c r="BG85" i="36" s="1"/>
  <c r="BG144" i="34" l="1"/>
  <c r="BE51" i="45" s="1"/>
  <c r="BE49" i="45" s="1"/>
  <c r="BE66" i="45" s="1"/>
  <c r="BG90" i="34"/>
  <c r="BE46" i="45" s="1"/>
  <c r="BE43" i="45" s="1"/>
  <c r="BE65" i="45" s="1"/>
  <c r="BI43" i="36"/>
  <c r="BH84" i="36"/>
  <c r="BH85" i="36" s="1"/>
  <c r="BH90" i="34" l="1"/>
  <c r="BF46" i="45" s="1"/>
  <c r="BF43" i="45" s="1"/>
  <c r="BF65" i="45" s="1"/>
  <c r="BH144" i="34"/>
  <c r="BF51" i="45" s="1"/>
  <c r="BF49" i="45" s="1"/>
  <c r="BF66" i="45" s="1"/>
  <c r="BJ43" i="36"/>
  <c r="BI84" i="36"/>
  <c r="BI85" i="36" s="1"/>
  <c r="BI144" i="34" l="1"/>
  <c r="BG51" i="45" s="1"/>
  <c r="BG49" i="45" s="1"/>
  <c r="BG66" i="45" s="1"/>
  <c r="BI90" i="34"/>
  <c r="BG46" i="45" s="1"/>
  <c r="BG43" i="45" s="1"/>
  <c r="BG65" i="45" s="1"/>
  <c r="BK43" i="36"/>
  <c r="BJ84" i="36"/>
  <c r="BJ85" i="36" s="1"/>
  <c r="BJ144" i="34" l="1"/>
  <c r="BH51" i="45" s="1"/>
  <c r="BH49" i="45" s="1"/>
  <c r="BH66" i="45" s="1"/>
  <c r="BJ90" i="34"/>
  <c r="BH46" i="45" s="1"/>
  <c r="BH43" i="45" s="1"/>
  <c r="BH65" i="45" s="1"/>
  <c r="BL43" i="36"/>
  <c r="BK84" i="36"/>
  <c r="BK85" i="36" s="1"/>
  <c r="BK144" i="34" l="1"/>
  <c r="BI51" i="45" s="1"/>
  <c r="BI49" i="45" s="1"/>
  <c r="BI66" i="45" s="1"/>
  <c r="BK90" i="34"/>
  <c r="BI46" i="45" s="1"/>
  <c r="BI43" i="45" s="1"/>
  <c r="BI65" i="45" s="1"/>
  <c r="BM43" i="36"/>
  <c r="BL84" i="36"/>
  <c r="BL85" i="36" s="1"/>
  <c r="BL90" i="34" l="1"/>
  <c r="BJ46" i="45" s="1"/>
  <c r="BJ43" i="45" s="1"/>
  <c r="BJ65" i="45" s="1"/>
  <c r="BL144" i="34"/>
  <c r="BJ51" i="45" s="1"/>
  <c r="BJ49" i="45" s="1"/>
  <c r="BJ66" i="45" s="1"/>
  <c r="BN43" i="36"/>
  <c r="BM84" i="36"/>
  <c r="BM85" i="36" s="1"/>
  <c r="BM90" i="34" l="1"/>
  <c r="BK46" i="45" s="1"/>
  <c r="BK43" i="45" s="1"/>
  <c r="BK65" i="45" s="1"/>
  <c r="BM144" i="34"/>
  <c r="BK51" i="45" s="1"/>
  <c r="BK49" i="45" s="1"/>
  <c r="BK66" i="45" s="1"/>
  <c r="BO43" i="36"/>
  <c r="BN84" i="36"/>
  <c r="BN85" i="36" s="1"/>
  <c r="BN144" i="34" l="1"/>
  <c r="BL51" i="45" s="1"/>
  <c r="BL49" i="45" s="1"/>
  <c r="BL66" i="45" s="1"/>
  <c r="BN90" i="34"/>
  <c r="BL46" i="45" s="1"/>
  <c r="BL43" i="45" s="1"/>
  <c r="BL65" i="45" s="1"/>
  <c r="BP43" i="36"/>
  <c r="BP84" i="36" s="1"/>
  <c r="BP85" i="36" s="1"/>
  <c r="BO84" i="36"/>
  <c r="BO85" i="36" s="1"/>
  <c r="BO144" i="34" l="1"/>
  <c r="BM51" i="45" s="1"/>
  <c r="BM49" i="45" s="1"/>
  <c r="BM66" i="45" s="1"/>
  <c r="BO90" i="34"/>
  <c r="BM46" i="45" s="1"/>
  <c r="BM43" i="45" s="1"/>
  <c r="BM65" i="45" s="1"/>
  <c r="BP90" i="34"/>
  <c r="BN46" i="45" s="1"/>
  <c r="BN43" i="45" s="1"/>
  <c r="BN65" i="45" s="1"/>
  <c r="BP144" i="34"/>
  <c r="BN51" i="45" s="1"/>
  <c r="BN49" i="45" s="1"/>
  <c r="BN66" i="45" s="1"/>
</calcChain>
</file>

<file path=xl/sharedStrings.xml><?xml version="1.0" encoding="utf-8"?>
<sst xmlns="http://schemas.openxmlformats.org/spreadsheetml/2006/main" count="2340" uniqueCount="870">
  <si>
    <t>Units</t>
  </si>
  <si>
    <t>Population</t>
  </si>
  <si>
    <t>Dairy cattle</t>
  </si>
  <si>
    <t>Horses</t>
  </si>
  <si>
    <t>IPCC category</t>
  </si>
  <si>
    <t>Gas</t>
  </si>
  <si>
    <t>3A1ai Dairy cattle</t>
  </si>
  <si>
    <t>IPCC Categories</t>
  </si>
  <si>
    <t>Constants</t>
  </si>
  <si>
    <t>CH4 GWP</t>
  </si>
  <si>
    <t>N2O GWP</t>
  </si>
  <si>
    <t>AFOLU inventory categories</t>
  </si>
  <si>
    <t>Level 1</t>
  </si>
  <si>
    <t>Level 2</t>
  </si>
  <si>
    <t>Level 3</t>
  </si>
  <si>
    <t>3A Livestock</t>
  </si>
  <si>
    <t>3A1 Enteric fermentation (CH4)</t>
  </si>
  <si>
    <t>3A1a Cattle</t>
  </si>
  <si>
    <t>3A1c Sheep</t>
  </si>
  <si>
    <t>3A1d Goats</t>
  </si>
  <si>
    <t>3A1f Horses</t>
  </si>
  <si>
    <t>3A1h Swine</t>
  </si>
  <si>
    <t>3A2 Manure management (CH4)</t>
  </si>
  <si>
    <t>3A2a Cattle</t>
  </si>
  <si>
    <t>3A2c Sheep</t>
  </si>
  <si>
    <t>3A2d Goats</t>
  </si>
  <si>
    <t>3A2f Horses</t>
  </si>
  <si>
    <t>3A2h Swine</t>
  </si>
  <si>
    <t>3A2i Poultry</t>
  </si>
  <si>
    <t>3B Land</t>
  </si>
  <si>
    <t>3B1 Forest land (net CO2)</t>
  </si>
  <si>
    <t>3B1a Forest land remaining forest land</t>
  </si>
  <si>
    <t>3B1b Land converted to forest land</t>
  </si>
  <si>
    <t>3B2 Cropland (net CO2)</t>
  </si>
  <si>
    <t>3B2a Cropland remaining cropland</t>
  </si>
  <si>
    <t>3B2b Land converted to cropland</t>
  </si>
  <si>
    <t>3B3 Grassland (net CO2)</t>
  </si>
  <si>
    <t>3B3a Grassland remaining grassland</t>
  </si>
  <si>
    <t>3B3b Land converted to grassland</t>
  </si>
  <si>
    <t>3B4 Wetland (CH4)</t>
  </si>
  <si>
    <t>3B5 Settlements (net CO2)</t>
  </si>
  <si>
    <t>3B5a Setllements remaining settlements</t>
  </si>
  <si>
    <t>3B5b Land converted to settlements</t>
  </si>
  <si>
    <t>3B6 Other lands (net CO2)</t>
  </si>
  <si>
    <t>3B6b Land converted to other land</t>
  </si>
  <si>
    <t>3C1 Biomass burning (CH4)</t>
  </si>
  <si>
    <t>3C1a Biomass burning in forest land</t>
  </si>
  <si>
    <t>3C1b Biomass burning in Croplands</t>
  </si>
  <si>
    <t>3C1c Biomass burning in Grasslands</t>
  </si>
  <si>
    <t>3C1d Biomass burning in Wetlands</t>
  </si>
  <si>
    <t>3C1e Biomass burning in Settlements</t>
  </si>
  <si>
    <t>3C1f Biomass burning in Other lands</t>
  </si>
  <si>
    <t>3C1 Biomass burning (N2O)</t>
  </si>
  <si>
    <t>3C2 Liming (CO2)</t>
  </si>
  <si>
    <t>3C3 Urea application (CO2)</t>
  </si>
  <si>
    <t>3C4 Direct N2O from managed soils (N2O)</t>
  </si>
  <si>
    <t>Inorganic inputs</t>
  </si>
  <si>
    <t>Organic inputs</t>
  </si>
  <si>
    <t>Crop residues</t>
  </si>
  <si>
    <t>Urine and dung</t>
  </si>
  <si>
    <t>FSOM</t>
  </si>
  <si>
    <t>3C5 Indirect N2O from managed soils (N2O)</t>
  </si>
  <si>
    <t>Volatilisation</t>
  </si>
  <si>
    <t>Leaching/runoff</t>
  </si>
  <si>
    <t>3C6 Indirect N2O from manure management (N2O)</t>
  </si>
  <si>
    <t>3D Other</t>
  </si>
  <si>
    <t>3D1 HWP (CO2)</t>
  </si>
  <si>
    <t>3A1aii Other cattle</t>
  </si>
  <si>
    <t>3A2ai Dairy cattle</t>
  </si>
  <si>
    <t>3A2aii Other cattle</t>
  </si>
  <si>
    <t>Level 4</t>
  </si>
  <si>
    <t>3B1bi Cropland converted to forest land</t>
  </si>
  <si>
    <t>3B1bii Grassland converted to forest land</t>
  </si>
  <si>
    <t>3B1biii Wetlands converted to forest land</t>
  </si>
  <si>
    <t>3B1biv Settlements converted to forest land</t>
  </si>
  <si>
    <t>3B1bv Other land converted to forest land</t>
  </si>
  <si>
    <t>3B2bi Forest land converted to cropland</t>
  </si>
  <si>
    <t>3B2bii Grassland converted to cropland</t>
  </si>
  <si>
    <t>3B2biii Wetlands converted to cropland</t>
  </si>
  <si>
    <t>3B2biv Settlements converted to cropland</t>
  </si>
  <si>
    <t>3B2bv Other land converted to cropland</t>
  </si>
  <si>
    <t>3B3bi Forest land converted to grassland</t>
  </si>
  <si>
    <t>3B3bii Cropland converted to grassland</t>
  </si>
  <si>
    <t>3B3biii Wetlands converted to grassland</t>
  </si>
  <si>
    <t>3B3iv Settlements converted to grassland</t>
  </si>
  <si>
    <t>3B3v Other land converted to grassland</t>
  </si>
  <si>
    <t>3B5bi Forest land converted to settlements</t>
  </si>
  <si>
    <t>3B5bii Cropland converted to settlements</t>
  </si>
  <si>
    <t>3B5biii Grassland converted to settlements</t>
  </si>
  <si>
    <t>3B5biv Wetlands converted to settlements</t>
  </si>
  <si>
    <t>3B5bv Other land converted to settlements</t>
  </si>
  <si>
    <t>3B6bi Forest land converted to other land</t>
  </si>
  <si>
    <t>3B6bii Cropland converted to other land</t>
  </si>
  <si>
    <t>3B6biii Grassland converted to other land</t>
  </si>
  <si>
    <t>3B6biv Wetlands converted to other land</t>
  </si>
  <si>
    <t>3B6bv Settlements converted to other land</t>
  </si>
  <si>
    <t>Activities</t>
  </si>
  <si>
    <t>Enteric fermentation</t>
  </si>
  <si>
    <t>Manure management</t>
  </si>
  <si>
    <t>Forest land</t>
  </si>
  <si>
    <t>Forest land remaining forest land</t>
  </si>
  <si>
    <t>Land converted to forest land</t>
  </si>
  <si>
    <t>Cropland remaining cropland</t>
  </si>
  <si>
    <t>Land converted to cropland</t>
  </si>
  <si>
    <t>Grassland remaining grassland</t>
  </si>
  <si>
    <t>Land converted to grassland</t>
  </si>
  <si>
    <t>Wetlands</t>
  </si>
  <si>
    <t>Settlements remaining settlements</t>
  </si>
  <si>
    <t>Land converted to settlements</t>
  </si>
  <si>
    <t>3B6a Other land remaining other land</t>
  </si>
  <si>
    <t>Other land remaining other land</t>
  </si>
  <si>
    <t>Land converted to other land</t>
  </si>
  <si>
    <t>Biomass burning</t>
  </si>
  <si>
    <t>Liming</t>
  </si>
  <si>
    <t>Urea application</t>
  </si>
  <si>
    <t>Inorganic N inputs</t>
  </si>
  <si>
    <t>Organic N inputs</t>
  </si>
  <si>
    <t>Crop N residues</t>
  </si>
  <si>
    <t>Urine and dung N inputs</t>
  </si>
  <si>
    <t>FSOM inputs</t>
  </si>
  <si>
    <t>HWP</t>
  </si>
  <si>
    <t>CH4</t>
  </si>
  <si>
    <t>Commercial</t>
  </si>
  <si>
    <t>Subsistence</t>
  </si>
  <si>
    <t>Mules &amp; Asses</t>
  </si>
  <si>
    <t>Commercial breeding</t>
  </si>
  <si>
    <t>Commercial baconers</t>
  </si>
  <si>
    <t>Commercial porkers</t>
  </si>
  <si>
    <t>Subsistence breeding</t>
  </si>
  <si>
    <t>Subsistence baconers</t>
  </si>
  <si>
    <t>Subsistence porkers</t>
  </si>
  <si>
    <t>Commercial layers</t>
  </si>
  <si>
    <t>Commercial broilers</t>
  </si>
  <si>
    <t>Subsistence broilers</t>
  </si>
  <si>
    <t>Subsistence layers</t>
  </si>
  <si>
    <t>Feedlot</t>
  </si>
  <si>
    <t>TMR</t>
  </si>
  <si>
    <t>Pasture</t>
  </si>
  <si>
    <t>Head</t>
  </si>
  <si>
    <t>N2O</t>
  </si>
  <si>
    <t>3A1g Mules &amp; asses</t>
  </si>
  <si>
    <t>3A2g Mules &amp; asses</t>
  </si>
  <si>
    <t>Activity data</t>
  </si>
  <si>
    <t>Emission factors</t>
  </si>
  <si>
    <t>kg CH4/head/yr</t>
  </si>
  <si>
    <t>kg N2O-N/kg Nex</t>
  </si>
  <si>
    <t>N2O-N to N2O</t>
  </si>
  <si>
    <t>kg to Gg</t>
  </si>
  <si>
    <t>TOTAL</t>
  </si>
  <si>
    <t>Sub category</t>
  </si>
  <si>
    <t>Metric</t>
  </si>
  <si>
    <t>Other cattle</t>
  </si>
  <si>
    <t>Sheep</t>
  </si>
  <si>
    <t>Goats</t>
  </si>
  <si>
    <t>Mules and asses</t>
  </si>
  <si>
    <t>Swine</t>
  </si>
  <si>
    <t>Dairy (pasture) - Lactating cows</t>
  </si>
  <si>
    <t>Dairy (pasture) - Dry cows</t>
  </si>
  <si>
    <t>Dairy (pasture) - Lactating heifers</t>
  </si>
  <si>
    <t>Dairy (TMR) - Lactating cows</t>
  </si>
  <si>
    <t>Dairy (TMR) - Dry cows</t>
  </si>
  <si>
    <t>Dairy (TMR) - Lactating heifers</t>
  </si>
  <si>
    <t>Dairy (non-lactating - pasture) - Calves</t>
  </si>
  <si>
    <t>Dairy (non-lactating - pasture) - Heifers 2-6mths</t>
  </si>
  <si>
    <t>Dairy (non-lactating - pasture) - Heifers 6-12mths</t>
  </si>
  <si>
    <t>Dairy (non-lactating - pasture) - Heifers &gt;1yr</t>
  </si>
  <si>
    <t>Dairy (non-lactating - pasture) - Pregnant heifers</t>
  </si>
  <si>
    <t>Dairy (non-lactating - TMR) - Calves</t>
  </si>
  <si>
    <t>Dairy (non-lactating - TMR) - Heifers 2-6mths</t>
  </si>
  <si>
    <t>Dairy (non-lactating - TMR) - Heifers 6-12mths</t>
  </si>
  <si>
    <t>Dairy (non-lactating - TMR) - Heifers &gt;1yr</t>
  </si>
  <si>
    <t>Dairy (non-lactating - TMR) - Pregnant heifers</t>
  </si>
  <si>
    <t>Commercial beef - Bulls</t>
  </si>
  <si>
    <t>Commercial beef - Calves</t>
  </si>
  <si>
    <t>Commercial beef - Cows</t>
  </si>
  <si>
    <t>Commercial beef - Feedlot</t>
  </si>
  <si>
    <t>Commercial beef - Heifers</t>
  </si>
  <si>
    <t>Commercial beef - Oxen</t>
  </si>
  <si>
    <t>Commercial beef - Young oxen</t>
  </si>
  <si>
    <t>Subsistence cattle - Bulls</t>
  </si>
  <si>
    <t>Subsistence cattle - Calves</t>
  </si>
  <si>
    <t>Subsistence cattle - Cows</t>
  </si>
  <si>
    <t>Subsistence cattle - Heifers</t>
  </si>
  <si>
    <t>Subsistence cattle - Oxen</t>
  </si>
  <si>
    <t>Subsistence cattle - Young oxen</t>
  </si>
  <si>
    <t>Commercial - Karakul - Breeding ewes</t>
  </si>
  <si>
    <t>Commercial - Karakul - Breeding rams</t>
  </si>
  <si>
    <t>Commercial - Karakul - Lambs</t>
  </si>
  <si>
    <t>Commercial - Karakul - Weaners</t>
  </si>
  <si>
    <t>Commercial - Karakul - Young ewes</t>
  </si>
  <si>
    <t>Commercial - Karakul - Young rams</t>
  </si>
  <si>
    <t>Commercial - Merino - Breeding ewes</t>
  </si>
  <si>
    <t>Commercial - Merino - Breeding rams</t>
  </si>
  <si>
    <t>Commercial - Merino - Lambs</t>
  </si>
  <si>
    <t>Commercial - Merino - Weaners</t>
  </si>
  <si>
    <t>Commercial - Merino - Young ewes</t>
  </si>
  <si>
    <t>Commercial - Merino - Young rams</t>
  </si>
  <si>
    <t>Commercial - Non-wool - Breeding ewes</t>
  </si>
  <si>
    <t>Commercial - Non-wool - Breeding rams</t>
  </si>
  <si>
    <t>Commercial - Non-wool - Lambs</t>
  </si>
  <si>
    <t>Commercial - Non-wool - Weaners</t>
  </si>
  <si>
    <t>Commercial - Non-wool - Young ewes</t>
  </si>
  <si>
    <t>Commercial - Non-wool - Young rams</t>
  </si>
  <si>
    <t>Commercial - Other wool - Breeding ewes</t>
  </si>
  <si>
    <t>Commercial - Other wool - Breeding rams</t>
  </si>
  <si>
    <t>Commercial - Other wool - Lambs</t>
  </si>
  <si>
    <t>Commercial - Other wool - Weaners</t>
  </si>
  <si>
    <t>Commercial - Other wool - Young ewes</t>
  </si>
  <si>
    <t>Commercial - Other wool - Young rams</t>
  </si>
  <si>
    <t>Subsistence - Karakul - Breeding ewes</t>
  </si>
  <si>
    <t>Subsistence - Karakul - Breeding rams</t>
  </si>
  <si>
    <t>Subsistence - Karakul - Lambs</t>
  </si>
  <si>
    <t>Subsistence - Karakul - Weaners</t>
  </si>
  <si>
    <t>Subsistence - Karakul - Young ewes</t>
  </si>
  <si>
    <t>Subsistence - Karakul - Young rams</t>
  </si>
  <si>
    <t>Subsistence - Merino - Breeding ewes</t>
  </si>
  <si>
    <t>Subsistence - Merino - Breeding rams</t>
  </si>
  <si>
    <t>Subsistence - Merino - Lambs</t>
  </si>
  <si>
    <t>Subsistence - Merino - Weaners</t>
  </si>
  <si>
    <t>Subsistence - Merino - Young ewes</t>
  </si>
  <si>
    <t>Subsistence - Merino - Young rams</t>
  </si>
  <si>
    <t>Subsistence - Non-wool - Breeding ewes</t>
  </si>
  <si>
    <t>Subsistence - Non-wool - Breeding rams</t>
  </si>
  <si>
    <t>Subsistence - Non-wool - Lambs</t>
  </si>
  <si>
    <t>Subsistence - Non-wool - Weaners</t>
  </si>
  <si>
    <t>Subsistence - Non-wool - Young ewes</t>
  </si>
  <si>
    <t>Subsistence - Non-wool - Young rams</t>
  </si>
  <si>
    <t>Subsistence - Other wool - Breeding ewes</t>
  </si>
  <si>
    <t>Subsistence - Other wool - Breeding rams</t>
  </si>
  <si>
    <t>Subsistence - Other wool - Lambs</t>
  </si>
  <si>
    <t>Subsistence - Other wool - Weaners</t>
  </si>
  <si>
    <t>Subsistence - Other wool - Young ewes</t>
  </si>
  <si>
    <t>Subsistence - Other wool - Young rams</t>
  </si>
  <si>
    <t>Commercial - Angora - Breeding buck</t>
  </si>
  <si>
    <t>Commercial - Angora - Breeding does</t>
  </si>
  <si>
    <t>Commercial - Angora - Kids</t>
  </si>
  <si>
    <t>Commercial - Angora - Weaners</t>
  </si>
  <si>
    <t>Commercial - Angora - Young buck</t>
  </si>
  <si>
    <t>Commercial - Angora - Young does</t>
  </si>
  <si>
    <t>Commercial goats - Breeding buck</t>
  </si>
  <si>
    <t>Commercial goats - Breeding does</t>
  </si>
  <si>
    <t>Commercial goats - Kids</t>
  </si>
  <si>
    <t>Commercial goats - Weaners</t>
  </si>
  <si>
    <t>Commercial goats - Young buck</t>
  </si>
  <si>
    <t>Commercial goats - Young does</t>
  </si>
  <si>
    <t>Commercial - Milk - Breeding buck</t>
  </si>
  <si>
    <t>Commercial - Milk - Breeding does</t>
  </si>
  <si>
    <t>Commercial - Milk - Kids</t>
  </si>
  <si>
    <t>Commercial - Milk - Weaners</t>
  </si>
  <si>
    <t>Commercial - Milk - Young buck</t>
  </si>
  <si>
    <t>Commercial - Milk - Young does</t>
  </si>
  <si>
    <t>Subsistence goats - Breeding buck</t>
  </si>
  <si>
    <t>Subsistence goats - Breeding does</t>
  </si>
  <si>
    <t>Subsistence goats - Kids</t>
  </si>
  <si>
    <t>Subsistence goats - Weaners</t>
  </si>
  <si>
    <t>Subsistence goats - Young buck</t>
  </si>
  <si>
    <t>Subsistence goats - Young does</t>
  </si>
  <si>
    <t>Commercial swine - Baconers</t>
  </si>
  <si>
    <t>Commercial swine - Boars</t>
  </si>
  <si>
    <t>Commercial swine - Cull boars</t>
  </si>
  <si>
    <t>Commercial swine - Cull sows</t>
  </si>
  <si>
    <t>Commercial swine - Dry gestating sows</t>
  </si>
  <si>
    <t>Commercial swine - Lactating sows</t>
  </si>
  <si>
    <t>Commercial swine - Porkers</t>
  </si>
  <si>
    <t>Commercial swine - Pre-wean piglets</t>
  </si>
  <si>
    <t>Commercial swine - Replacement boars</t>
  </si>
  <si>
    <t>Commercial swine - Replacement sows</t>
  </si>
  <si>
    <t>Subsistence swine - Baconers</t>
  </si>
  <si>
    <t>Subsistence swine - Boars</t>
  </si>
  <si>
    <t>Subsistence swine - Cull boars</t>
  </si>
  <si>
    <t>Subsistence swine - Cull sows</t>
  </si>
  <si>
    <t>Subsistence swine - Dry gestating sows</t>
  </si>
  <si>
    <t>Subsistence swine - Lactating sows</t>
  </si>
  <si>
    <t>Subsistence swine - Porkers</t>
  </si>
  <si>
    <t>Subsistence swine - Pre-wean piglets</t>
  </si>
  <si>
    <t>Subsistence swine - Replacement boars</t>
  </si>
  <si>
    <t>Subsistence swine - Replacement sows</t>
  </si>
  <si>
    <t>Aggregated emission factors</t>
  </si>
  <si>
    <t>Livestock category</t>
  </si>
  <si>
    <t>EF</t>
  </si>
  <si>
    <t>Activity</t>
  </si>
  <si>
    <t>2010 Population</t>
  </si>
  <si>
    <t>Assumptions</t>
  </si>
  <si>
    <t>Notes</t>
  </si>
  <si>
    <t>Ratio</t>
  </si>
  <si>
    <t>EF x ratio</t>
  </si>
  <si>
    <t>Gg CH4</t>
  </si>
  <si>
    <t>Gg N2O</t>
  </si>
  <si>
    <t>Poultry</t>
  </si>
  <si>
    <t>Commercial poultry - Broilers</t>
  </si>
  <si>
    <t>Commercial poultry - Layers</t>
  </si>
  <si>
    <t>Subsistence poultry - Broilers</t>
  </si>
  <si>
    <t>Subsistence poultry - Layers</t>
  </si>
  <si>
    <t>Manure EF</t>
  </si>
  <si>
    <t>Lagoon</t>
  </si>
  <si>
    <t>Liquid/slurry</t>
  </si>
  <si>
    <t>Drylot</t>
  </si>
  <si>
    <t>Solid storage</t>
  </si>
  <si>
    <t>Daily spread</t>
  </si>
  <si>
    <t>Compost</t>
  </si>
  <si>
    <t>Manure with bedding</t>
  </si>
  <si>
    <t>Poultry manure without litter</t>
  </si>
  <si>
    <t>Poultry manure with litter</t>
  </si>
  <si>
    <t>Dailyspread</t>
  </si>
  <si>
    <t>Pasture, range and paddock</t>
  </si>
  <si>
    <t>Percentage</t>
  </si>
  <si>
    <t>MM</t>
  </si>
  <si>
    <t>Non-lactating</t>
  </si>
  <si>
    <t>Reference for projections</t>
  </si>
  <si>
    <t>Population data</t>
  </si>
  <si>
    <t>Excretion rate</t>
  </si>
  <si>
    <t>kg N/head/yr</t>
  </si>
  <si>
    <t>Summary</t>
  </si>
  <si>
    <t>Level 2 category</t>
  </si>
  <si>
    <t>Level 3 category</t>
  </si>
  <si>
    <t>Level 3/4 category</t>
  </si>
  <si>
    <t>Drivers</t>
  </si>
  <si>
    <t>Driver</t>
  </si>
  <si>
    <t>Beef consumption</t>
  </si>
  <si>
    <t>kg to tonne</t>
  </si>
  <si>
    <t>Beef production</t>
  </si>
  <si>
    <t>t</t>
  </si>
  <si>
    <t>t/capita</t>
  </si>
  <si>
    <t>Capita</t>
  </si>
  <si>
    <t>Input data</t>
  </si>
  <si>
    <t>Output data</t>
  </si>
  <si>
    <t>Livestock outputs</t>
  </si>
  <si>
    <t>Fraction</t>
  </si>
  <si>
    <t>Milk consumption</t>
  </si>
  <si>
    <t>Milk production</t>
  </si>
  <si>
    <t>TMR dairy cattle fraction</t>
  </si>
  <si>
    <t>Fraction of dairy cattle that is TMR</t>
  </si>
  <si>
    <t>Lamb consumption</t>
  </si>
  <si>
    <t>Lamb production</t>
  </si>
  <si>
    <t>Ratio of subsistence to commercial sheep</t>
  </si>
  <si>
    <t>Pork consumption</t>
  </si>
  <si>
    <t>Pork production</t>
  </si>
  <si>
    <t>Ratio of subsistence to commercial swine</t>
  </si>
  <si>
    <t>Egg consumption</t>
  </si>
  <si>
    <t>Egg production</t>
  </si>
  <si>
    <t>Ratio of subsistence to commercial layers</t>
  </si>
  <si>
    <t>Chicken consumption</t>
  </si>
  <si>
    <t>Chicken production</t>
  </si>
  <si>
    <t>Ratio of subsistence to commercial broilers</t>
  </si>
  <si>
    <t>Chevon consumption</t>
  </si>
  <si>
    <t>Lamb and chevon consumption</t>
  </si>
  <si>
    <t>Fraction of goat meat</t>
  </si>
  <si>
    <t>Fraction of sheep and goat meat that is goat meat</t>
  </si>
  <si>
    <t>Maize production</t>
  </si>
  <si>
    <t>Maize consumption (total)</t>
  </si>
  <si>
    <t>Ratio of subsistence to commercial goats</t>
  </si>
  <si>
    <t>Indigenous forests</t>
  </si>
  <si>
    <t>Thickets</t>
  </si>
  <si>
    <t>Woodlands</t>
  </si>
  <si>
    <t>Plantations</t>
  </si>
  <si>
    <t>Annual non-pivot</t>
  </si>
  <si>
    <t>Annual pivot</t>
  </si>
  <si>
    <t>Perennial orchards</t>
  </si>
  <si>
    <t>Perennial vineyards</t>
  </si>
  <si>
    <t>Cropland subsistence</t>
  </si>
  <si>
    <t>Grasslands</t>
  </si>
  <si>
    <t>Low shrublands</t>
  </si>
  <si>
    <t>Settlements</t>
  </si>
  <si>
    <t>Mines</t>
  </si>
  <si>
    <t>Bare ground</t>
  </si>
  <si>
    <t>Degraded land</t>
  </si>
  <si>
    <t>ha</t>
  </si>
  <si>
    <t>Biomass burning EF</t>
  </si>
  <si>
    <t>Biomass burning Cf</t>
  </si>
  <si>
    <t>Biomass burning Mb</t>
  </si>
  <si>
    <t>t/ha</t>
  </si>
  <si>
    <t>g gas/kg dm</t>
  </si>
  <si>
    <t>Maize area</t>
  </si>
  <si>
    <t>Crop production</t>
  </si>
  <si>
    <t>3C Aggregated and non-CO2 emissions on land</t>
  </si>
  <si>
    <t>Wheat area</t>
  </si>
  <si>
    <t>Sorghum consumption (total)</t>
  </si>
  <si>
    <t>Sorghum area</t>
  </si>
  <si>
    <t>Fertilisers and lime</t>
  </si>
  <si>
    <t xml:space="preserve"> - wheat</t>
  </si>
  <si>
    <t xml:space="preserve"> - sorghum</t>
  </si>
  <si>
    <t xml:space="preserve"> - total</t>
  </si>
  <si>
    <t>fraction</t>
  </si>
  <si>
    <t>Lime application EF</t>
  </si>
  <si>
    <t>t C/t lime</t>
  </si>
  <si>
    <t>CO2</t>
  </si>
  <si>
    <t>Lime emissions</t>
  </si>
  <si>
    <t>Gg CO2</t>
  </si>
  <si>
    <t>Lime consumption</t>
  </si>
  <si>
    <t>Inorganic N application</t>
  </si>
  <si>
    <t>Urea EF</t>
  </si>
  <si>
    <t>t C/t urea</t>
  </si>
  <si>
    <t>Urea emissions</t>
  </si>
  <si>
    <t>CtoCO2</t>
  </si>
  <si>
    <t>tonne to Gg</t>
  </si>
  <si>
    <t>Compost N</t>
  </si>
  <si>
    <t>FracMM</t>
  </si>
  <si>
    <t xml:space="preserve"> - Diary cattle</t>
  </si>
  <si>
    <t xml:space="preserve"> - commercial other cattle</t>
  </si>
  <si>
    <t xml:space="preserve"> - feedlot other cattle</t>
  </si>
  <si>
    <t xml:space="preserve"> - subsistence other cattle</t>
  </si>
  <si>
    <t xml:space="preserve"> - commercial sheep</t>
  </si>
  <si>
    <t xml:space="preserve"> - subsistence sheep</t>
  </si>
  <si>
    <t xml:space="preserve"> - commercial goats</t>
  </si>
  <si>
    <t xml:space="preserve"> - subsistence goats</t>
  </si>
  <si>
    <t xml:space="preserve"> - commercial swine</t>
  </si>
  <si>
    <t xml:space="preserve"> - subsistence swine</t>
  </si>
  <si>
    <t xml:space="preserve"> - broilers</t>
  </si>
  <si>
    <t xml:space="preserve"> - layers</t>
  </si>
  <si>
    <t>FracLoss</t>
  </si>
  <si>
    <t>N for bedding</t>
  </si>
  <si>
    <t>Manure N</t>
  </si>
  <si>
    <t>kg N</t>
  </si>
  <si>
    <t>N bedding</t>
  </si>
  <si>
    <t>MM N available</t>
  </si>
  <si>
    <t>Urine &amp; dung</t>
  </si>
  <si>
    <t>Synthetic N</t>
  </si>
  <si>
    <t>Organic N</t>
  </si>
  <si>
    <t>SOM N</t>
  </si>
  <si>
    <t>Urine and dung N (CPP)</t>
  </si>
  <si>
    <t>Urine and dung N (SO)</t>
  </si>
  <si>
    <t>kg N2O-N/kg N input</t>
  </si>
  <si>
    <t xml:space="preserve"> - EF</t>
  </si>
  <si>
    <t>tonne to kg</t>
  </si>
  <si>
    <t>Synthetic fertlisers</t>
  </si>
  <si>
    <t>Organic fertilisers</t>
  </si>
  <si>
    <t>MM emissions</t>
  </si>
  <si>
    <t>U&amp;D emissions</t>
  </si>
  <si>
    <t>FracGASF</t>
  </si>
  <si>
    <t>FracGASM</t>
  </si>
  <si>
    <t>FracLEACH</t>
  </si>
  <si>
    <t xml:space="preserve"> - synthetic N</t>
  </si>
  <si>
    <t xml:space="preserve"> - Organic N</t>
  </si>
  <si>
    <t xml:space="preserve"> - N application</t>
  </si>
  <si>
    <t xml:space="preserve"> - U&amp;D</t>
  </si>
  <si>
    <t xml:space="preserve"> - volatilisation EF</t>
  </si>
  <si>
    <t xml:space="preserve"> - leaching EF</t>
  </si>
  <si>
    <t>Indirect MS</t>
  </si>
  <si>
    <t>kg N2O-N/kg N volatilized</t>
  </si>
  <si>
    <t>kg N2O-N/kg N leached</t>
  </si>
  <si>
    <t xml:space="preserve"> - Synthetic fertlisers</t>
  </si>
  <si>
    <t xml:space="preserve"> - Organic fertilisers</t>
  </si>
  <si>
    <t xml:space="preserve"> - Managed manure</t>
  </si>
  <si>
    <t xml:space="preserve"> - Urine &amp; dung</t>
  </si>
  <si>
    <t xml:space="preserve"> - crop residues</t>
  </si>
  <si>
    <t>FracLEACHMM</t>
  </si>
  <si>
    <t xml:space="preserve"> - manure management</t>
  </si>
  <si>
    <t>Indirect MM</t>
  </si>
  <si>
    <t>FracGasMS</t>
  </si>
  <si>
    <t xml:space="preserve"> - maize</t>
  </si>
  <si>
    <t>Fraction of total N residue</t>
  </si>
  <si>
    <t>Crop residue</t>
  </si>
  <si>
    <t>Slope</t>
  </si>
  <si>
    <t>Intercept</t>
  </si>
  <si>
    <t>head</t>
  </si>
  <si>
    <t>TMR - Manure management - Lagoon</t>
  </si>
  <si>
    <t>TMR - Manure management - Liquid/slurry</t>
  </si>
  <si>
    <t>TMR - Manure management - Drylot</t>
  </si>
  <si>
    <t>TMR - Manure management - Solid storage</t>
  </si>
  <si>
    <t>TMR - Manure management - Dailyspread</t>
  </si>
  <si>
    <t>TMR - Manure management - Compost</t>
  </si>
  <si>
    <t>TMR - Manure management - Manure with bedding</t>
  </si>
  <si>
    <t>TMR - Manure management - Poultry manure without litter</t>
  </si>
  <si>
    <t>TMR - Manure management - Poultry manure with litter</t>
  </si>
  <si>
    <t>TMR - Manure management - Pasture, range and paddock</t>
  </si>
  <si>
    <t>Pasture - Manure management - Lagoon</t>
  </si>
  <si>
    <t>Pasture - Manure management - Liquid/slurry</t>
  </si>
  <si>
    <t>Pasture - Manure management - Drylot</t>
  </si>
  <si>
    <t>Pasture - Manure management - Solid storage</t>
  </si>
  <si>
    <t>Pasture - Manure management - Dailyspread</t>
  </si>
  <si>
    <t>Pasture - Manure management - Compost</t>
  </si>
  <si>
    <t>Pasture - Manure management - Manure with bedding</t>
  </si>
  <si>
    <t>Pasture - Manure management - Poultry manure without litter</t>
  </si>
  <si>
    <t>Pasture - Manure management - Poultry manure with litter</t>
  </si>
  <si>
    <t>Pasture - Manure management - Pasture, range and paddock</t>
  </si>
  <si>
    <t>Non-lactating - Manure management - Lagoon</t>
  </si>
  <si>
    <t>Non-lactating - Manure management - Liquid/slurry</t>
  </si>
  <si>
    <t>Non-lactating - Manure management - Drylot</t>
  </si>
  <si>
    <t>Non-lactating - Manure management - Solid storage</t>
  </si>
  <si>
    <t>Non-lactating - Manure management - Dailyspread</t>
  </si>
  <si>
    <t>Non-lactating - Manure management - Compost</t>
  </si>
  <si>
    <t>Non-lactating - Manure management - Manure with bedding</t>
  </si>
  <si>
    <t>Non-lactating - Manure management - Poultry manure without litter</t>
  </si>
  <si>
    <t>Non-lactating - Manure management - Poultry manure with litter</t>
  </si>
  <si>
    <t>Non-lactating - Manure management - Pasture, range and paddock</t>
  </si>
  <si>
    <t>Commercial cattle - Manure management - Lagoon</t>
  </si>
  <si>
    <t>Commercial cattle - Manure management - Liquid/slurry</t>
  </si>
  <si>
    <t>Commercial cattle - Manure management - Drylot</t>
  </si>
  <si>
    <t>Commercial cattle - Manure management - Solid storage</t>
  </si>
  <si>
    <t>Commercial cattle - Manure management - Dailyspread</t>
  </si>
  <si>
    <t>Commercial cattle - Manure management - Compost</t>
  </si>
  <si>
    <t>Commercial cattle - Manure management - Manure with bedding</t>
  </si>
  <si>
    <t>Commercial cattle - Manure management - Poultry manure without litter</t>
  </si>
  <si>
    <t>Commercial cattle - Manure management - Poultry manure with litter</t>
  </si>
  <si>
    <t>Commercial cattle - Manure management - Pasture, range and paddock</t>
  </si>
  <si>
    <t>Subsistence cattle - Manure management - Lagoon</t>
  </si>
  <si>
    <t>Subsistence cattle - Manure management - Liquid/slurry</t>
  </si>
  <si>
    <t>Subsistence cattle - Manure management - Drylot</t>
  </si>
  <si>
    <t>Subsistence cattle - Manure management - Solid storage</t>
  </si>
  <si>
    <t>Subsistence cattle - Manure management - Dailyspread</t>
  </si>
  <si>
    <t>Subsistence cattle - Manure management - Compost</t>
  </si>
  <si>
    <t>Subsistence cattle - Manure management - Manure with bedding</t>
  </si>
  <si>
    <t>Subsistence cattle - Manure management - Poultry manure without litter</t>
  </si>
  <si>
    <t>Subsistence cattle - Manure management - Poultry manure with litter</t>
  </si>
  <si>
    <t>Subsistence cattle - Manure management - Pasture, range and paddock</t>
  </si>
  <si>
    <t>Feedlot - Manure management - Lagoon</t>
  </si>
  <si>
    <t>Feedlot - Manure management - Liquid/slurry</t>
  </si>
  <si>
    <t>Feedlot - Manure management - Drylot</t>
  </si>
  <si>
    <t>Feedlot - Manure management - Solid storage</t>
  </si>
  <si>
    <t>Feedlot - Manure management - Dailyspread</t>
  </si>
  <si>
    <t>Feedlot - Manure management - Compost</t>
  </si>
  <si>
    <t>Feedlot - Manure management - Manure with bedding</t>
  </si>
  <si>
    <t>Feedlot - Manure management - Poultry manure without litter</t>
  </si>
  <si>
    <t>Feedlot - Manure management - Poultry manure with litter</t>
  </si>
  <si>
    <t>Feedlot - Manure management - Pasture, range and paddock</t>
  </si>
  <si>
    <t>Commercial sheep - Manure management - Lagoon</t>
  </si>
  <si>
    <t>Commercial sheep - Manure management - Liquid/slurry</t>
  </si>
  <si>
    <t>Commercial sheep - Manure management - Drylot</t>
  </si>
  <si>
    <t>Commercial sheep - Manure management - Solid storage</t>
  </si>
  <si>
    <t>Commercial sheep - Manure management - Dailyspread</t>
  </si>
  <si>
    <t>Commercial sheep - Manure management - Compost</t>
  </si>
  <si>
    <t>Commercial sheep - Manure management - Manure with bedding</t>
  </si>
  <si>
    <t>Commercial sheep - Manure management - Poultry manure without litter</t>
  </si>
  <si>
    <t>Commercial sheep - Manure management - Poultry manure with litter</t>
  </si>
  <si>
    <t>Commercial sheep - Manure management - Pasture, range and paddock</t>
  </si>
  <si>
    <t>Subsistence sheep - Manure management - Lagoon</t>
  </si>
  <si>
    <t>Subsistence sheep - Manure management - Liquid/slurry</t>
  </si>
  <si>
    <t>Subsistence sheep - Manure management - Drylot</t>
  </si>
  <si>
    <t>Subsistence sheep - Manure management - Solid storage</t>
  </si>
  <si>
    <t>Subsistence sheep - Manure management - Dailyspread</t>
  </si>
  <si>
    <t>Subsistence sheep - Manure management - Compost</t>
  </si>
  <si>
    <t>Subsistence sheep - Manure management - Manure with bedding</t>
  </si>
  <si>
    <t>Subsistence sheep - Manure management - Poultry manure without litter</t>
  </si>
  <si>
    <t>Subsistence sheep - Manure management - Poultry manure with litter</t>
  </si>
  <si>
    <t>Subsistence sheep - Manure management - Pasture, range and paddock</t>
  </si>
  <si>
    <t>Commercial goats - Manure management - Lagoon</t>
  </si>
  <si>
    <t>Commercial goats - Manure management - Liquid/slurry</t>
  </si>
  <si>
    <t>Commercial goats - Manure management - Drylot</t>
  </si>
  <si>
    <t>Commercial goats - Manure management - Solid storage</t>
  </si>
  <si>
    <t>Commercial goats - Manure management - Dailyspread</t>
  </si>
  <si>
    <t>Commercial goats - Manure management - Compost</t>
  </si>
  <si>
    <t>Commercial goats - Manure management - Manure with bedding</t>
  </si>
  <si>
    <t>Commercial goats - Manure management - Poultry manure without litter</t>
  </si>
  <si>
    <t>Commercial goats - Manure management - Poultry manure with litter</t>
  </si>
  <si>
    <t>Commercial goats - Manure management - Pasture, range and paddock</t>
  </si>
  <si>
    <t>Subsistence goats - Manure management - Lagoon</t>
  </si>
  <si>
    <t>Subsistence goats - Manure management - Liquid/slurry</t>
  </si>
  <si>
    <t>Subsistence goats - Manure management - Drylot</t>
  </si>
  <si>
    <t>Subsistence goats - Manure management - Solid storage</t>
  </si>
  <si>
    <t>Subsistence goats - Manure management - Dailyspread</t>
  </si>
  <si>
    <t>Subsistence goats - Manure management - Compost</t>
  </si>
  <si>
    <t>Subsistence goats - Manure management - Manure with bedding</t>
  </si>
  <si>
    <t>Subsistence goats - Manure management - Poultry manure without litter</t>
  </si>
  <si>
    <t>Subsistence goats - Manure management - Poultry manure with litter</t>
  </si>
  <si>
    <t>Subsistence goats - Manure management - Pasture, range and paddock</t>
  </si>
  <si>
    <t>Horses - Manure management - Lagoon</t>
  </si>
  <si>
    <t>Horses - Manure management - Liquid/slurry</t>
  </si>
  <si>
    <t>Horses - Manure management - Drylot</t>
  </si>
  <si>
    <t>Horses - Manure management - Solid storage</t>
  </si>
  <si>
    <t>Horses - Manure management - Dailyspread</t>
  </si>
  <si>
    <t>Horses - Manure management - Compost</t>
  </si>
  <si>
    <t>Horses - Manure management - Manure with bedding</t>
  </si>
  <si>
    <t>Horses - Manure management - Poultry manure without litter</t>
  </si>
  <si>
    <t>Horses - Manure management - Poultry manure with litter</t>
  </si>
  <si>
    <t>Horses - Manure management - Pasture, range and paddock</t>
  </si>
  <si>
    <t>Mules &amp; Asses - Manure management - Lagoon</t>
  </si>
  <si>
    <t>Mules &amp; Asses - Manure management - Liquid/slurry</t>
  </si>
  <si>
    <t>Mules &amp; Asses - Manure management - Drylot</t>
  </si>
  <si>
    <t>Mules &amp; Asses - Manure management - Solid storage</t>
  </si>
  <si>
    <t>Mules &amp; Asses - Manure management - Dailyspread</t>
  </si>
  <si>
    <t>Mules &amp; Asses - Manure management - Compost</t>
  </si>
  <si>
    <t>Mules &amp; Asses - Manure management - Manure with bedding</t>
  </si>
  <si>
    <t>Mules &amp; Asses - Manure management - Poultry manure without litter</t>
  </si>
  <si>
    <t>Mules &amp; Asses - Manure management - Poultry manure with litter</t>
  </si>
  <si>
    <t>Mules &amp; Asses - Manure management - Pasture, range and paddock</t>
  </si>
  <si>
    <t>Commercial swine - Manure management - Lagoon</t>
  </si>
  <si>
    <t>Commercial swine - Manure management - Liquid/slurry</t>
  </si>
  <si>
    <t>Commercial swine - Manure management - Drylot</t>
  </si>
  <si>
    <t>Commercial swine - Manure management - Solid storage</t>
  </si>
  <si>
    <t>Commercial swine - Manure management - Dailyspread</t>
  </si>
  <si>
    <t>Commercial swine - Manure management - Compost</t>
  </si>
  <si>
    <t>Commercial swine - Manure management - Manure with bedding</t>
  </si>
  <si>
    <t>Commercial swine - Manure management - Poultry manure without litter</t>
  </si>
  <si>
    <t>Commercial swine - Manure management - Poultry manure with litter</t>
  </si>
  <si>
    <t>Commercial swine - Manure management - Pasture, range and paddock</t>
  </si>
  <si>
    <t>Subsistence swine - Manure management - Lagoon</t>
  </si>
  <si>
    <t>Subsistence swine - Manure management - Liquid/slurry</t>
  </si>
  <si>
    <t>Subsistence swine - Manure management - Drylot</t>
  </si>
  <si>
    <t>Subsistence swine - Manure management - Solid storage</t>
  </si>
  <si>
    <t>Subsistence swine - Manure management - Dailyspread</t>
  </si>
  <si>
    <t>Subsistence swine - Manure management - Compost</t>
  </si>
  <si>
    <t>Subsistence swine - Manure management - Manure with bedding</t>
  </si>
  <si>
    <t>Subsistence swine - Manure management - Poultry manure without litter</t>
  </si>
  <si>
    <t>Subsistence swine - Manure management - Poultry manure with litter</t>
  </si>
  <si>
    <t>Subsistence swine - Manure management - Pasture, range and paddock</t>
  </si>
  <si>
    <t>Commercial layers - Manure management - Lagoon</t>
  </si>
  <si>
    <t>Commercial layers - Manure management - Liquid/slurry</t>
  </si>
  <si>
    <t>Commercial layers - Manure management - Drylot</t>
  </si>
  <si>
    <t>Commercial layers - Manure management - Solid storage</t>
  </si>
  <si>
    <t>Commercial layers - Manure management - Dailyspread</t>
  </si>
  <si>
    <t>Commercial layers - Manure management - Compost</t>
  </si>
  <si>
    <t>Commercial layers - Manure management - Manure with bedding</t>
  </si>
  <si>
    <t>Commercial layers - Manure management - Poultry manure without litter</t>
  </si>
  <si>
    <t>Commercial layers - Manure management - Poultry manure with litter</t>
  </si>
  <si>
    <t>Commercial layers - Manure management - Pasture, range and paddock</t>
  </si>
  <si>
    <t>Commercial broilers - Manure management - Lagoon</t>
  </si>
  <si>
    <t>Commercial broilers - Manure management - Liquid/slurry</t>
  </si>
  <si>
    <t>Commercial broilers - Manure management - Drylot</t>
  </si>
  <si>
    <t>Commercial broilers - Manure management - Solid storage</t>
  </si>
  <si>
    <t>Commercial broilers - Manure management - Dailyspread</t>
  </si>
  <si>
    <t>Commercial broilers - Manure management - Compost</t>
  </si>
  <si>
    <t>Commercial broilers - Manure management - Manure with bedding</t>
  </si>
  <si>
    <t>Commercial broilers - Manure management - Poultry manure without litter</t>
  </si>
  <si>
    <t>Commercial broilers - Manure management - Poultry manure with litter</t>
  </si>
  <si>
    <t>Commercial broilers - Manure management - Pasture, range and paddock</t>
  </si>
  <si>
    <t>Subsistence layers - Manure management - Lagoon</t>
  </si>
  <si>
    <t>Subsistence layers - Manure management - Liquid/slurry</t>
  </si>
  <si>
    <t>Subsistence layers - Manure management - Drylot</t>
  </si>
  <si>
    <t>Subsistence layers - Manure management - Solid storage</t>
  </si>
  <si>
    <t>Subsistence layers - Manure management - Dailyspread</t>
  </si>
  <si>
    <t>Subsistence layers - Manure management - Compost</t>
  </si>
  <si>
    <t>Subsistence layers - Manure management - Manure with bedding</t>
  </si>
  <si>
    <t>Subsistence layers - Manure management - Poultry manure without litter</t>
  </si>
  <si>
    <t>Subsistence layers - Manure management - Poultry manure with litter</t>
  </si>
  <si>
    <t>Subsistence layers - Manure management - Pasture, range and paddock</t>
  </si>
  <si>
    <t>Subsistence broilers - Manure management - Lagoon</t>
  </si>
  <si>
    <t>Subsistence broilers - Manure management - Liquid/slurry</t>
  </si>
  <si>
    <t>Subsistence broilers - Manure management - Drylot</t>
  </si>
  <si>
    <t>Subsistence broilers - Manure management - Solid storage</t>
  </si>
  <si>
    <t>Subsistence broilers - Manure management - Dailyspread</t>
  </si>
  <si>
    <t>Subsistence broilers - Manure management - Compost</t>
  </si>
  <si>
    <t>Subsistence broilers - Manure management - Manure with bedding</t>
  </si>
  <si>
    <t>Subsistence broilers - Manure management - Poultry manure without litter</t>
  </si>
  <si>
    <t>Subsistence broilers - Manure management - Poultry manure with litter</t>
  </si>
  <si>
    <t>Subsistence broilers - Manure management - Pasture, range and paddock</t>
  </si>
  <si>
    <t>Manure N and organic inputs</t>
  </si>
  <si>
    <t>Gg CO2e</t>
  </si>
  <si>
    <t>Enteric</t>
  </si>
  <si>
    <t>Manure CH4</t>
  </si>
  <si>
    <t>Manure N2O</t>
  </si>
  <si>
    <t>Biomass burning CH4</t>
  </si>
  <si>
    <t>Biomass burning N2O</t>
  </si>
  <si>
    <t>Urea</t>
  </si>
  <si>
    <t>Direct N2O</t>
  </si>
  <si>
    <t>Indirect N2O from MM</t>
  </si>
  <si>
    <t>Indirect N2O from MS</t>
  </si>
  <si>
    <t>FF</t>
  </si>
  <si>
    <t>OO</t>
  </si>
  <si>
    <t>Ft</t>
  </si>
  <si>
    <t>Fw</t>
  </si>
  <si>
    <t>Fp</t>
  </si>
  <si>
    <t>Cnp</t>
  </si>
  <si>
    <t>Cp</t>
  </si>
  <si>
    <t>Co</t>
  </si>
  <si>
    <t>Cv</t>
  </si>
  <si>
    <t>Cs</t>
  </si>
  <si>
    <t>GG</t>
  </si>
  <si>
    <t>Gs</t>
  </si>
  <si>
    <t>WW</t>
  </si>
  <si>
    <t>SS</t>
  </si>
  <si>
    <t>Sm</t>
  </si>
  <si>
    <t>Ob</t>
  </si>
  <si>
    <t>Mitigation levers</t>
  </si>
  <si>
    <t>3A2 Manure management (N2O)</t>
  </si>
  <si>
    <t>Agricultural emission projections - Baseline</t>
  </si>
  <si>
    <t>Compost N application</t>
  </si>
  <si>
    <t>Crop residue N application</t>
  </si>
  <si>
    <t>Crop residue N</t>
  </si>
  <si>
    <t>Conservation agriculture area</t>
  </si>
  <si>
    <t>kg/capita</t>
  </si>
  <si>
    <t>Lamb and chevon</t>
  </si>
  <si>
    <t>BFAP projections data</t>
  </si>
  <si>
    <t>Chicken production (BFAP)</t>
  </si>
  <si>
    <t>Chicken consumption (BFAP)</t>
  </si>
  <si>
    <t>Chicken production (model)</t>
  </si>
  <si>
    <t>Chicken consumption (model)</t>
  </si>
  <si>
    <t>Egg production (BFAP)</t>
  </si>
  <si>
    <t>Egg consumption (BFAP)</t>
  </si>
  <si>
    <t>Egg production (model)</t>
  </si>
  <si>
    <t>Egg consumption (model)</t>
  </si>
  <si>
    <t>Beef production (BFAP)</t>
  </si>
  <si>
    <t>Beef consumption (BFAP)</t>
  </si>
  <si>
    <t>Beef production (model)</t>
  </si>
  <si>
    <t>Beef consumption (model)</t>
  </si>
  <si>
    <t>Pork production (BFAP)</t>
  </si>
  <si>
    <t>Pork Domestic Use (BFAP)</t>
  </si>
  <si>
    <t>Pork production (model)</t>
  </si>
  <si>
    <t>Pork Domestic Use (model)</t>
  </si>
  <si>
    <t>Fluid milk production (BFAP)</t>
  </si>
  <si>
    <t>Fluid milk fresh utilization (BFAP)</t>
  </si>
  <si>
    <t>Fluid Milk factory utilization (BFAP)</t>
  </si>
  <si>
    <t>Milk production (model)</t>
  </si>
  <si>
    <t>Milk consumption (model)</t>
  </si>
  <si>
    <t>Sheep meat production (BFAP)</t>
  </si>
  <si>
    <t>Sheep meat domestic Use (BFAP)</t>
  </si>
  <si>
    <t>Sheep meat production (model)</t>
  </si>
  <si>
    <t>Sheep meat domestic Use (model)</t>
  </si>
  <si>
    <t>Name</t>
  </si>
  <si>
    <t>Agriculture model_v1.5</t>
  </si>
  <si>
    <t>File details</t>
  </si>
  <si>
    <t>Last modified by</t>
  </si>
  <si>
    <t>Date</t>
  </si>
  <si>
    <t>LS</t>
  </si>
  <si>
    <t>Worksheet details</t>
  </si>
  <si>
    <t>20-06-2020</t>
  </si>
  <si>
    <t>Aggregtaed EF</t>
  </si>
  <si>
    <t>Function</t>
  </si>
  <si>
    <t>This contains a list of the IPCC categrioes and the levels. These are referred to throughout the worksheet.</t>
  </si>
  <si>
    <t>Colour coding</t>
  </si>
  <si>
    <t>Calculation</t>
  </si>
  <si>
    <t>Linked</t>
  </si>
  <si>
    <t>Coefficient</t>
  </si>
  <si>
    <t>Linked to another spreadsheet</t>
  </si>
  <si>
    <t>Data that is input into the model. In this case it is the drivers and then the activity data for the inventory for 1990-2017.</t>
  </si>
  <si>
    <t>Assumption</t>
  </si>
  <si>
    <t>Agriculture model_v1.6</t>
  </si>
  <si>
    <t>Cleaned up the model and took out any unnecessary information</t>
  </si>
  <si>
    <t>Conservation agriculture involves mulching which is the incorporation of crop residues into the soil. If more crop residues are used there would be an increase in crop residue emissions, and a reduction in inorgonic fertiliser and other compost use.</t>
  </si>
  <si>
    <t>Mitigation action: Conservation agriculture</t>
  </si>
  <si>
    <t>Mitigation action: Biodigesters</t>
  </si>
  <si>
    <t>IPCC default</t>
  </si>
  <si>
    <t>Constants from inventory</t>
  </si>
  <si>
    <t>Comparison with 2017 inventory</t>
  </si>
  <si>
    <t>Value</t>
  </si>
  <si>
    <t>Forest remaining forest land</t>
  </si>
  <si>
    <t>ton C</t>
  </si>
  <si>
    <t>NO</t>
  </si>
  <si>
    <t>Wetland remaining wetland</t>
  </si>
  <si>
    <t>C:N ratio for forest land converted to cropland</t>
  </si>
  <si>
    <t>C:N ratio for grassland converted to cropland</t>
  </si>
  <si>
    <t>C:N ratio of cropland remaining cropland</t>
  </si>
  <si>
    <t>C:N ratio for other land use types and conversions</t>
  </si>
  <si>
    <t>Total agriculture (model)</t>
  </si>
  <si>
    <t>Total agricuture (inventory)</t>
  </si>
  <si>
    <t>Percentage difference</t>
  </si>
  <si>
    <t>There are spome difference with the inventory due to the use of aggregated emission factors, and also a correction was made to the FSOM indirect emission data which led to a slight increase in emissions.</t>
  </si>
  <si>
    <t>These are all the constant factors in the equations.</t>
  </si>
  <si>
    <t>Currently there are no mitigation actions included for the agriculture sector as there are no policy targets for this component (see further discussion in the Mitigation scenario worksheet).</t>
  </si>
  <si>
    <t>Emission factors required in the calculations.</t>
  </si>
  <si>
    <t>Factors are taken from inventory, but in many cases the inventory EF were aggregated (see Aggregated EF for calculations) to reduce complexity.</t>
  </si>
  <si>
    <t>This is where the inventory emission factors are along with data for calculating the weighted EF.</t>
  </si>
  <si>
    <t>Worksheet where emisions are calculated.</t>
  </si>
  <si>
    <t>Summary of emissions.</t>
  </si>
  <si>
    <t>21-06-2020</t>
  </si>
  <si>
    <t>Livestock emissions (modelled)</t>
  </si>
  <si>
    <t>Livestock emissions (2017 inventory)</t>
  </si>
  <si>
    <t>Aggregated non-CO2 emissions (modelled)</t>
  </si>
  <si>
    <t>Aggregated non-CO2 emissions (2017 inventory)</t>
  </si>
  <si>
    <t>Biomass burning CH4 (inventory)</t>
  </si>
  <si>
    <t>Biomass burning N2O (inventory)</t>
  </si>
  <si>
    <t>Liming (inventory)</t>
  </si>
  <si>
    <t>Urea (inventory)</t>
  </si>
  <si>
    <t>Direct N2O (inventory)</t>
  </si>
  <si>
    <t>Indirect N2O from MS (inventory)</t>
  </si>
  <si>
    <t>Indirect N2O from MM (inventory)</t>
  </si>
  <si>
    <t>Billion</t>
  </si>
  <si>
    <t>Population number from Faaiqa</t>
  </si>
  <si>
    <t>Maize consumption (human)</t>
  </si>
  <si>
    <t>Total animal population</t>
  </si>
  <si>
    <t>Sorghum consumption (human)</t>
  </si>
  <si>
    <t>1990-2017</t>
  </si>
  <si>
    <t>TMR - Manure management - Anaerobic digester</t>
  </si>
  <si>
    <t>Pasture - Manure management - Anaerobic biodigester</t>
  </si>
  <si>
    <t>Non-lactating - Manure management - Anaerobic biodigesters</t>
  </si>
  <si>
    <t>Subsistence cattle - Manure management - Anaerobic biodigesters</t>
  </si>
  <si>
    <t>Feedlot - Manure management - Anaerobic biodigesters</t>
  </si>
  <si>
    <t>Commercial sheep - Manure management - Anaerobic biodigesters</t>
  </si>
  <si>
    <t>Subsistence sheep - Manure management - Anaerobic biodigesters</t>
  </si>
  <si>
    <t>Commercial goats - Manure management - Anaerobic biodigesters</t>
  </si>
  <si>
    <t>Subsistence goats - Manure management - Anaerobic biodigesters</t>
  </si>
  <si>
    <t>Horses - Manure management - Anaerobic biodigesters</t>
  </si>
  <si>
    <t>Mules &amp; Asses - Manure management - Anaerobic biodigesters</t>
  </si>
  <si>
    <t>Commercial swine - Manure management - Anaerobic biodigesters</t>
  </si>
  <si>
    <t>Subsistence swine - Manure management - Anaerobic biodigesters</t>
  </si>
  <si>
    <t>Commercial layers - Manure management - Anaerobic biodigesters</t>
  </si>
  <si>
    <t>Commercial broilers - Manure management - Anaerobic biodigesters</t>
  </si>
  <si>
    <t>Subsistence layers - Manure management - Anaerobic biodigesters</t>
  </si>
  <si>
    <t>Subsistence broilers - Manure management - Anaerobic biodigesters</t>
  </si>
  <si>
    <t>Anaerobic biodigesters</t>
  </si>
  <si>
    <t>Commercial cattle - Manure management - Anaerobic digesters</t>
  </si>
  <si>
    <t>Dairy cattle manure management</t>
  </si>
  <si>
    <t>Other cattle manure management</t>
  </si>
  <si>
    <t>Sheep manure management</t>
  </si>
  <si>
    <t>Goat manure management</t>
  </si>
  <si>
    <t>Horse and mule manure management</t>
  </si>
  <si>
    <t>Swine manure management</t>
  </si>
  <si>
    <t>Poultry manure management</t>
  </si>
  <si>
    <t>Biodigester will driver manure away from other manure management practices and thereby reduce manure management emissions. Assumed that only manure from feedlots, commercial swine farms and poultry farms are likeley to be used for biodigesters due to the type of manure and the quantity.</t>
  </si>
  <si>
    <t>Most likely livestock for anaerobic biodigesters are highlighted in pink</t>
  </si>
  <si>
    <t>Check total adds to 100</t>
  </si>
  <si>
    <t xml:space="preserve">These are just intermediate calculation outputs where some output checks and verification can be done. </t>
  </si>
  <si>
    <t>These are the factors related to mitigation actions that would need to be inut into the model to obtain reducton estimates.</t>
  </si>
  <si>
    <t>Mitigation drivers</t>
  </si>
  <si>
    <t>Emissions</t>
  </si>
  <si>
    <t>Emission summary</t>
  </si>
  <si>
    <t>Land converted to forest</t>
  </si>
  <si>
    <t>Land converted to croplands</t>
  </si>
  <si>
    <t>Land converted to grasslands</t>
  </si>
  <si>
    <t>Land converted to wetlands</t>
  </si>
  <si>
    <t>Lands convertde to settlements</t>
  </si>
  <si>
    <t>Lands converted to other lands</t>
  </si>
  <si>
    <t>Land converted to wetland</t>
  </si>
  <si>
    <t>Land converted to other lands</t>
  </si>
  <si>
    <t>CO2toC</t>
  </si>
  <si>
    <t>Gg to tonne</t>
  </si>
  <si>
    <t>NOTE: There are currently no mitigation activities included for agriculture as there are no policies or targets. Have incorportaed digesters incase there is a need for a link with waste - perhaps there is a waste/energy target related to this? There is also very little data on the percentage of manure that is managed that is diverted to digesters.</t>
  </si>
  <si>
    <t>Agriculture model_v1.7</t>
  </si>
  <si>
    <t>27-06-2020</t>
  </si>
  <si>
    <t>Added in manure management under mitigation drivers; added all links to driver data to make it more active; combined calculated drivers with intermediate calculations.</t>
  </si>
  <si>
    <t>NOTES</t>
  </si>
  <si>
    <r>
      <t xml:space="preserve">Currently 1990-2027 data from inventory, then projections take over and are driven by the various drivers. </t>
    </r>
    <r>
      <rPr>
        <b/>
        <i/>
        <sz val="11"/>
        <color theme="1"/>
        <rFont val="Calibri"/>
        <family val="2"/>
        <scheme val="minor"/>
      </rPr>
      <t>NOTE: there are some links in this sheet to the Land model so need to check they are linked.</t>
    </r>
  </si>
  <si>
    <t>Agriculture model_v1.8</t>
  </si>
  <si>
    <t>29-06-2020</t>
  </si>
  <si>
    <t>Fixed problem with FSOM values.</t>
  </si>
  <si>
    <t>Growth from StatsSA</t>
  </si>
  <si>
    <t>Equations for calculations</t>
  </si>
  <si>
    <t>Wealth (GDP)</t>
  </si>
  <si>
    <t>GDP/capita</t>
  </si>
  <si>
    <t>GDP</t>
  </si>
  <si>
    <t>Corrected based on StatSA data</t>
  </si>
  <si>
    <t>Population (head)</t>
  </si>
  <si>
    <t xml:space="preserve">Sorghum area </t>
  </si>
  <si>
    <t>Inorganic N</t>
  </si>
  <si>
    <t>Population increase</t>
  </si>
  <si>
    <t>Increase</t>
  </si>
  <si>
    <t>Meat production</t>
  </si>
  <si>
    <t>Beef production increase</t>
  </si>
  <si>
    <t>2018-2030</t>
  </si>
  <si>
    <t>2030-2040</t>
  </si>
  <si>
    <t>2040-2050</t>
  </si>
  <si>
    <t>Milk production increase</t>
  </si>
  <si>
    <t>Lamb production increase</t>
  </si>
  <si>
    <t>Chevon production increase</t>
  </si>
  <si>
    <t>Pork production increase</t>
  </si>
  <si>
    <t>Egg production increase</t>
  </si>
  <si>
    <t>Chicken production increase</t>
  </si>
  <si>
    <t>BFAP 2019</t>
  </si>
  <si>
    <t>BFAP 2020</t>
  </si>
  <si>
    <t>BFAP 2021</t>
  </si>
  <si>
    <t>BFAP 2023</t>
  </si>
  <si>
    <t>BFAP 2024</t>
  </si>
  <si>
    <t>Assumed the same as lamb</t>
  </si>
  <si>
    <t>Assumed the same as eggs</t>
  </si>
  <si>
    <t>Feedlot growth</t>
  </si>
  <si>
    <t>Other commercial cattle population</t>
  </si>
  <si>
    <t>Head/ton</t>
  </si>
  <si>
    <t>head/t</t>
  </si>
  <si>
    <t>Beef production efficiency</t>
  </si>
  <si>
    <t>Head/t</t>
  </si>
  <si>
    <t>Lamb production efficiency</t>
  </si>
  <si>
    <t>Goat production efficiency</t>
  </si>
  <si>
    <t>Pork production efficiency</t>
  </si>
  <si>
    <t>Beef production efficiency change</t>
  </si>
  <si>
    <t>Lamb production efficiency change</t>
  </si>
  <si>
    <t>Goat production efficiency change</t>
  </si>
  <si>
    <t>Pork production efficiency change</t>
  </si>
  <si>
    <t>Agriculture model_v1.9</t>
  </si>
  <si>
    <t>09-07-2020</t>
  </si>
  <si>
    <t>Fixed problem with GDP jump between 2011 and 2012.</t>
  </si>
  <si>
    <t>Agriculture model_v1.10</t>
  </si>
  <si>
    <t>11-07-2020</t>
  </si>
  <si>
    <t>Agriculture model_v1.11</t>
  </si>
  <si>
    <t>Made adjustments to allow model to run from 2012 on the drivers, and added some levers in the Constants worksheet.</t>
  </si>
  <si>
    <t>Intermediate calculations</t>
  </si>
  <si>
    <t>These are the main drivers - GDP and population.</t>
  </si>
  <si>
    <t>Currently it has the population sent to LS by Faaiqa, and the GDP data was Faaiqu and prior to 2012 GDP data was adjusted and extrapolated using growth raes from StatsSA data.</t>
  </si>
  <si>
    <t>Relationships</t>
  </si>
  <si>
    <t>This is where the relationship for the calculations are determined. It also allows input data and activity data from te inventory to be incorporated, then the intermediate calculation file allows for the model to run on drivers from 2012.</t>
  </si>
  <si>
    <t>Activity data required for calculations. This is where livestock population data can be found.</t>
  </si>
  <si>
    <t>Tidied worksheets up and updated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</si>
</sst>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 #,##0.00_-;_-* &quot;-&quot;??_-;_-@_-"/>
    <numFmt numFmtId="164" formatCode="0.000"/>
    <numFmt numFmtId="165" formatCode="0_ ;\-0\ "/>
    <numFmt numFmtId="166" formatCode="0.0"/>
    <numFmt numFmtId="167" formatCode="0.0000"/>
    <numFmt numFmtId="168" formatCode="#,##0.000"/>
    <numFmt numFmtId="169" formatCode="0.0%"/>
  </numFmts>
  <fonts count="21" x14ac:knownFonts="1">
    <font>
      <sz val="11"/>
      <color theme="1"/>
      <name val="Calibri"/>
      <family val="2"/>
      <scheme val="minor"/>
    </font>
    <font>
      <sz val="11"/>
      <color theme="0"/>
      <name val="Calibri"/>
      <family val="2"/>
      <scheme val="minor"/>
    </font>
    <font>
      <sz val="10"/>
      <name val="Arial"/>
      <family val="2"/>
    </font>
    <font>
      <sz val="11"/>
      <name val="Calibri"/>
      <family val="2"/>
      <scheme val="minor"/>
    </font>
    <font>
      <b/>
      <sz val="11"/>
      <color theme="1"/>
      <name val="Calibri"/>
      <family val="2"/>
      <scheme val="minor"/>
    </font>
    <font>
      <sz val="10"/>
      <color theme="1"/>
      <name val="Arial"/>
      <family val="2"/>
    </font>
    <font>
      <b/>
      <sz val="14"/>
      <color theme="1"/>
      <name val="Calibri"/>
      <family val="2"/>
      <scheme val="minor"/>
    </font>
    <font>
      <b/>
      <i/>
      <sz val="11"/>
      <color theme="1"/>
      <name val="Calibri"/>
      <family val="2"/>
      <scheme val="minor"/>
    </font>
    <font>
      <b/>
      <sz val="12"/>
      <color theme="1"/>
      <name val="Calibri"/>
      <family val="2"/>
      <scheme val="minor"/>
    </font>
    <font>
      <b/>
      <sz val="13"/>
      <color theme="1"/>
      <name val="Calibri"/>
      <family val="2"/>
      <scheme val="minor"/>
    </font>
    <font>
      <i/>
      <sz val="11"/>
      <color theme="0" tint="-0.34998626667073579"/>
      <name val="Calibri"/>
      <family val="2"/>
      <scheme val="minor"/>
    </font>
    <font>
      <b/>
      <sz val="12"/>
      <color theme="0"/>
      <name val="Calibri"/>
      <family val="2"/>
      <scheme val="minor"/>
    </font>
    <font>
      <sz val="11"/>
      <color theme="1"/>
      <name val="Calibri"/>
      <family val="2"/>
      <scheme val="minor"/>
    </font>
    <font>
      <b/>
      <sz val="10"/>
      <name val="Arial"/>
      <family val="2"/>
    </font>
    <font>
      <b/>
      <sz val="10"/>
      <color rgb="FF0070C0"/>
      <name val="Arial"/>
      <family val="2"/>
    </font>
    <font>
      <sz val="10"/>
      <color rgb="FF0070C0"/>
      <name val="Arial"/>
      <family val="2"/>
    </font>
    <font>
      <b/>
      <sz val="12"/>
      <name val="Calibri"/>
      <family val="2"/>
      <scheme val="minor"/>
    </font>
    <font>
      <sz val="12"/>
      <color theme="1"/>
      <name val="Calibri"/>
      <family val="2"/>
      <scheme val="minor"/>
    </font>
    <font>
      <sz val="12"/>
      <name val="Calibri"/>
      <family val="2"/>
      <scheme val="minor"/>
    </font>
    <font>
      <b/>
      <i/>
      <sz val="10"/>
      <color theme="1"/>
      <name val="Calibri"/>
      <family val="2"/>
      <scheme val="minor"/>
    </font>
    <font>
      <i/>
      <sz val="11"/>
      <color rgb="FFFF0000"/>
      <name val="Calibri"/>
      <family val="2"/>
      <scheme val="minor"/>
    </font>
  </fonts>
  <fills count="29">
    <fill>
      <patternFill patternType="none"/>
    </fill>
    <fill>
      <patternFill patternType="gray125"/>
    </fill>
    <fill>
      <patternFill patternType="solid">
        <fgColor rgb="FFB482FF"/>
        <bgColor indexed="64"/>
      </patternFill>
    </fill>
    <fill>
      <patternFill patternType="solid">
        <fgColor rgb="FF32415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FFFF99"/>
        <bgColor indexed="64"/>
      </patternFill>
    </fill>
    <fill>
      <patternFill patternType="solid">
        <fgColor rgb="FFFFC5E2"/>
        <bgColor indexed="64"/>
      </patternFill>
    </fill>
    <fill>
      <patternFill patternType="solid">
        <fgColor rgb="FFCAEAB4"/>
        <bgColor indexed="64"/>
      </patternFill>
    </fill>
    <fill>
      <patternFill patternType="solid">
        <fgColor theme="0" tint="-0.249977111117893"/>
        <bgColor indexed="64"/>
      </patternFill>
    </fill>
    <fill>
      <patternFill patternType="solid">
        <fgColor rgb="FFCC6600"/>
        <bgColor indexed="64"/>
      </patternFill>
    </fill>
    <fill>
      <patternFill patternType="solid">
        <fgColor rgb="FFAADC9B"/>
        <bgColor indexed="64"/>
      </patternFill>
    </fill>
    <fill>
      <patternFill patternType="solid">
        <fgColor theme="0" tint="-0.14999847407452621"/>
        <bgColor indexed="64"/>
      </patternFill>
    </fill>
    <fill>
      <patternFill patternType="solid">
        <fgColor theme="9" tint="0.59996337778862885"/>
        <bgColor indexed="64"/>
      </patternFill>
    </fill>
    <fill>
      <patternFill patternType="solid">
        <fgColor theme="2" tint="0.79998168889431442"/>
        <bgColor indexed="64"/>
      </patternFill>
    </fill>
    <fill>
      <patternFill patternType="solid">
        <fgColor theme="8" tint="0.79998168889431442"/>
        <bgColor indexed="64"/>
      </patternFill>
    </fill>
    <fill>
      <patternFill patternType="solid">
        <fgColor rgb="FF0070C0"/>
        <bgColor indexed="64"/>
      </patternFill>
    </fill>
    <fill>
      <patternFill patternType="solid">
        <fgColor rgb="FFCCCCFF"/>
        <bgColor indexed="64"/>
      </patternFill>
    </fill>
    <fill>
      <patternFill patternType="solid">
        <fgColor rgb="FFFFFF00"/>
        <bgColor indexed="64"/>
      </patternFill>
    </fill>
    <fill>
      <patternFill patternType="solid">
        <fgColor theme="5"/>
        <bgColor indexed="64"/>
      </patternFill>
    </fill>
    <fill>
      <patternFill patternType="solid">
        <fgColor rgb="FF7030A0"/>
        <bgColor indexed="64"/>
      </patternFill>
    </fill>
    <fill>
      <patternFill patternType="solid">
        <fgColor theme="8"/>
        <bgColor indexed="64"/>
      </patternFill>
    </fill>
    <fill>
      <patternFill patternType="solid">
        <fgColor theme="2" tint="0.59999389629810485"/>
        <bgColor indexed="64"/>
      </patternFill>
    </fill>
    <fill>
      <patternFill patternType="solid">
        <fgColor rgb="FF92D050"/>
        <bgColor indexed="64"/>
      </patternFill>
    </fill>
    <fill>
      <patternFill patternType="solid">
        <fgColor rgb="FF009900"/>
        <bgColor indexed="64"/>
      </patternFill>
    </fill>
    <fill>
      <patternFill patternType="solid">
        <fgColor theme="0"/>
        <bgColor indexed="64"/>
      </patternFill>
    </fill>
    <fill>
      <patternFill patternType="solid">
        <fgColor rgb="FFFFCCFF"/>
        <bgColor indexed="64"/>
      </patternFill>
    </fill>
    <fill>
      <patternFill patternType="solid">
        <fgColor theme="0"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double">
        <color rgb="FF3F3F3F"/>
      </left>
      <right style="double">
        <color rgb="FF3F3F3F"/>
      </right>
      <top style="double">
        <color rgb="FF3F3F3F"/>
      </top>
      <bottom style="double">
        <color rgb="FF3F3F3F"/>
      </bottom>
      <diagonal/>
    </border>
  </borders>
  <cellStyleXfs count="15">
    <xf numFmtId="0" fontId="0" fillId="0" borderId="0"/>
    <xf numFmtId="0" fontId="2" fillId="0" borderId="0"/>
    <xf numFmtId="0" fontId="5" fillId="0" borderId="0"/>
    <xf numFmtId="0" fontId="1" fillId="2" borderId="0" applyAlignment="0" applyProtection="0"/>
    <xf numFmtId="0" fontId="3" fillId="9" borderId="0" applyNumberFormat="0" applyAlignment="0" applyProtection="0"/>
    <xf numFmtId="0" fontId="3" fillId="7" borderId="0" applyNumberFormat="0" applyAlignment="0" applyProtection="0"/>
    <xf numFmtId="0" fontId="3" fillId="8" borderId="6" applyNumberFormat="0" applyAlignment="0" applyProtection="0"/>
    <xf numFmtId="0" fontId="1" fillId="11" borderId="0" applyAlignment="0" applyProtection="0"/>
    <xf numFmtId="0" fontId="3" fillId="12" borderId="0" applyAlignment="0" applyProtection="0"/>
    <xf numFmtId="43" fontId="12" fillId="0" borderId="0" applyFont="0" applyFill="0" applyBorder="0" applyAlignment="0" applyProtection="0"/>
    <xf numFmtId="4" fontId="3" fillId="14" borderId="0"/>
    <xf numFmtId="0" fontId="3" fillId="15" borderId="0"/>
    <xf numFmtId="0" fontId="12" fillId="16" borderId="0"/>
    <xf numFmtId="0" fontId="12" fillId="18" borderId="0"/>
    <xf numFmtId="9" fontId="12" fillId="0" borderId="0" applyFont="0" applyFill="0" applyBorder="0" applyAlignment="0" applyProtection="0"/>
  </cellStyleXfs>
  <cellXfs count="106">
    <xf numFmtId="0" fontId="0" fillId="0" borderId="0" xfId="0"/>
    <xf numFmtId="0" fontId="6" fillId="0" borderId="0" xfId="0" applyFont="1"/>
    <xf numFmtId="0" fontId="8" fillId="5" borderId="1" xfId="0" applyFont="1" applyFill="1" applyBorder="1"/>
    <xf numFmtId="0" fontId="0" fillId="0" borderId="1" xfId="0" applyBorder="1"/>
    <xf numFmtId="0" fontId="0" fillId="0" borderId="1" xfId="0" applyBorder="1" applyAlignment="1">
      <alignment vertical="center"/>
    </xf>
    <xf numFmtId="0" fontId="10" fillId="0" borderId="1" xfId="0" applyFont="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8" fillId="5" borderId="5" xfId="0" applyFont="1" applyFill="1" applyBorder="1"/>
    <xf numFmtId="3" fontId="0" fillId="0" borderId="0" xfId="0" applyNumberFormat="1"/>
    <xf numFmtId="0" fontId="3" fillId="0" borderId="0" xfId="0" applyFont="1"/>
    <xf numFmtId="0" fontId="7" fillId="6" borderId="0" xfId="0" applyFont="1" applyFill="1"/>
    <xf numFmtId="0" fontId="0" fillId="0" borderId="0" xfId="0" applyAlignment="1">
      <alignment wrapText="1"/>
    </xf>
    <xf numFmtId="0" fontId="1" fillId="10" borderId="0" xfId="0" applyFont="1" applyFill="1"/>
    <xf numFmtId="0" fontId="1" fillId="10" borderId="0" xfId="0" applyFont="1" applyFill="1" applyAlignment="1">
      <alignment wrapText="1"/>
    </xf>
    <xf numFmtId="0" fontId="11" fillId="3" borderId="0" xfId="0" applyFont="1" applyFill="1"/>
    <xf numFmtId="0" fontId="11" fillId="3" borderId="0" xfId="0" applyFont="1" applyFill="1" applyAlignment="1">
      <alignment wrapText="1"/>
    </xf>
    <xf numFmtId="0" fontId="8" fillId="0" borderId="0" xfId="0" applyFont="1"/>
    <xf numFmtId="0" fontId="8" fillId="10" borderId="0" xfId="0" applyFont="1" applyFill="1"/>
    <xf numFmtId="0" fontId="3" fillId="9" borderId="0" xfId="4"/>
    <xf numFmtId="0" fontId="3" fillId="7" borderId="0" xfId="5"/>
    <xf numFmtId="0" fontId="0" fillId="0" borderId="0" xfId="0" applyFill="1"/>
    <xf numFmtId="3" fontId="3" fillId="7" borderId="0" xfId="5" applyNumberFormat="1"/>
    <xf numFmtId="2" fontId="3" fillId="9" borderId="0" xfId="4" applyNumberFormat="1"/>
    <xf numFmtId="164" fontId="3" fillId="7" borderId="0" xfId="5" applyNumberFormat="1"/>
    <xf numFmtId="0" fontId="1" fillId="11" borderId="0" xfId="7"/>
    <xf numFmtId="4" fontId="3" fillId="7" borderId="0" xfId="5" applyNumberFormat="1"/>
    <xf numFmtId="0" fontId="0" fillId="0" borderId="1" xfId="0" applyBorder="1" applyAlignment="1">
      <alignment vertical="center"/>
    </xf>
    <xf numFmtId="0" fontId="13" fillId="0" borderId="0" xfId="0" applyFont="1"/>
    <xf numFmtId="0" fontId="13" fillId="0" borderId="0" xfId="0" applyFont="1" applyFill="1"/>
    <xf numFmtId="0" fontId="2" fillId="0" borderId="0" xfId="0" applyFont="1" applyFill="1"/>
    <xf numFmtId="165" fontId="13" fillId="0" borderId="0" xfId="9" applyNumberFormat="1" applyFont="1" applyFill="1" applyProtection="1"/>
    <xf numFmtId="165" fontId="14" fillId="0" borderId="0" xfId="9" applyNumberFormat="1" applyFont="1" applyFill="1" applyProtection="1"/>
    <xf numFmtId="2" fontId="2" fillId="0" borderId="0" xfId="0" applyNumberFormat="1" applyFont="1" applyFill="1"/>
    <xf numFmtId="2" fontId="15" fillId="0" borderId="0" xfId="0" applyNumberFormat="1" applyFont="1" applyFill="1"/>
    <xf numFmtId="0" fontId="2" fillId="0" borderId="0" xfId="0" applyFont="1"/>
    <xf numFmtId="2" fontId="2" fillId="0" borderId="0" xfId="0" applyNumberFormat="1" applyFont="1"/>
    <xf numFmtId="2" fontId="15" fillId="0" borderId="0" xfId="0" applyNumberFormat="1" applyFont="1"/>
    <xf numFmtId="2" fontId="2" fillId="0" borderId="0" xfId="0" applyNumberFormat="1" applyFont="1" applyFill="1" applyAlignment="1">
      <alignment horizontal="right"/>
    </xf>
    <xf numFmtId="2" fontId="15" fillId="0" borderId="0" xfId="0" applyNumberFormat="1" applyFont="1" applyFill="1" applyAlignment="1">
      <alignment horizontal="right"/>
    </xf>
    <xf numFmtId="0" fontId="4" fillId="13" borderId="0" xfId="0" applyFont="1" applyFill="1"/>
    <xf numFmtId="3" fontId="3" fillId="9" borderId="0" xfId="4" applyNumberFormat="1"/>
    <xf numFmtId="4" fontId="3" fillId="9" borderId="0" xfId="4" applyNumberFormat="1"/>
    <xf numFmtId="0" fontId="3" fillId="15" borderId="0" xfId="11"/>
    <xf numFmtId="4" fontId="16" fillId="7" borderId="0" xfId="5" applyNumberFormat="1" applyFont="1"/>
    <xf numFmtId="0" fontId="17" fillId="0" borderId="0" xfId="0" applyFont="1"/>
    <xf numFmtId="4" fontId="18" fillId="7" borderId="0" xfId="5" applyNumberFormat="1" applyFont="1"/>
    <xf numFmtId="0" fontId="16" fillId="7" borderId="0" xfId="5" applyFont="1"/>
    <xf numFmtId="0" fontId="12" fillId="16" borderId="0" xfId="12"/>
    <xf numFmtId="0" fontId="8" fillId="13" borderId="0" xfId="0" applyFont="1" applyFill="1"/>
    <xf numFmtId="0" fontId="0" fillId="13" borderId="0" xfId="0" applyFill="1"/>
    <xf numFmtId="2" fontId="3" fillId="7" borderId="0" xfId="5" applyNumberFormat="1"/>
    <xf numFmtId="0" fontId="19" fillId="13" borderId="0" xfId="0" applyFont="1" applyFill="1"/>
    <xf numFmtId="0" fontId="1" fillId="17" borderId="0" xfId="0" applyFont="1" applyFill="1"/>
    <xf numFmtId="0" fontId="12" fillId="18" borderId="0" xfId="13"/>
    <xf numFmtId="10" fontId="0" fillId="0" borderId="0" xfId="0" applyNumberFormat="1"/>
    <xf numFmtId="0" fontId="0" fillId="19" borderId="1" xfId="0" applyFill="1" applyBorder="1" applyAlignment="1">
      <alignment vertical="center"/>
    </xf>
    <xf numFmtId="0" fontId="0" fillId="20" borderId="1" xfId="0" applyFill="1" applyBorder="1" applyAlignment="1">
      <alignment vertical="center"/>
    </xf>
    <xf numFmtId="0" fontId="0" fillId="0" borderId="1" xfId="0" applyBorder="1" applyAlignment="1">
      <alignment vertical="center" wrapText="1"/>
    </xf>
    <xf numFmtId="0" fontId="1" fillId="21" borderId="1" xfId="0" applyFont="1" applyFill="1" applyBorder="1" applyAlignment="1">
      <alignment vertical="center"/>
    </xf>
    <xf numFmtId="0" fontId="1" fillId="22" borderId="1" xfId="0" applyFont="1" applyFill="1" applyBorder="1" applyAlignment="1">
      <alignment vertical="center"/>
    </xf>
    <xf numFmtId="0" fontId="0" fillId="23" borderId="1" xfId="0" applyFill="1" applyBorder="1" applyAlignment="1">
      <alignment vertical="center"/>
    </xf>
    <xf numFmtId="0" fontId="0" fillId="24" borderId="1" xfId="0" applyFill="1" applyBorder="1" applyAlignment="1">
      <alignment vertical="center"/>
    </xf>
    <xf numFmtId="0" fontId="0" fillId="25" borderId="1" xfId="0" applyFill="1" applyBorder="1" applyAlignment="1">
      <alignment vertical="center"/>
    </xf>
    <xf numFmtId="0" fontId="3" fillId="9" borderId="1" xfId="4" applyBorder="1" applyAlignment="1">
      <alignment vertical="center"/>
    </xf>
    <xf numFmtId="0" fontId="3" fillId="7" borderId="1" xfId="5" applyBorder="1" applyAlignment="1">
      <alignment vertical="center"/>
    </xf>
    <xf numFmtId="0" fontId="3" fillId="15" borderId="1" xfId="11" applyBorder="1" applyAlignment="1">
      <alignment vertical="center"/>
    </xf>
    <xf numFmtId="0" fontId="0" fillId="16" borderId="1" xfId="12" applyFont="1" applyBorder="1"/>
    <xf numFmtId="0" fontId="1" fillId="11" borderId="1" xfId="7" applyBorder="1"/>
    <xf numFmtId="0" fontId="12" fillId="18" borderId="1" xfId="13" applyBorder="1"/>
    <xf numFmtId="166" fontId="3" fillId="9" borderId="0" xfId="4" applyNumberFormat="1"/>
    <xf numFmtId="0" fontId="3" fillId="0" borderId="0" xfId="5" applyFill="1"/>
    <xf numFmtId="2" fontId="3" fillId="0" borderId="0" xfId="5" applyNumberFormat="1" applyFill="1"/>
    <xf numFmtId="167" fontId="3" fillId="7" borderId="0" xfId="5" applyNumberFormat="1"/>
    <xf numFmtId="0" fontId="8" fillId="6" borderId="0" xfId="0" applyFont="1" applyFill="1"/>
    <xf numFmtId="0" fontId="19" fillId="6" borderId="0" xfId="0" applyFont="1" applyFill="1"/>
    <xf numFmtId="0" fontId="0" fillId="6" borderId="0" xfId="0" applyFill="1"/>
    <xf numFmtId="0" fontId="0" fillId="27" borderId="0" xfId="0" applyFill="1"/>
    <xf numFmtId="0" fontId="20" fillId="26" borderId="0" xfId="0" applyFont="1" applyFill="1"/>
    <xf numFmtId="2" fontId="20" fillId="26" borderId="0" xfId="4" applyNumberFormat="1" applyFont="1" applyFill="1"/>
    <xf numFmtId="3" fontId="3" fillId="0" borderId="0" xfId="4" applyNumberFormat="1" applyFill="1"/>
    <xf numFmtId="0" fontId="12" fillId="0" borderId="0" xfId="12" applyFill="1"/>
    <xf numFmtId="0" fontId="3" fillId="0" borderId="0" xfId="11" applyFill="1"/>
    <xf numFmtId="168" fontId="3" fillId="9" borderId="0" xfId="4" applyNumberFormat="1"/>
    <xf numFmtId="0" fontId="4" fillId="0" borderId="1" xfId="0" applyFont="1" applyBorder="1" applyAlignment="1">
      <alignment vertical="center" wrapText="1"/>
    </xf>
    <xf numFmtId="0" fontId="19" fillId="0" borderId="0" xfId="0" applyFont="1"/>
    <xf numFmtId="0" fontId="0" fillId="0" borderId="1" xfId="0" applyBorder="1" applyAlignment="1">
      <alignment horizontal="left" vertical="center" wrapText="1"/>
    </xf>
    <xf numFmtId="0" fontId="4" fillId="13" borderId="0" xfId="0" applyFont="1" applyFill="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8" fillId="10" borderId="0" xfId="0" applyFont="1" applyFill="1" applyAlignment="1">
      <alignment horizontal="center"/>
    </xf>
    <xf numFmtId="0" fontId="0" fillId="0" borderId="1" xfId="0" applyBorder="1" applyAlignment="1">
      <alignment horizontal="center" wrapText="1"/>
    </xf>
    <xf numFmtId="0" fontId="0" fillId="0" borderId="1" xfId="0" applyBorder="1" applyAlignment="1">
      <alignment vertical="center"/>
    </xf>
    <xf numFmtId="0" fontId="9" fillId="4" borderId="2" xfId="0" applyFont="1" applyFill="1" applyBorder="1" applyAlignment="1">
      <alignment horizontal="center"/>
    </xf>
    <xf numFmtId="0" fontId="9" fillId="4" borderId="3" xfId="0" applyFont="1" applyFill="1" applyBorder="1" applyAlignment="1">
      <alignment horizontal="center"/>
    </xf>
    <xf numFmtId="0" fontId="9" fillId="4" borderId="4" xfId="0" applyFont="1" applyFill="1" applyBorder="1" applyAlignment="1">
      <alignment horizontal="center"/>
    </xf>
    <xf numFmtId="169" fontId="0" fillId="0" borderId="0" xfId="14" applyNumberFormat="1" applyFont="1"/>
    <xf numFmtId="4" fontId="0" fillId="0" borderId="0" xfId="0" applyNumberFormat="1"/>
    <xf numFmtId="0" fontId="4" fillId="10" borderId="0" xfId="0" applyFont="1" applyFill="1"/>
    <xf numFmtId="3" fontId="1" fillId="10" borderId="0" xfId="0" applyNumberFormat="1" applyFont="1" applyFill="1"/>
    <xf numFmtId="0" fontId="3" fillId="28" borderId="1" xfId="0" applyFont="1" applyFill="1" applyBorder="1" applyAlignment="1">
      <alignment vertical="center"/>
    </xf>
    <xf numFmtId="0" fontId="0" fillId="0" borderId="2" xfId="0" applyBorder="1" applyAlignment="1">
      <alignment horizontal="center" vertical="center" wrapText="1"/>
    </xf>
    <xf numFmtId="0" fontId="0" fillId="0" borderId="4" xfId="0" applyBorder="1" applyAlignment="1">
      <alignment horizontal="center" vertical="center" wrapText="1"/>
    </xf>
  </cellXfs>
  <cellStyles count="15">
    <cellStyle name="Assumption" xfId="12"/>
    <cellStyle name="Calculation" xfId="5" builtinId="22" customBuiltin="1"/>
    <cellStyle name="Check Cell" xfId="6" builtinId="23" customBuiltin="1"/>
    <cellStyle name="Comma" xfId="9" builtinId="3"/>
    <cellStyle name="Conversion" xfId="3"/>
    <cellStyle name="Input" xfId="4" builtinId="20" customBuiltin="1"/>
    <cellStyle name="Interpolation" xfId="10"/>
    <cellStyle name="Inventory constants" xfId="13"/>
    <cellStyle name="IPCC" xfId="7"/>
    <cellStyle name="Linked" xfId="11"/>
    <cellStyle name="Normal" xfId="0" builtinId="0"/>
    <cellStyle name="Normal 2" xfId="2"/>
    <cellStyle name="Normal 3" xfId="1"/>
    <cellStyle name="Percent" xfId="14" builtinId="5"/>
    <cellStyle name="Spreadsheet" xfId="8"/>
  </cellStyles>
  <dxfs count="0"/>
  <tableStyles count="0" defaultTableStyle="TableStyleMedium2" defaultPivotStyle="PivotStyleLight16"/>
  <colors>
    <mruColors>
      <color rgb="FFFFCCFF"/>
      <color rgb="FF009900"/>
      <color rgb="FFCCCCFF"/>
      <color rgb="FFCC99FF"/>
      <color rgb="FFFFCC00"/>
      <color rgb="FFCAEAB4"/>
      <color rgb="FFFFC5E2"/>
      <color rgb="FFFFCCCC"/>
      <color rgb="FFFFFF99"/>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Relationships!$A$12:$B$12</c:f>
              <c:strCache>
                <c:ptCount val="2"/>
                <c:pt idx="0">
                  <c:v>Sorghum consumption (human)</c:v>
                </c:pt>
                <c:pt idx="1">
                  <c:v>t/capita</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1"/>
            <c:dispEq val="1"/>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Relationships!$H$4:$Y$4</c:f>
              <c:numCache>
                <c:formatCode>General</c:formatCode>
                <c:ptCount val="18"/>
                <c:pt idx="0">
                  <c:v>5.2948163441846437E-5</c:v>
                </c:pt>
                <c:pt idx="1">
                  <c:v>5.4120226264742331E-5</c:v>
                </c:pt>
                <c:pt idx="2">
                  <c:v>5.4563154889951003E-5</c:v>
                </c:pt>
                <c:pt idx="3">
                  <c:v>5.407115413256569E-5</c:v>
                </c:pt>
                <c:pt idx="4">
                  <c:v>5.4709124498710218E-5</c:v>
                </c:pt>
                <c:pt idx="5">
                  <c:v>5.6317183773695273E-5</c:v>
                </c:pt>
                <c:pt idx="6">
                  <c:v>5.7182861749752383E-5</c:v>
                </c:pt>
                <c:pt idx="7">
                  <c:v>5.8610560008391902E-5</c:v>
                </c:pt>
                <c:pt idx="8">
                  <c:v>5.9623833155985895E-5</c:v>
                </c:pt>
                <c:pt idx="9">
                  <c:v>6.1551379618170971E-5</c:v>
                </c:pt>
                <c:pt idx="10">
                  <c:v>6.4023871099704732E-5</c:v>
                </c:pt>
                <c:pt idx="11">
                  <c:v>6.6713599665870247E-5</c:v>
                </c:pt>
                <c:pt idx="12">
                  <c:v>6.9536134341478134E-5</c:v>
                </c:pt>
                <c:pt idx="13">
                  <c:v>7.1195809108201268E-5</c:v>
                </c:pt>
                <c:pt idx="14">
                  <c:v>6.9269528052744018E-5</c:v>
                </c:pt>
                <c:pt idx="15">
                  <c:v>7.0371238918398162E-5</c:v>
                </c:pt>
                <c:pt idx="16">
                  <c:v>7.1684227018852136E-5</c:v>
                </c:pt>
                <c:pt idx="17">
                  <c:v>7.2008674666107316E-5</c:v>
                </c:pt>
              </c:numCache>
            </c:numRef>
          </c:xVal>
          <c:yVal>
            <c:numRef>
              <c:f>Relationships!$H$12:$Y$12</c:f>
              <c:numCache>
                <c:formatCode>General</c:formatCode>
                <c:ptCount val="18"/>
                <c:pt idx="0">
                  <c:v>4.4164752579161221E-3</c:v>
                </c:pt>
                <c:pt idx="1">
                  <c:v>4.2849353203217606E-3</c:v>
                </c:pt>
                <c:pt idx="2">
                  <c:v>4.164004940882645E-3</c:v>
                </c:pt>
                <c:pt idx="3">
                  <c:v>4.0519881526276339E-3</c:v>
                </c:pt>
                <c:pt idx="4">
                  <c:v>3.9581814855756533E-3</c:v>
                </c:pt>
                <c:pt idx="5">
                  <c:v>3.8694433792356062E-3</c:v>
                </c:pt>
                <c:pt idx="6">
                  <c:v>4.0815185460911186E-3</c:v>
                </c:pt>
                <c:pt idx="7">
                  <c:v>4.1169283043219537E-3</c:v>
                </c:pt>
                <c:pt idx="8">
                  <c:v>3.7243791609769998E-3</c:v>
                </c:pt>
                <c:pt idx="9">
                  <c:v>3.5735725639283586E-3</c:v>
                </c:pt>
                <c:pt idx="10">
                  <c:v>3.7384660230142057E-3</c:v>
                </c:pt>
                <c:pt idx="11">
                  <c:v>3.9390004330631945E-3</c:v>
                </c:pt>
                <c:pt idx="12">
                  <c:v>3.7052299055457499E-3</c:v>
                </c:pt>
                <c:pt idx="13">
                  <c:v>3.7163914417652206E-3</c:v>
                </c:pt>
                <c:pt idx="14">
                  <c:v>3.5065467723514772E-3</c:v>
                </c:pt>
                <c:pt idx="15">
                  <c:v>3.5925596839359707E-3</c:v>
                </c:pt>
                <c:pt idx="16">
                  <c:v>3.499719214835302E-3</c:v>
                </c:pt>
                <c:pt idx="17">
                  <c:v>3.4507214050589559E-3</c:v>
                </c:pt>
              </c:numCache>
            </c:numRef>
          </c:yVal>
          <c:smooth val="0"/>
          <c:extLst>
            <c:ext xmlns:c16="http://schemas.microsoft.com/office/drawing/2014/chart" uri="{C3380CC4-5D6E-409C-BE32-E72D297353CC}">
              <c16:uniqueId val="{00000000-5046-4CE2-8B40-DF6BA6E69FB4}"/>
            </c:ext>
          </c:extLst>
        </c:ser>
        <c:dLbls>
          <c:showLegendKey val="0"/>
          <c:showVal val="0"/>
          <c:showCatName val="0"/>
          <c:showSerName val="0"/>
          <c:showPercent val="0"/>
          <c:showBubbleSize val="0"/>
        </c:dLbls>
        <c:axId val="231065808"/>
        <c:axId val="231064560"/>
      </c:scatterChart>
      <c:valAx>
        <c:axId val="2310658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064560"/>
        <c:crosses val="autoZero"/>
        <c:crossBetween val="midCat"/>
      </c:valAx>
      <c:valAx>
        <c:axId val="23106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0658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Relationships!$A$19:$B$19</c:f>
              <c:strCache>
                <c:ptCount val="2"/>
                <c:pt idx="0">
                  <c:v>Dairy cattle</c:v>
                </c:pt>
                <c:pt idx="1">
                  <c:v>Head</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7.3775153105861769E-3"/>
                  <c:y val="0.3106270049577136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Relationships!$C$18:$AD$18</c:f>
              <c:numCache>
                <c:formatCode>General</c:formatCode>
                <c:ptCount val="28"/>
                <c:pt idx="0">
                  <c:v>2119000</c:v>
                </c:pt>
                <c:pt idx="1">
                  <c:v>2163000</c:v>
                </c:pt>
                <c:pt idx="2">
                  <c:v>2107000</c:v>
                </c:pt>
                <c:pt idx="3">
                  <c:v>2002000</c:v>
                </c:pt>
                <c:pt idx="4">
                  <c:v>2006000</c:v>
                </c:pt>
                <c:pt idx="5">
                  <c:v>2297000</c:v>
                </c:pt>
                <c:pt idx="6">
                  <c:v>2450000</c:v>
                </c:pt>
                <c:pt idx="7">
                  <c:v>2437000</c:v>
                </c:pt>
                <c:pt idx="8">
                  <c:v>2501000</c:v>
                </c:pt>
                <c:pt idx="9">
                  <c:v>2543000</c:v>
                </c:pt>
                <c:pt idx="10">
                  <c:v>2370000</c:v>
                </c:pt>
                <c:pt idx="11">
                  <c:v>2358000</c:v>
                </c:pt>
                <c:pt idx="12">
                  <c:v>2457000</c:v>
                </c:pt>
                <c:pt idx="13">
                  <c:v>2354000</c:v>
                </c:pt>
                <c:pt idx="14">
                  <c:v>2505000</c:v>
                </c:pt>
                <c:pt idx="15">
                  <c:v>2657000</c:v>
                </c:pt>
                <c:pt idx="16">
                  <c:v>2513000</c:v>
                </c:pt>
                <c:pt idx="17">
                  <c:v>2559000</c:v>
                </c:pt>
                <c:pt idx="18">
                  <c:v>2625000</c:v>
                </c:pt>
                <c:pt idx="19">
                  <c:v>2587000</c:v>
                </c:pt>
                <c:pt idx="20">
                  <c:v>2711000</c:v>
                </c:pt>
                <c:pt idx="21">
                  <c:v>2720000</c:v>
                </c:pt>
                <c:pt idx="22">
                  <c:v>2843000</c:v>
                </c:pt>
                <c:pt idx="23">
                  <c:v>2906000</c:v>
                </c:pt>
                <c:pt idx="24">
                  <c:v>2983000</c:v>
                </c:pt>
                <c:pt idx="25">
                  <c:v>3173000</c:v>
                </c:pt>
                <c:pt idx="26">
                  <c:v>3158000</c:v>
                </c:pt>
                <c:pt idx="27">
                  <c:v>3097986.6</c:v>
                </c:pt>
              </c:numCache>
            </c:numRef>
          </c:xVal>
          <c:yVal>
            <c:numRef>
              <c:f>Relationships!$C$19:$AD$19</c:f>
              <c:numCache>
                <c:formatCode>General</c:formatCode>
                <c:ptCount val="28"/>
                <c:pt idx="0">
                  <c:v>887480</c:v>
                </c:pt>
                <c:pt idx="1">
                  <c:v>1021720.0000000001</c:v>
                </c:pt>
                <c:pt idx="2">
                  <c:v>883920</c:v>
                </c:pt>
                <c:pt idx="3">
                  <c:v>937480</c:v>
                </c:pt>
                <c:pt idx="4">
                  <c:v>869680</c:v>
                </c:pt>
                <c:pt idx="5">
                  <c:v>930360</c:v>
                </c:pt>
                <c:pt idx="6">
                  <c:v>933920</c:v>
                </c:pt>
                <c:pt idx="7">
                  <c:v>900360</c:v>
                </c:pt>
                <c:pt idx="8">
                  <c:v>889680.00000000012</c:v>
                </c:pt>
                <c:pt idx="9">
                  <c:v>873920</c:v>
                </c:pt>
                <c:pt idx="10">
                  <c:v>1125280</c:v>
                </c:pt>
                <c:pt idx="11">
                  <c:v>1121720</c:v>
                </c:pt>
                <c:pt idx="12">
                  <c:v>978160.00000000012</c:v>
                </c:pt>
                <c:pt idx="13">
                  <c:v>889680.00000000012</c:v>
                </c:pt>
                <c:pt idx="14">
                  <c:v>859000</c:v>
                </c:pt>
                <c:pt idx="15">
                  <c:v>919680</c:v>
                </c:pt>
                <c:pt idx="16">
                  <c:v>899680</c:v>
                </c:pt>
                <c:pt idx="17">
                  <c:v>893240.00000000012</c:v>
                </c:pt>
                <c:pt idx="18">
                  <c:v>1093920</c:v>
                </c:pt>
                <c:pt idx="19">
                  <c:v>1121040</c:v>
                </c:pt>
                <c:pt idx="20">
                  <c:v>1121040</c:v>
                </c:pt>
                <c:pt idx="21">
                  <c:v>1080360</c:v>
                </c:pt>
                <c:pt idx="22">
                  <c:v>1040360.0000000001</c:v>
                </c:pt>
                <c:pt idx="23">
                  <c:v>1121720</c:v>
                </c:pt>
                <c:pt idx="24">
                  <c:v>1060360.0000000002</c:v>
                </c:pt>
                <c:pt idx="25">
                  <c:v>1073240</c:v>
                </c:pt>
                <c:pt idx="26">
                  <c:v>1113240.0000000002</c:v>
                </c:pt>
                <c:pt idx="27">
                  <c:v>1197480.0000000002</c:v>
                </c:pt>
              </c:numCache>
            </c:numRef>
          </c:yVal>
          <c:smooth val="0"/>
          <c:extLst>
            <c:ext xmlns:c16="http://schemas.microsoft.com/office/drawing/2014/chart" uri="{C3380CC4-5D6E-409C-BE32-E72D297353CC}">
              <c16:uniqueId val="{00000000-671B-4E52-A589-D97BCA6BCA5A}"/>
            </c:ext>
          </c:extLst>
        </c:ser>
        <c:dLbls>
          <c:showLegendKey val="0"/>
          <c:showVal val="0"/>
          <c:showCatName val="0"/>
          <c:showSerName val="0"/>
          <c:showPercent val="0"/>
          <c:showBubbleSize val="0"/>
        </c:dLbls>
        <c:axId val="597695728"/>
        <c:axId val="597693232"/>
      </c:scatterChart>
      <c:valAx>
        <c:axId val="5976957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693232"/>
        <c:crosses val="autoZero"/>
        <c:crossBetween val="midCat"/>
      </c:valAx>
      <c:valAx>
        <c:axId val="59769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6957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Relationships!$A$16:$B$16</c:f>
              <c:strCache>
                <c:ptCount val="2"/>
                <c:pt idx="0">
                  <c:v>Other commercial cattle population</c:v>
                </c:pt>
                <c:pt idx="1">
                  <c:v>Head</c:v>
                </c:pt>
              </c:strCache>
            </c:strRef>
          </c:tx>
          <c:spPr>
            <a:ln w="19050" cap="rnd">
              <a:noFill/>
              <a:round/>
            </a:ln>
            <a:effectLst/>
          </c:spPr>
          <c:marker>
            <c:symbol val="circle"/>
            <c:size val="5"/>
            <c:spPr>
              <a:solidFill>
                <a:schemeClr val="accent1"/>
              </a:solidFill>
              <a:ln w="9525">
                <a:solidFill>
                  <a:schemeClr val="accent1"/>
                </a:solidFill>
              </a:ln>
              <a:effectLst/>
            </c:spPr>
          </c:marker>
          <c:xVal>
            <c:numRef>
              <c:f>Relationships!$C$14:$AD$14</c:f>
              <c:numCache>
                <c:formatCode>General</c:formatCode>
                <c:ptCount val="28"/>
                <c:pt idx="0">
                  <c:v>610300</c:v>
                </c:pt>
                <c:pt idx="1">
                  <c:v>664900</c:v>
                </c:pt>
                <c:pt idx="2">
                  <c:v>703500</c:v>
                </c:pt>
                <c:pt idx="3">
                  <c:v>694000</c:v>
                </c:pt>
                <c:pt idx="4">
                  <c:v>611200</c:v>
                </c:pt>
                <c:pt idx="5">
                  <c:v>507500</c:v>
                </c:pt>
                <c:pt idx="6">
                  <c:v>507000</c:v>
                </c:pt>
                <c:pt idx="7">
                  <c:v>502400</c:v>
                </c:pt>
                <c:pt idx="8">
                  <c:v>496300</c:v>
                </c:pt>
                <c:pt idx="9">
                  <c:v>511700</c:v>
                </c:pt>
                <c:pt idx="10">
                  <c:v>624600</c:v>
                </c:pt>
                <c:pt idx="11">
                  <c:v>524300</c:v>
                </c:pt>
                <c:pt idx="12">
                  <c:v>573400</c:v>
                </c:pt>
                <c:pt idx="13">
                  <c:v>609700</c:v>
                </c:pt>
                <c:pt idx="14">
                  <c:v>631700</c:v>
                </c:pt>
                <c:pt idx="15">
                  <c:v>672300</c:v>
                </c:pt>
                <c:pt idx="16">
                  <c:v>808100</c:v>
                </c:pt>
                <c:pt idx="17">
                  <c:v>861400</c:v>
                </c:pt>
                <c:pt idx="18">
                  <c:v>770200</c:v>
                </c:pt>
                <c:pt idx="19">
                  <c:v>796700</c:v>
                </c:pt>
                <c:pt idx="20">
                  <c:v>885800</c:v>
                </c:pt>
                <c:pt idx="21">
                  <c:v>869500</c:v>
                </c:pt>
                <c:pt idx="22">
                  <c:v>852100</c:v>
                </c:pt>
                <c:pt idx="23">
                  <c:v>904500</c:v>
                </c:pt>
                <c:pt idx="24">
                  <c:v>982600</c:v>
                </c:pt>
                <c:pt idx="25">
                  <c:v>1037900</c:v>
                </c:pt>
                <c:pt idx="26">
                  <c:v>1090900</c:v>
                </c:pt>
                <c:pt idx="27">
                  <c:v>1046300</c:v>
                </c:pt>
              </c:numCache>
            </c:numRef>
          </c:xVal>
          <c:yVal>
            <c:numRef>
              <c:f>Relationships!$C$16:$AD$16</c:f>
              <c:numCache>
                <c:formatCode>General</c:formatCode>
                <c:ptCount val="28"/>
                <c:pt idx="0">
                  <c:v>8077100</c:v>
                </c:pt>
                <c:pt idx="1">
                  <c:v>7782860</c:v>
                </c:pt>
                <c:pt idx="2">
                  <c:v>7780490</c:v>
                </c:pt>
                <c:pt idx="3">
                  <c:v>7360150</c:v>
                </c:pt>
                <c:pt idx="4">
                  <c:v>7544050</c:v>
                </c:pt>
                <c:pt idx="5">
                  <c:v>7686930</c:v>
                </c:pt>
                <c:pt idx="6">
                  <c:v>7953540</c:v>
                </c:pt>
                <c:pt idx="7">
                  <c:v>8207100</c:v>
                </c:pt>
                <c:pt idx="8">
                  <c:v>8267270</c:v>
                </c:pt>
                <c:pt idx="9">
                  <c:v>8153880</c:v>
                </c:pt>
                <c:pt idx="10">
                  <c:v>7685570</c:v>
                </c:pt>
                <c:pt idx="11">
                  <c:v>7718960</c:v>
                </c:pt>
                <c:pt idx="12">
                  <c:v>7279810</c:v>
                </c:pt>
                <c:pt idx="13">
                  <c:v>7437270</c:v>
                </c:pt>
                <c:pt idx="14">
                  <c:v>7494220</c:v>
                </c:pt>
                <c:pt idx="15">
                  <c:v>7547100</c:v>
                </c:pt>
                <c:pt idx="16">
                  <c:v>7403880</c:v>
                </c:pt>
                <c:pt idx="17">
                  <c:v>7583880</c:v>
                </c:pt>
                <c:pt idx="18">
                  <c:v>7321595.5</c:v>
                </c:pt>
                <c:pt idx="19">
                  <c:v>7247378.833333333</c:v>
                </c:pt>
                <c:pt idx="20">
                  <c:v>7225384.666666667</c:v>
                </c:pt>
                <c:pt idx="21">
                  <c:v>7389680.333333333</c:v>
                </c:pt>
                <c:pt idx="22">
                  <c:v>8558187.333333334</c:v>
                </c:pt>
                <c:pt idx="23">
                  <c:v>7404258</c:v>
                </c:pt>
                <c:pt idx="24">
                  <c:v>7594910</c:v>
                </c:pt>
                <c:pt idx="25">
                  <c:v>7511660</c:v>
                </c:pt>
                <c:pt idx="26">
                  <c:v>7315572</c:v>
                </c:pt>
                <c:pt idx="27">
                  <c:v>6995180</c:v>
                </c:pt>
              </c:numCache>
            </c:numRef>
          </c:yVal>
          <c:smooth val="0"/>
          <c:extLst>
            <c:ext xmlns:c16="http://schemas.microsoft.com/office/drawing/2014/chart" uri="{C3380CC4-5D6E-409C-BE32-E72D297353CC}">
              <c16:uniqueId val="{00000000-B62E-4158-8E1D-983B3E2156ED}"/>
            </c:ext>
          </c:extLst>
        </c:ser>
        <c:dLbls>
          <c:showLegendKey val="0"/>
          <c:showVal val="0"/>
          <c:showCatName val="0"/>
          <c:showSerName val="0"/>
          <c:showPercent val="0"/>
          <c:showBubbleSize val="0"/>
        </c:dLbls>
        <c:axId val="401442704"/>
        <c:axId val="401458928"/>
      </c:scatterChart>
      <c:valAx>
        <c:axId val="401442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458928"/>
        <c:crosses val="autoZero"/>
        <c:crossBetween val="midCat"/>
      </c:valAx>
      <c:valAx>
        <c:axId val="401458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4427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Relationships!$A$36:$B$36</c:f>
              <c:strCache>
                <c:ptCount val="2"/>
                <c:pt idx="0">
                  <c:v>Sorghum consumption (total)</c:v>
                </c:pt>
                <c:pt idx="1">
                  <c:v>t</c:v>
                </c:pt>
              </c:strCache>
            </c:strRef>
          </c:tx>
          <c:spPr>
            <a:ln w="19050" cap="rnd">
              <a:noFill/>
              <a:round/>
            </a:ln>
            <a:effectLst/>
          </c:spPr>
          <c:marker>
            <c:symbol val="circle"/>
            <c:size val="5"/>
            <c:spPr>
              <a:solidFill>
                <a:schemeClr val="accent1"/>
              </a:solidFill>
              <a:ln w="9525">
                <a:solidFill>
                  <a:schemeClr val="accent1"/>
                </a:solidFill>
              </a:ln>
              <a:effectLst/>
            </c:spPr>
          </c:marker>
          <c:xVal>
            <c:numRef>
              <c:f>Relationships!$M$35:$AD$35</c:f>
              <c:numCache>
                <c:formatCode>General</c:formatCode>
                <c:ptCount val="18"/>
                <c:pt idx="0">
                  <c:v>174000</c:v>
                </c:pt>
                <c:pt idx="1">
                  <c:v>186000</c:v>
                </c:pt>
                <c:pt idx="2">
                  <c:v>190000</c:v>
                </c:pt>
                <c:pt idx="3">
                  <c:v>174000</c:v>
                </c:pt>
                <c:pt idx="4">
                  <c:v>169000</c:v>
                </c:pt>
                <c:pt idx="5">
                  <c:v>179000</c:v>
                </c:pt>
                <c:pt idx="6">
                  <c:v>191000</c:v>
                </c:pt>
                <c:pt idx="7">
                  <c:v>182000</c:v>
                </c:pt>
                <c:pt idx="8">
                  <c:v>185000</c:v>
                </c:pt>
                <c:pt idx="9">
                  <c:v>177000</c:v>
                </c:pt>
                <c:pt idx="10">
                  <c:v>184000</c:v>
                </c:pt>
                <c:pt idx="11">
                  <c:v>182000</c:v>
                </c:pt>
                <c:pt idx="12">
                  <c:v>183000</c:v>
                </c:pt>
                <c:pt idx="13">
                  <c:v>159000</c:v>
                </c:pt>
                <c:pt idx="14">
                  <c:v>165000</c:v>
                </c:pt>
                <c:pt idx="15">
                  <c:v>153000</c:v>
                </c:pt>
                <c:pt idx="16">
                  <c:v>149000</c:v>
                </c:pt>
                <c:pt idx="17">
                  <c:v>161000</c:v>
                </c:pt>
              </c:numCache>
            </c:numRef>
          </c:xVal>
          <c:yVal>
            <c:numRef>
              <c:f>Relationships!$M$36:$AD$36</c:f>
              <c:numCache>
                <c:formatCode>General</c:formatCode>
                <c:ptCount val="18"/>
                <c:pt idx="0">
                  <c:v>210000</c:v>
                </c:pt>
                <c:pt idx="1">
                  <c:v>209000</c:v>
                </c:pt>
                <c:pt idx="2">
                  <c:v>206000</c:v>
                </c:pt>
                <c:pt idx="3">
                  <c:v>196000</c:v>
                </c:pt>
                <c:pt idx="4">
                  <c:v>179000</c:v>
                </c:pt>
                <c:pt idx="5">
                  <c:v>189000</c:v>
                </c:pt>
                <c:pt idx="6">
                  <c:v>203000</c:v>
                </c:pt>
                <c:pt idx="7">
                  <c:v>190000</c:v>
                </c:pt>
                <c:pt idx="8">
                  <c:v>196000</c:v>
                </c:pt>
                <c:pt idx="9">
                  <c:v>187000</c:v>
                </c:pt>
                <c:pt idx="10">
                  <c:v>192000</c:v>
                </c:pt>
                <c:pt idx="11">
                  <c:v>191000</c:v>
                </c:pt>
                <c:pt idx="12">
                  <c:v>190000</c:v>
                </c:pt>
                <c:pt idx="13">
                  <c:v>165000</c:v>
                </c:pt>
                <c:pt idx="14">
                  <c:v>170000</c:v>
                </c:pt>
                <c:pt idx="15">
                  <c:v>160000</c:v>
                </c:pt>
                <c:pt idx="16">
                  <c:v>159000</c:v>
                </c:pt>
                <c:pt idx="17">
                  <c:v>171000</c:v>
                </c:pt>
              </c:numCache>
            </c:numRef>
          </c:yVal>
          <c:smooth val="0"/>
          <c:extLst>
            <c:ext xmlns:c16="http://schemas.microsoft.com/office/drawing/2014/chart" uri="{C3380CC4-5D6E-409C-BE32-E72D297353CC}">
              <c16:uniqueId val="{00000000-0EBB-4416-BFFF-16F5F2EC6BE9}"/>
            </c:ext>
          </c:extLst>
        </c:ser>
        <c:dLbls>
          <c:showLegendKey val="0"/>
          <c:showVal val="0"/>
          <c:showCatName val="0"/>
          <c:showSerName val="0"/>
          <c:showPercent val="0"/>
          <c:showBubbleSize val="0"/>
        </c:dLbls>
        <c:axId val="597643728"/>
        <c:axId val="597635824"/>
      </c:scatterChart>
      <c:valAx>
        <c:axId val="5976437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635824"/>
        <c:crosses val="autoZero"/>
        <c:crossBetween val="midCat"/>
      </c:valAx>
      <c:valAx>
        <c:axId val="597635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6437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75" b="1" i="0" u="none" strike="noStrike" baseline="0">
                <a:solidFill>
                  <a:srgbClr val="000000"/>
                </a:solidFill>
                <a:latin typeface="Arial"/>
                <a:ea typeface="Arial"/>
                <a:cs typeface="Arial"/>
              </a:defRPr>
            </a:pPr>
            <a:r>
              <a:rPr lang="en-ZA"/>
              <a:t>Beef price outlook: Economy shock</a:t>
            </a:r>
          </a:p>
        </c:rich>
      </c:tx>
      <c:overlay val="0"/>
      <c:spPr>
        <a:noFill/>
        <a:ln w="25400">
          <a:noFill/>
        </a:ln>
      </c:spPr>
    </c:title>
    <c:autoTitleDeleted val="0"/>
    <c:plotArea>
      <c:layout/>
      <c:lineChart>
        <c:grouping val="standard"/>
        <c:varyColors val="0"/>
        <c:ser>
          <c:idx val="0"/>
          <c:order val="0"/>
          <c:spPr>
            <a:ln w="25400">
              <a:solidFill>
                <a:srgbClr val="FF0000"/>
              </a:solidFill>
              <a:prstDash val="solid"/>
            </a:ln>
          </c:spPr>
          <c:marker>
            <c:symbol val="diamond"/>
            <c:size val="7"/>
            <c:spPr>
              <a:solidFill>
                <a:srgbClr val="FF0000"/>
              </a:solidFill>
              <a:ln>
                <a:solidFill>
                  <a:srgbClr val="FF0000"/>
                </a:solidFill>
                <a:prstDash val="solid"/>
              </a:ln>
            </c:spPr>
          </c:marker>
          <c:val>
            <c:numRef>
              <c:f>Data!#REF!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Data!#REF!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Data!#REF!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2117-45CF-AAC5-4FAE3027B774}"/>
            </c:ext>
          </c:extLst>
        </c:ser>
        <c:ser>
          <c:idx val="1"/>
          <c:order val="1"/>
          <c:spPr>
            <a:ln w="25400">
              <a:solidFill>
                <a:srgbClr val="FF0000"/>
              </a:solidFill>
              <a:prstDash val="solid"/>
            </a:ln>
          </c:spPr>
          <c:marker>
            <c:symbol val="square"/>
            <c:size val="7"/>
            <c:spPr>
              <a:noFill/>
              <a:ln>
                <a:solidFill>
                  <a:srgbClr val="FF0000"/>
                </a:solidFill>
                <a:prstDash val="solid"/>
              </a:ln>
            </c:spPr>
          </c:marker>
          <c:val>
            <c:numRef>
              <c:f>Data!#REF!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Data!#REF!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Data!#REF!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2117-45CF-AAC5-4FAE3027B774}"/>
            </c:ext>
          </c:extLst>
        </c:ser>
        <c:dLbls>
          <c:showLegendKey val="0"/>
          <c:showVal val="0"/>
          <c:showCatName val="0"/>
          <c:showSerName val="0"/>
          <c:showPercent val="0"/>
          <c:showBubbleSize val="0"/>
        </c:dLbls>
        <c:marker val="1"/>
        <c:smooth val="0"/>
        <c:axId val="1910012864"/>
        <c:axId val="1909993280"/>
      </c:lineChart>
      <c:catAx>
        <c:axId val="191001286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en-US"/>
          </a:p>
        </c:txPr>
        <c:crossAx val="1909993280"/>
        <c:crosses val="autoZero"/>
        <c:auto val="1"/>
        <c:lblAlgn val="ctr"/>
        <c:lblOffset val="100"/>
        <c:tickLblSkip val="1"/>
        <c:tickMarkSkip val="1"/>
        <c:noMultiLvlLbl val="0"/>
      </c:catAx>
      <c:valAx>
        <c:axId val="1909993280"/>
        <c:scaling>
          <c:orientation val="minMax"/>
        </c:scaling>
        <c:delete val="0"/>
        <c:axPos val="l"/>
        <c:majorGridlines>
          <c:spPr>
            <a:ln w="3175">
              <a:solidFill>
                <a:srgbClr val="000000"/>
              </a:solidFill>
              <a:prstDash val="solid"/>
            </a:ln>
          </c:spPr>
        </c:majorGridlines>
        <c:title>
          <c:tx>
            <c:rich>
              <a:bodyPr/>
              <a:lstStyle/>
              <a:p>
                <a:pPr>
                  <a:defRPr sz="250" b="0" i="0" u="none" strike="noStrike" baseline="0">
                    <a:solidFill>
                      <a:srgbClr val="000000"/>
                    </a:solidFill>
                    <a:latin typeface="Arial"/>
                    <a:ea typeface="Arial"/>
                    <a:cs typeface="Arial"/>
                  </a:defRPr>
                </a:pPr>
                <a:r>
                  <a:rPr lang="en-ZA"/>
                  <a:t>c/kg</a:t>
                </a:r>
              </a:p>
            </c:rich>
          </c:tx>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en-US"/>
          </a:p>
        </c:txPr>
        <c:crossAx val="1910012864"/>
        <c:crosses val="autoZero"/>
        <c:crossBetween val="between"/>
        <c:majorUnit val="1000"/>
      </c:valAx>
      <c:spPr>
        <a:noFill/>
        <a:ln w="12700">
          <a:solidFill>
            <a:srgbClr val="808080"/>
          </a:solidFill>
          <a:prstDash val="solid"/>
        </a:ln>
      </c:spPr>
    </c:plotArea>
    <c:legend>
      <c:legendPos val="b"/>
      <c:overlay val="0"/>
      <c:spPr>
        <a:noFill/>
        <a:ln w="25400">
          <a:noFill/>
        </a:ln>
      </c:spPr>
      <c:txPr>
        <a:bodyPr/>
        <a:lstStyle/>
        <a:p>
          <a:pPr>
            <a:defRPr sz="23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25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50" b="1" i="0" u="none" strike="noStrike" baseline="0">
                <a:solidFill>
                  <a:srgbClr val="000000"/>
                </a:solidFill>
                <a:latin typeface="Arial"/>
                <a:ea typeface="Arial"/>
                <a:cs typeface="Arial"/>
              </a:defRPr>
            </a:pPr>
            <a:r>
              <a:rPr lang="en-ZA"/>
              <a:t>Beef:Maize price ratio outlook</a:t>
            </a:r>
          </a:p>
        </c:rich>
      </c:tx>
      <c:overlay val="0"/>
      <c:spPr>
        <a:noFill/>
        <a:ln w="25400">
          <a:noFill/>
        </a:ln>
      </c:spPr>
    </c:title>
    <c:autoTitleDeleted val="0"/>
    <c:plotArea>
      <c:layout/>
      <c:barChart>
        <c:barDir val="col"/>
        <c:grouping val="clustered"/>
        <c:varyColors val="0"/>
        <c:ser>
          <c:idx val="0"/>
          <c:order val="0"/>
          <c:spPr>
            <a:solidFill>
              <a:srgbClr val="0000FF"/>
            </a:solidFill>
            <a:ln w="12700">
              <a:solidFill>
                <a:srgbClr val="000000"/>
              </a:solidFill>
              <a:prstDash val="solid"/>
            </a:ln>
          </c:spPr>
          <c:invertIfNegative val="0"/>
          <c:val>
            <c:numRef>
              <c:f>Data!#REF!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Data!#REF!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Data!#REF!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B07A-430E-847B-882FB6A03E40}"/>
            </c:ext>
          </c:extLst>
        </c:ser>
        <c:ser>
          <c:idx val="1"/>
          <c:order val="1"/>
          <c:spPr>
            <a:solidFill>
              <a:srgbClr val="FF0000"/>
            </a:solidFill>
            <a:ln w="12700">
              <a:solidFill>
                <a:srgbClr val="000000"/>
              </a:solidFill>
              <a:prstDash val="solid"/>
            </a:ln>
          </c:spPr>
          <c:invertIfNegative val="0"/>
          <c:val>
            <c:numRef>
              <c:f>Data!#REF!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Data!#REF!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Data!#REF!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B07A-430E-847B-882FB6A03E40}"/>
            </c:ext>
          </c:extLst>
        </c:ser>
        <c:dLbls>
          <c:showLegendKey val="0"/>
          <c:showVal val="0"/>
          <c:showCatName val="0"/>
          <c:showSerName val="0"/>
          <c:showPercent val="0"/>
          <c:showBubbleSize val="0"/>
        </c:dLbls>
        <c:gapWidth val="150"/>
        <c:axId val="1909999808"/>
        <c:axId val="1910000896"/>
      </c:barChart>
      <c:catAx>
        <c:axId val="190999980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25" b="0" i="0" u="none" strike="noStrike" baseline="0">
                <a:solidFill>
                  <a:srgbClr val="000000"/>
                </a:solidFill>
                <a:latin typeface="Arial"/>
                <a:ea typeface="Arial"/>
                <a:cs typeface="Arial"/>
              </a:defRPr>
            </a:pPr>
            <a:endParaRPr lang="en-US"/>
          </a:p>
        </c:txPr>
        <c:crossAx val="1910000896"/>
        <c:crosses val="autoZero"/>
        <c:auto val="1"/>
        <c:lblAlgn val="ctr"/>
        <c:lblOffset val="100"/>
        <c:tickLblSkip val="1"/>
        <c:tickMarkSkip val="1"/>
        <c:noMultiLvlLbl val="0"/>
      </c:catAx>
      <c:valAx>
        <c:axId val="191000089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225" b="0" i="0" u="none" strike="noStrike" baseline="0">
                <a:solidFill>
                  <a:srgbClr val="000000"/>
                </a:solidFill>
                <a:latin typeface="Arial"/>
                <a:ea typeface="Arial"/>
                <a:cs typeface="Arial"/>
              </a:defRPr>
            </a:pPr>
            <a:endParaRPr lang="en-US"/>
          </a:p>
        </c:txPr>
        <c:crossAx val="1909999808"/>
        <c:crosses val="autoZero"/>
        <c:crossBetween val="between"/>
      </c:valAx>
      <c:spPr>
        <a:noFill/>
        <a:ln w="12700">
          <a:solidFill>
            <a:srgbClr val="808080"/>
          </a:solidFill>
          <a:prstDash val="solid"/>
        </a:ln>
      </c:spPr>
    </c:plotArea>
    <c:legend>
      <c:legendPos val="b"/>
      <c:overlay val="0"/>
      <c:spPr>
        <a:no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225"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339966"/>
            </a:solidFill>
            <a:ln w="12700">
              <a:solidFill>
                <a:srgbClr val="000000"/>
              </a:solidFill>
              <a:prstDash val="solid"/>
            </a:ln>
          </c:spPr>
          <c:invertIfNegative val="0"/>
          <c:trendline>
            <c:spPr>
              <a:ln w="25400">
                <a:solidFill>
                  <a:srgbClr val="FF0000"/>
                </a:solidFill>
                <a:prstDash val="sysDash"/>
              </a:ln>
            </c:spPr>
            <c:trendlineType val="linear"/>
            <c:dispRSqr val="0"/>
            <c:dispEq val="0"/>
          </c:trendline>
          <c:val>
            <c:numRef>
              <c:f>Data!#REF!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Data!#REF!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Data!#REF!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2001-47AC-96D9-508B160716E2}"/>
            </c:ext>
          </c:extLst>
        </c:ser>
        <c:ser>
          <c:idx val="1"/>
          <c:order val="1"/>
          <c:spPr>
            <a:solidFill>
              <a:srgbClr val="808080"/>
            </a:solidFill>
            <a:ln w="12700">
              <a:solidFill>
                <a:srgbClr val="000000"/>
              </a:solidFill>
              <a:prstDash val="solid"/>
            </a:ln>
          </c:spPr>
          <c:invertIfNegative val="0"/>
          <c:trendline>
            <c:spPr>
              <a:ln w="25400">
                <a:solidFill>
                  <a:srgbClr val="000000"/>
                </a:solidFill>
                <a:prstDash val="solid"/>
              </a:ln>
            </c:spPr>
            <c:trendlineType val="linear"/>
            <c:dispRSqr val="0"/>
            <c:dispEq val="0"/>
          </c:trendline>
          <c:val>
            <c:numRef>
              <c:f>Data!#REF!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Data!#REF!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Data!#REF!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2001-47AC-96D9-508B160716E2}"/>
            </c:ext>
          </c:extLst>
        </c:ser>
        <c:dLbls>
          <c:showLegendKey val="0"/>
          <c:showVal val="0"/>
          <c:showCatName val="0"/>
          <c:showSerName val="0"/>
          <c:showPercent val="0"/>
          <c:showBubbleSize val="0"/>
        </c:dLbls>
        <c:gapWidth val="150"/>
        <c:axId val="1910001440"/>
        <c:axId val="1910004160"/>
      </c:barChart>
      <c:catAx>
        <c:axId val="191000144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en-US"/>
          </a:p>
        </c:txPr>
        <c:crossAx val="1910004160"/>
        <c:crosses val="autoZero"/>
        <c:auto val="1"/>
        <c:lblAlgn val="ctr"/>
        <c:lblOffset val="100"/>
        <c:tickLblSkip val="2"/>
        <c:tickMarkSkip val="1"/>
        <c:noMultiLvlLbl val="0"/>
      </c:catAx>
      <c:valAx>
        <c:axId val="1910004160"/>
        <c:scaling>
          <c:orientation val="minMax"/>
        </c:scaling>
        <c:delete val="0"/>
        <c:axPos val="l"/>
        <c:majorGridlines>
          <c:spPr>
            <a:ln w="3175">
              <a:solidFill>
                <a:srgbClr val="000000"/>
              </a:solidFill>
              <a:prstDash val="solid"/>
            </a:ln>
          </c:spPr>
        </c:majorGridlines>
        <c:title>
          <c:tx>
            <c:rich>
              <a:bodyPr/>
              <a:lstStyle/>
              <a:p>
                <a:pPr>
                  <a:defRPr sz="275" b="0" i="0" u="none" strike="noStrike" baseline="0">
                    <a:solidFill>
                      <a:srgbClr val="000000"/>
                    </a:solidFill>
                    <a:latin typeface="Arial"/>
                    <a:ea typeface="Arial"/>
                    <a:cs typeface="Arial"/>
                  </a:defRPr>
                </a:pPr>
                <a:r>
                  <a:rPr lang="en-ZA"/>
                  <a:t>Thousand tons</a:t>
                </a:r>
              </a:p>
            </c:rich>
          </c:tx>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en-US"/>
          </a:p>
        </c:txPr>
        <c:crossAx val="1910001440"/>
        <c:crosses val="autoZero"/>
        <c:crossBetween val="between"/>
        <c:majorUnit val="200"/>
      </c:valAx>
      <c:spPr>
        <a:noFill/>
        <a:ln w="12700">
          <a:solidFill>
            <a:srgbClr val="808080"/>
          </a:solidFill>
          <a:prstDash val="solid"/>
        </a:ln>
      </c:spPr>
    </c:plotArea>
    <c:legend>
      <c:legendPos val="r"/>
      <c:legendEntry>
        <c:idx val="2"/>
        <c:delete val="1"/>
      </c:legendEntry>
      <c:legendEntry>
        <c:idx val="3"/>
        <c:delete val="1"/>
      </c:legendEntry>
      <c:overlay val="0"/>
      <c:spPr>
        <a:noFill/>
        <a:ln w="25400">
          <a:noFill/>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275"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FF0000"/>
              </a:solidFill>
              <a:prstDash val="solid"/>
            </a:ln>
          </c:spPr>
          <c:marker>
            <c:symbol val="diamond"/>
            <c:size val="9"/>
            <c:spPr>
              <a:solidFill>
                <a:srgbClr val="FF0000"/>
              </a:solidFill>
              <a:ln>
                <a:solidFill>
                  <a:srgbClr val="FF0000"/>
                </a:solidFill>
                <a:prstDash val="solid"/>
              </a:ln>
            </c:spPr>
          </c:marker>
          <c:val>
            <c:numRef>
              <c:f>Data!#REF!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Data!#REF!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Data!#REF!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0-176A-454D-9E8D-7C35430BA000}"/>
            </c:ext>
          </c:extLst>
        </c:ser>
        <c:ser>
          <c:idx val="1"/>
          <c:order val="1"/>
          <c:spPr>
            <a:ln w="38100">
              <a:solidFill>
                <a:srgbClr val="333333"/>
              </a:solidFill>
              <a:prstDash val="sysDash"/>
            </a:ln>
          </c:spPr>
          <c:marker>
            <c:symbol val="square"/>
            <c:size val="9"/>
            <c:spPr>
              <a:noFill/>
              <a:ln>
                <a:solidFill>
                  <a:srgbClr val="333333"/>
                </a:solidFill>
                <a:prstDash val="solid"/>
              </a:ln>
            </c:spPr>
          </c:marker>
          <c:val>
            <c:numRef>
              <c:f>Data!#REF!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Data!#REF!</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Data!#REF!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1-176A-454D-9E8D-7C35430BA000}"/>
            </c:ext>
          </c:extLst>
        </c:ser>
        <c:dLbls>
          <c:showLegendKey val="0"/>
          <c:showVal val="0"/>
          <c:showCatName val="0"/>
          <c:showSerName val="0"/>
          <c:showPercent val="0"/>
          <c:showBubbleSize val="0"/>
        </c:dLbls>
        <c:marker val="1"/>
        <c:smooth val="0"/>
        <c:axId val="1909986208"/>
        <c:axId val="1910006336"/>
      </c:lineChart>
      <c:catAx>
        <c:axId val="190998620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300" b="0" i="0" u="none" strike="noStrike" baseline="0">
                <a:solidFill>
                  <a:srgbClr val="000000"/>
                </a:solidFill>
                <a:latin typeface="Arial"/>
                <a:ea typeface="Arial"/>
                <a:cs typeface="Arial"/>
              </a:defRPr>
            </a:pPr>
            <a:endParaRPr lang="en-US"/>
          </a:p>
        </c:txPr>
        <c:crossAx val="1910006336"/>
        <c:crosses val="autoZero"/>
        <c:auto val="1"/>
        <c:lblAlgn val="ctr"/>
        <c:lblOffset val="100"/>
        <c:tickLblSkip val="2"/>
        <c:tickMarkSkip val="1"/>
        <c:noMultiLvlLbl val="0"/>
      </c:catAx>
      <c:valAx>
        <c:axId val="1910006336"/>
        <c:scaling>
          <c:orientation val="minMax"/>
        </c:scaling>
        <c:delete val="0"/>
        <c:axPos val="l"/>
        <c:majorGridlines>
          <c:spPr>
            <a:ln w="3175">
              <a:solidFill>
                <a:srgbClr val="000000"/>
              </a:solidFill>
              <a:prstDash val="solid"/>
            </a:ln>
          </c:spPr>
        </c:majorGridlines>
        <c:title>
          <c:tx>
            <c:rich>
              <a:bodyPr/>
              <a:lstStyle/>
              <a:p>
                <a:pPr>
                  <a:defRPr sz="300" b="0" i="0" u="none" strike="noStrike" baseline="0">
                    <a:solidFill>
                      <a:srgbClr val="000000"/>
                    </a:solidFill>
                    <a:latin typeface="Arial"/>
                    <a:ea typeface="Arial"/>
                    <a:cs typeface="Arial"/>
                  </a:defRPr>
                </a:pPr>
                <a:r>
                  <a:rPr lang="en-ZA"/>
                  <a:t>Thousand tons</a:t>
                </a:r>
              </a:p>
            </c:rich>
          </c:tx>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300" b="0" i="0" u="none" strike="noStrike" baseline="0">
                <a:solidFill>
                  <a:srgbClr val="000000"/>
                </a:solidFill>
                <a:latin typeface="Arial"/>
                <a:ea typeface="Arial"/>
                <a:cs typeface="Arial"/>
              </a:defRPr>
            </a:pPr>
            <a:endParaRPr lang="en-US"/>
          </a:p>
        </c:txPr>
        <c:crossAx val="1909986208"/>
        <c:crosses val="autoZero"/>
        <c:crossBetween val="between"/>
        <c:majorUnit val="200"/>
      </c:valAx>
      <c:spPr>
        <a:noFill/>
        <a:ln w="12700">
          <a:solidFill>
            <a:srgbClr val="808080"/>
          </a:solidFill>
          <a:prstDash val="solid"/>
        </a:ln>
      </c:spPr>
    </c:plotArea>
    <c:legend>
      <c:legendPos val="b"/>
      <c:overlay val="0"/>
      <c:spPr>
        <a:solidFill>
          <a:srgbClr val="FFFFFF"/>
        </a:solidFill>
        <a:ln w="25400">
          <a:noFill/>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275"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'BFAP verification'!$B$4</c:f>
              <c:strCache>
                <c:ptCount val="1"/>
                <c:pt idx="0">
                  <c:v>Chicken production (BFAP)</c:v>
                </c:pt>
              </c:strCache>
            </c:strRef>
          </c:tx>
          <c:spPr>
            <a:ln w="28575" cap="rnd">
              <a:solidFill>
                <a:schemeClr val="accent1"/>
              </a:solidFill>
              <a:round/>
            </a:ln>
            <a:effectLst/>
          </c:spPr>
          <c:marker>
            <c:symbol val="none"/>
          </c:marker>
          <c:cat>
            <c:numRef>
              <c:f>'BFAP verification'!$C$3:$BA$3</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verification'!$C$4:$BA$4</c:f>
              <c:numCache>
                <c:formatCode>0.00</c:formatCode>
                <c:ptCount val="51"/>
                <c:pt idx="0">
                  <c:v>993.09182234073091</c:v>
                </c:pt>
                <c:pt idx="1">
                  <c:v>993.09182234073091</c:v>
                </c:pt>
                <c:pt idx="2">
                  <c:v>993.09182234073091</c:v>
                </c:pt>
                <c:pt idx="3">
                  <c:v>1043.5184288423109</c:v>
                </c:pt>
                <c:pt idx="4">
                  <c:v>1063.935684388</c:v>
                </c:pt>
                <c:pt idx="5">
                  <c:v>1250.3949420410001</c:v>
                </c:pt>
                <c:pt idx="6">
                  <c:v>1361.4582773811801</c:v>
                </c:pt>
                <c:pt idx="7">
                  <c:v>1418.12680256985</c:v>
                </c:pt>
                <c:pt idx="8">
                  <c:v>1510.0595450369999</c:v>
                </c:pt>
                <c:pt idx="9">
                  <c:v>1467.5146597320002</c:v>
                </c:pt>
                <c:pt idx="10">
                  <c:v>1455.5368726329998</c:v>
                </c:pt>
                <c:pt idx="11">
                  <c:v>1511.75508982</c:v>
                </c:pt>
                <c:pt idx="12">
                  <c:v>1600</c:v>
                </c:pt>
                <c:pt idx="13">
                  <c:v>1550</c:v>
                </c:pt>
                <c:pt idx="14">
                  <c:v>1500</c:v>
                </c:pt>
                <c:pt idx="15">
                  <c:v>1604.9091918984675</c:v>
                </c:pt>
                <c:pt idx="16">
                  <c:v>1560</c:v>
                </c:pt>
                <c:pt idx="17">
                  <c:v>1530</c:v>
                </c:pt>
                <c:pt idx="18">
                  <c:v>1620</c:v>
                </c:pt>
                <c:pt idx="19">
                  <c:v>1680</c:v>
                </c:pt>
                <c:pt idx="20">
                  <c:v>1715</c:v>
                </c:pt>
                <c:pt idx="21">
                  <c:v>1780</c:v>
                </c:pt>
                <c:pt idx="22">
                  <c:v>1785</c:v>
                </c:pt>
                <c:pt idx="23">
                  <c:v>1790</c:v>
                </c:pt>
                <c:pt idx="24">
                  <c:v>1795</c:v>
                </c:pt>
                <c:pt idx="25">
                  <c:v>1800</c:v>
                </c:pt>
                <c:pt idx="26">
                  <c:v>1805</c:v>
                </c:pt>
                <c:pt idx="27">
                  <c:v>1810</c:v>
                </c:pt>
                <c:pt idx="28">
                  <c:v>1815</c:v>
                </c:pt>
              </c:numCache>
            </c:numRef>
          </c:val>
          <c:smooth val="0"/>
          <c:extLst>
            <c:ext xmlns:c16="http://schemas.microsoft.com/office/drawing/2014/chart" uri="{C3380CC4-5D6E-409C-BE32-E72D297353CC}">
              <c16:uniqueId val="{00000000-0961-441D-9E04-BF04E6707262}"/>
            </c:ext>
          </c:extLst>
        </c:ser>
        <c:ser>
          <c:idx val="1"/>
          <c:order val="1"/>
          <c:tx>
            <c:strRef>
              <c:f>'BFAP verification'!$B$5</c:f>
              <c:strCache>
                <c:ptCount val="1"/>
                <c:pt idx="0">
                  <c:v>Chicken consumption (BFAP)</c:v>
                </c:pt>
              </c:strCache>
            </c:strRef>
          </c:tx>
          <c:spPr>
            <a:ln w="28575" cap="rnd">
              <a:solidFill>
                <a:schemeClr val="accent2"/>
              </a:solidFill>
              <a:round/>
            </a:ln>
            <a:effectLst/>
          </c:spPr>
          <c:marker>
            <c:symbol val="none"/>
          </c:marker>
          <c:cat>
            <c:numRef>
              <c:f>'BFAP verification'!$C$3:$BA$3</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verification'!$C$5:$BA$5</c:f>
              <c:numCache>
                <c:formatCode>0.00</c:formatCode>
                <c:ptCount val="51"/>
                <c:pt idx="0">
                  <c:v>1079.3522583407307</c:v>
                </c:pt>
                <c:pt idx="1">
                  <c:v>1079.3522583407307</c:v>
                </c:pt>
                <c:pt idx="2">
                  <c:v>1079.3522583407307</c:v>
                </c:pt>
                <c:pt idx="3">
                  <c:v>1188.8597378423108</c:v>
                </c:pt>
                <c:pt idx="4">
                  <c:v>1206.674888388</c:v>
                </c:pt>
                <c:pt idx="5">
                  <c:v>1426.810047041</c:v>
                </c:pt>
                <c:pt idx="6">
                  <c:v>1614.02513538118</c:v>
                </c:pt>
                <c:pt idx="7">
                  <c:v>1649.1401165698499</c:v>
                </c:pt>
                <c:pt idx="8">
                  <c:v>1693.2698300369998</c:v>
                </c:pt>
                <c:pt idx="9">
                  <c:v>1660.260131732</c:v>
                </c:pt>
                <c:pt idx="10">
                  <c:v>1679.6840026329999</c:v>
                </c:pt>
                <c:pt idx="11">
                  <c:v>1828.6388368200001</c:v>
                </c:pt>
                <c:pt idx="12">
                  <c:v>1876.7825659999999</c:v>
                </c:pt>
                <c:pt idx="13">
                  <c:v>1848.129913</c:v>
                </c:pt>
                <c:pt idx="14">
                  <c:v>1879.0711650000001</c:v>
                </c:pt>
                <c:pt idx="15">
                  <c:v>1922.8356980734377</c:v>
                </c:pt>
                <c:pt idx="16">
                  <c:v>1990.456203544496</c:v>
                </c:pt>
                <c:pt idx="17">
                  <c:v>2057.8989690155481</c:v>
                </c:pt>
                <c:pt idx="18">
                  <c:v>2126.2640708919885</c:v>
                </c:pt>
                <c:pt idx="19">
                  <c:v>2198.3453171198826</c:v>
                </c:pt>
                <c:pt idx="20">
                  <c:v>2269.7994713342828</c:v>
                </c:pt>
                <c:pt idx="21">
                  <c:v>2342.1782343068635</c:v>
                </c:pt>
                <c:pt idx="22">
                  <c:v>2416.4818482639166</c:v>
                </c:pt>
                <c:pt idx="23">
                  <c:v>2491.5186816187529</c:v>
                </c:pt>
                <c:pt idx="24">
                  <c:v>2570.8561685926552</c:v>
                </c:pt>
              </c:numCache>
            </c:numRef>
          </c:val>
          <c:smooth val="0"/>
          <c:extLst>
            <c:ext xmlns:c16="http://schemas.microsoft.com/office/drawing/2014/chart" uri="{C3380CC4-5D6E-409C-BE32-E72D297353CC}">
              <c16:uniqueId val="{00000001-0961-441D-9E04-BF04E6707262}"/>
            </c:ext>
          </c:extLst>
        </c:ser>
        <c:ser>
          <c:idx val="2"/>
          <c:order val="2"/>
          <c:tx>
            <c:strRef>
              <c:f>'BFAP verification'!$B$6</c:f>
              <c:strCache>
                <c:ptCount val="1"/>
                <c:pt idx="0">
                  <c:v>Chicken production (model)</c:v>
                </c:pt>
              </c:strCache>
            </c:strRef>
          </c:tx>
          <c:spPr>
            <a:ln w="28575" cap="rnd">
              <a:solidFill>
                <a:schemeClr val="accent3"/>
              </a:solidFill>
              <a:round/>
            </a:ln>
            <a:effectLst/>
          </c:spPr>
          <c:marker>
            <c:symbol val="none"/>
          </c:marker>
          <c:cat>
            <c:numRef>
              <c:f>'BFAP verification'!$C$3:$BA$3</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verification'!$C$6:$BA$6</c:f>
              <c:numCache>
                <c:formatCode>0.00</c:formatCode>
                <c:ptCount val="51"/>
                <c:pt idx="0">
                  <c:v>850</c:v>
                </c:pt>
                <c:pt idx="1">
                  <c:v>869</c:v>
                </c:pt>
                <c:pt idx="2">
                  <c:v>896</c:v>
                </c:pt>
                <c:pt idx="3">
                  <c:v>925</c:v>
                </c:pt>
                <c:pt idx="4">
                  <c:v>1043</c:v>
                </c:pt>
                <c:pt idx="5">
                  <c:v>1273</c:v>
                </c:pt>
                <c:pt idx="6">
                  <c:v>1427</c:v>
                </c:pt>
                <c:pt idx="7">
                  <c:v>1499</c:v>
                </c:pt>
                <c:pt idx="8">
                  <c:v>1584</c:v>
                </c:pt>
                <c:pt idx="9">
                  <c:v>1644</c:v>
                </c:pt>
                <c:pt idx="10">
                  <c:v>1681</c:v>
                </c:pt>
                <c:pt idx="11">
                  <c:v>1721</c:v>
                </c:pt>
                <c:pt idx="12">
                  <c:v>1628.6780553378208</c:v>
                </c:pt>
                <c:pt idx="13">
                  <c:v>1678.3248590545104</c:v>
                </c:pt>
                <c:pt idx="14">
                  <c:v>1714.7171587069884</c:v>
                </c:pt>
                <c:pt idx="15">
                  <c:v>1737.2740543246709</c:v>
                </c:pt>
                <c:pt idx="16">
                  <c:v>1748.0513927410739</c:v>
                </c:pt>
                <c:pt idx="17">
                  <c:v>1768.4254142805678</c:v>
                </c:pt>
                <c:pt idx="18">
                  <c:v>1784.9050259202493</c:v>
                </c:pt>
                <c:pt idx="19">
                  <c:v>1797.7341124736831</c:v>
                </c:pt>
                <c:pt idx="20">
                  <c:v>1598.5722639483629</c:v>
                </c:pt>
                <c:pt idx="21">
                  <c:v>1643.9026238190993</c:v>
                </c:pt>
                <c:pt idx="22">
                  <c:v>1686.6507763931813</c:v>
                </c:pt>
                <c:pt idx="23">
                  <c:v>1729.5672078233713</c:v>
                </c:pt>
                <c:pt idx="24">
                  <c:v>1770.3206894204993</c:v>
                </c:pt>
                <c:pt idx="25">
                  <c:v>1812.9363365024315</c:v>
                </c:pt>
                <c:pt idx="26">
                  <c:v>1864.0986566128863</c:v>
                </c:pt>
                <c:pt idx="27">
                  <c:v>1914.2627297531926</c:v>
                </c:pt>
                <c:pt idx="28">
                  <c:v>1966.7794254355399</c:v>
                </c:pt>
                <c:pt idx="29">
                  <c:v>2020.8628932576214</c:v>
                </c:pt>
                <c:pt idx="30">
                  <c:v>2076.6405928996141</c:v>
                </c:pt>
                <c:pt idx="31">
                  <c:v>2144.7691497221749</c:v>
                </c:pt>
                <c:pt idx="32">
                  <c:v>2208.5410337069288</c:v>
                </c:pt>
                <c:pt idx="33">
                  <c:v>2279.2545506636184</c:v>
                </c:pt>
                <c:pt idx="34">
                  <c:v>2354.2832548867809</c:v>
                </c:pt>
                <c:pt idx="35">
                  <c:v>2433.6657859493789</c:v>
                </c:pt>
                <c:pt idx="36">
                  <c:v>2514.069993734709</c:v>
                </c:pt>
                <c:pt idx="37">
                  <c:v>2596.8624644199026</c:v>
                </c:pt>
                <c:pt idx="38">
                  <c:v>2679.7022589590902</c:v>
                </c:pt>
                <c:pt idx="39">
                  <c:v>2764.7839949653021</c:v>
                </c:pt>
                <c:pt idx="40">
                  <c:v>2853.8745304594113</c:v>
                </c:pt>
                <c:pt idx="41">
                  <c:v>2944.8740124280048</c:v>
                </c:pt>
                <c:pt idx="42">
                  <c:v>3038.4458348098951</c:v>
                </c:pt>
                <c:pt idx="43">
                  <c:v>3134.2223391083144</c:v>
                </c:pt>
                <c:pt idx="44">
                  <c:v>3232.5970203855145</c:v>
                </c:pt>
                <c:pt idx="45">
                  <c:v>3335.4397837624624</c:v>
                </c:pt>
                <c:pt idx="46">
                  <c:v>3441.5619460398652</c:v>
                </c:pt>
                <c:pt idx="47">
                  <c:v>3550.7833293513108</c:v>
                </c:pt>
                <c:pt idx="48">
                  <c:v>3659.3047987401224</c:v>
                </c:pt>
                <c:pt idx="49">
                  <c:v>3771.101186573349</c:v>
                </c:pt>
                <c:pt idx="50">
                  <c:v>3886.3566066312178</c:v>
                </c:pt>
              </c:numCache>
            </c:numRef>
          </c:val>
          <c:smooth val="0"/>
          <c:extLst>
            <c:ext xmlns:c16="http://schemas.microsoft.com/office/drawing/2014/chart" uri="{C3380CC4-5D6E-409C-BE32-E72D297353CC}">
              <c16:uniqueId val="{00000002-0961-441D-9E04-BF04E6707262}"/>
            </c:ext>
          </c:extLst>
        </c:ser>
        <c:ser>
          <c:idx val="3"/>
          <c:order val="3"/>
          <c:tx>
            <c:strRef>
              <c:f>'BFAP verification'!$B$7</c:f>
              <c:strCache>
                <c:ptCount val="1"/>
                <c:pt idx="0">
                  <c:v>Chicken consumption (model)</c:v>
                </c:pt>
              </c:strCache>
            </c:strRef>
          </c:tx>
          <c:spPr>
            <a:ln w="28575" cap="rnd">
              <a:solidFill>
                <a:schemeClr val="accent4"/>
              </a:solidFill>
              <a:round/>
            </a:ln>
            <a:effectLst/>
          </c:spPr>
          <c:marker>
            <c:symbol val="none"/>
          </c:marker>
          <c:cat>
            <c:numRef>
              <c:f>'BFAP verification'!$C$3:$BA$3</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verification'!$C$7:$BA$7</c:f>
              <c:numCache>
                <c:formatCode>0.00</c:formatCode>
                <c:ptCount val="51"/>
                <c:pt idx="0">
                  <c:v>927</c:v>
                </c:pt>
                <c:pt idx="1">
                  <c:v>938</c:v>
                </c:pt>
                <c:pt idx="2">
                  <c:v>965</c:v>
                </c:pt>
                <c:pt idx="3">
                  <c:v>1032</c:v>
                </c:pt>
                <c:pt idx="4">
                  <c:v>1196</c:v>
                </c:pt>
                <c:pt idx="5">
                  <c:v>1455</c:v>
                </c:pt>
                <c:pt idx="6">
                  <c:v>1664</c:v>
                </c:pt>
                <c:pt idx="7">
                  <c:v>1767</c:v>
                </c:pt>
                <c:pt idx="8">
                  <c:v>1813</c:v>
                </c:pt>
                <c:pt idx="9">
                  <c:v>1841</c:v>
                </c:pt>
                <c:pt idx="10">
                  <c:v>1887</c:v>
                </c:pt>
                <c:pt idx="11">
                  <c:v>1987</c:v>
                </c:pt>
                <c:pt idx="12">
                  <c:v>1954.5908543665721</c:v>
                </c:pt>
                <c:pt idx="13">
                  <c:v>2022.1586913608492</c:v>
                </c:pt>
                <c:pt idx="14">
                  <c:v>2071.6875388733206</c:v>
                </c:pt>
                <c:pt idx="15">
                  <c:v>2102.3868091604854</c:v>
                </c:pt>
                <c:pt idx="16">
                  <c:v>2117.0544491863607</c:v>
                </c:pt>
                <c:pt idx="17">
                  <c:v>2144.7828921724217</c:v>
                </c:pt>
                <c:pt idx="18">
                  <c:v>2167.2111580352789</c:v>
                </c:pt>
                <c:pt idx="19">
                  <c:v>2184.6711668200232</c:v>
                </c:pt>
                <c:pt idx="20">
                  <c:v>1913.6177593654377</c:v>
                </c:pt>
                <c:pt idx="21">
                  <c:v>1975.3110434712219</c:v>
                </c:pt>
                <c:pt idx="22">
                  <c:v>2033.4900195320931</c:v>
                </c:pt>
                <c:pt idx="23">
                  <c:v>2091.898018157719</c:v>
                </c:pt>
                <c:pt idx="24">
                  <c:v>2147.3623057927825</c:v>
                </c:pt>
                <c:pt idx="25">
                  <c:v>2205.3609457831681</c:v>
                </c:pt>
                <c:pt idx="26">
                  <c:v>2274.9913559340257</c:v>
                </c:pt>
                <c:pt idx="27">
                  <c:v>2343.2631813722815</c:v>
                </c:pt>
                <c:pt idx="28">
                  <c:v>2414.7368567692338</c:v>
                </c:pt>
                <c:pt idx="29">
                  <c:v>2488.3428628827592</c:v>
                </c:pt>
                <c:pt idx="30">
                  <c:v>2564.2546685819234</c:v>
                </c:pt>
                <c:pt idx="31">
                  <c:v>2656.975626980593</c:v>
                </c:pt>
                <c:pt idx="32">
                  <c:v>2743.7672820182215</c:v>
                </c:pt>
                <c:pt idx="33">
                  <c:v>2840.0062949924941</c:v>
                </c:pt>
                <c:pt idx="34">
                  <c:v>2942.1181506876119</c:v>
                </c:pt>
                <c:pt idx="35">
                  <c:v>3050.1554364238459</c:v>
                </c:pt>
                <c:pt idx="36">
                  <c:v>3159.5831940755806</c:v>
                </c:pt>
                <c:pt idx="37">
                  <c:v>3272.2613071628502</c:v>
                </c:pt>
                <c:pt idx="38">
                  <c:v>3385.0038266209876</c:v>
                </c:pt>
                <c:pt idx="39">
                  <c:v>3500.7975623559887</c:v>
                </c:pt>
                <c:pt idx="40">
                  <c:v>3622.0471560730393</c:v>
                </c:pt>
                <c:pt idx="41">
                  <c:v>3745.8947696939454</c:v>
                </c:pt>
                <c:pt idx="42">
                  <c:v>3873.2432628222477</c:v>
                </c:pt>
                <c:pt idx="43">
                  <c:v>4003.5922630770569</c:v>
                </c:pt>
                <c:pt idx="44">
                  <c:v>4137.4773056435997</c:v>
                </c:pt>
                <c:pt idx="45">
                  <c:v>4277.4432762939641</c:v>
                </c:pt>
                <c:pt idx="46">
                  <c:v>4421.8724122189687</c:v>
                </c:pt>
                <c:pt idx="47">
                  <c:v>4570.5194966514409</c:v>
                </c:pt>
                <c:pt idx="48">
                  <c:v>4718.2140188584699</c:v>
                </c:pt>
                <c:pt idx="49">
                  <c:v>4870.3656085714865</c:v>
                </c:pt>
                <c:pt idx="50">
                  <c:v>5027.2248392203892</c:v>
                </c:pt>
              </c:numCache>
            </c:numRef>
          </c:val>
          <c:smooth val="0"/>
          <c:extLst>
            <c:ext xmlns:c16="http://schemas.microsoft.com/office/drawing/2014/chart" uri="{C3380CC4-5D6E-409C-BE32-E72D297353CC}">
              <c16:uniqueId val="{00000003-0961-441D-9E04-BF04E6707262}"/>
            </c:ext>
          </c:extLst>
        </c:ser>
        <c:dLbls>
          <c:showLegendKey val="0"/>
          <c:showVal val="0"/>
          <c:showCatName val="0"/>
          <c:showSerName val="0"/>
          <c:showPercent val="0"/>
          <c:showBubbleSize val="0"/>
        </c:dLbls>
        <c:smooth val="0"/>
        <c:axId val="1913240207"/>
        <c:axId val="1913233551"/>
      </c:lineChart>
      <c:catAx>
        <c:axId val="1913240207"/>
        <c:scaling>
          <c:orientation val="minMax"/>
        </c:scaling>
        <c:delete val="0"/>
        <c:axPos val="b"/>
        <c:numFmt formatCode="0_ ;\-0\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233551"/>
        <c:crosses val="autoZero"/>
        <c:auto val="1"/>
        <c:lblAlgn val="ctr"/>
        <c:lblOffset val="100"/>
        <c:noMultiLvlLbl val="0"/>
      </c:catAx>
      <c:valAx>
        <c:axId val="19132335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240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'BFAP verification'!$B$10</c:f>
              <c:strCache>
                <c:ptCount val="1"/>
                <c:pt idx="0">
                  <c:v>Egg production (BFAP)</c:v>
                </c:pt>
              </c:strCache>
            </c:strRef>
          </c:tx>
          <c:spPr>
            <a:ln w="28575" cap="rnd">
              <a:solidFill>
                <a:schemeClr val="accent1"/>
              </a:solidFill>
              <a:round/>
            </a:ln>
            <a:effectLst/>
          </c:spPr>
          <c:marker>
            <c:symbol val="none"/>
          </c:marker>
          <c:cat>
            <c:numRef>
              <c:f>'BFAP verification'!$C$9:$BA$9</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verification'!$C$10:$BA$10</c:f>
              <c:numCache>
                <c:formatCode>0.00</c:formatCode>
                <c:ptCount val="51"/>
                <c:pt idx="0">
                  <c:v>325.34589665653499</c:v>
                </c:pt>
                <c:pt idx="1">
                  <c:v>325.34589665653499</c:v>
                </c:pt>
                <c:pt idx="2">
                  <c:v>325.34589665653499</c:v>
                </c:pt>
                <c:pt idx="3">
                  <c:v>318.8389787234043</c:v>
                </c:pt>
                <c:pt idx="4">
                  <c:v>318.8389787234043</c:v>
                </c:pt>
                <c:pt idx="5">
                  <c:v>325.21575829787241</c:v>
                </c:pt>
                <c:pt idx="6">
                  <c:v>328.46791588085114</c:v>
                </c:pt>
                <c:pt idx="7">
                  <c:v>363.86063999999999</c:v>
                </c:pt>
                <c:pt idx="8">
                  <c:v>368.28791999999999</c:v>
                </c:pt>
                <c:pt idx="9">
                  <c:v>373.60199999999998</c:v>
                </c:pt>
                <c:pt idx="10">
                  <c:v>386.43599999999998</c:v>
                </c:pt>
                <c:pt idx="11">
                  <c:v>404.49</c:v>
                </c:pt>
                <c:pt idx="12">
                  <c:v>450.04</c:v>
                </c:pt>
                <c:pt idx="13">
                  <c:v>439.4</c:v>
                </c:pt>
                <c:pt idx="14">
                  <c:v>421.88</c:v>
                </c:pt>
                <c:pt idx="15">
                  <c:v>433.92676812049251</c:v>
                </c:pt>
                <c:pt idx="16">
                  <c:v>435</c:v>
                </c:pt>
                <c:pt idx="17">
                  <c:v>400</c:v>
                </c:pt>
                <c:pt idx="18">
                  <c:v>410</c:v>
                </c:pt>
                <c:pt idx="19">
                  <c:v>415</c:v>
                </c:pt>
                <c:pt idx="20">
                  <c:v>424</c:v>
                </c:pt>
                <c:pt idx="21">
                  <c:v>440</c:v>
                </c:pt>
                <c:pt idx="22">
                  <c:v>450</c:v>
                </c:pt>
                <c:pt idx="23">
                  <c:v>458</c:v>
                </c:pt>
                <c:pt idx="24">
                  <c:v>460</c:v>
                </c:pt>
                <c:pt idx="25">
                  <c:v>470</c:v>
                </c:pt>
                <c:pt idx="26">
                  <c:v>480</c:v>
                </c:pt>
                <c:pt idx="27">
                  <c:v>490</c:v>
                </c:pt>
                <c:pt idx="28">
                  <c:v>500</c:v>
                </c:pt>
              </c:numCache>
            </c:numRef>
          </c:val>
          <c:smooth val="0"/>
          <c:extLst>
            <c:ext xmlns:c16="http://schemas.microsoft.com/office/drawing/2014/chart" uri="{C3380CC4-5D6E-409C-BE32-E72D297353CC}">
              <c16:uniqueId val="{00000000-76CF-4086-B27B-5C61DEAA5E1D}"/>
            </c:ext>
          </c:extLst>
        </c:ser>
        <c:ser>
          <c:idx val="1"/>
          <c:order val="1"/>
          <c:tx>
            <c:strRef>
              <c:f>'BFAP verification'!$B$11</c:f>
              <c:strCache>
                <c:ptCount val="1"/>
                <c:pt idx="0">
                  <c:v>Egg consumption (BFAP)</c:v>
                </c:pt>
              </c:strCache>
            </c:strRef>
          </c:tx>
          <c:spPr>
            <a:ln w="28575" cap="rnd">
              <a:solidFill>
                <a:schemeClr val="accent2"/>
              </a:solidFill>
              <a:round/>
            </a:ln>
            <a:effectLst/>
          </c:spPr>
          <c:marker>
            <c:symbol val="none"/>
          </c:marker>
          <c:cat>
            <c:numRef>
              <c:f>'BFAP verification'!$C$9:$BA$9</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verification'!$C$11:$BA$11</c:f>
              <c:numCache>
                <c:formatCode>0.00</c:formatCode>
                <c:ptCount val="51"/>
                <c:pt idx="0">
                  <c:v>321.91089665653499</c:v>
                </c:pt>
                <c:pt idx="1">
                  <c:v>321.91089665653499</c:v>
                </c:pt>
                <c:pt idx="2">
                  <c:v>321.91089665653499</c:v>
                </c:pt>
                <c:pt idx="3">
                  <c:v>316.1402608231254</c:v>
                </c:pt>
                <c:pt idx="4">
                  <c:v>317.8939787234043</c:v>
                </c:pt>
                <c:pt idx="5">
                  <c:v>324.27075829787242</c:v>
                </c:pt>
                <c:pt idx="6">
                  <c:v>328.91791588085113</c:v>
                </c:pt>
                <c:pt idx="7">
                  <c:v>364.32063999999997</c:v>
                </c:pt>
                <c:pt idx="8">
                  <c:v>367.77791999999999</c:v>
                </c:pt>
                <c:pt idx="9">
                  <c:v>371.36519499999997</c:v>
                </c:pt>
                <c:pt idx="10">
                  <c:v>382.88327899999996</c:v>
                </c:pt>
                <c:pt idx="11">
                  <c:v>401.97165999999999</c:v>
                </c:pt>
                <c:pt idx="12">
                  <c:v>445.23</c:v>
                </c:pt>
                <c:pt idx="13">
                  <c:v>435.75099999999998</c:v>
                </c:pt>
                <c:pt idx="14">
                  <c:v>416.88200000000001</c:v>
                </c:pt>
                <c:pt idx="15">
                  <c:v>429.92676812049251</c:v>
                </c:pt>
                <c:pt idx="16">
                  <c:v>431</c:v>
                </c:pt>
                <c:pt idx="17">
                  <c:v>396</c:v>
                </c:pt>
                <c:pt idx="18">
                  <c:v>406</c:v>
                </c:pt>
                <c:pt idx="19">
                  <c:v>411</c:v>
                </c:pt>
                <c:pt idx="20">
                  <c:v>420</c:v>
                </c:pt>
                <c:pt idx="21">
                  <c:v>436</c:v>
                </c:pt>
                <c:pt idx="22">
                  <c:v>446</c:v>
                </c:pt>
                <c:pt idx="23">
                  <c:v>454</c:v>
                </c:pt>
                <c:pt idx="24">
                  <c:v>456</c:v>
                </c:pt>
                <c:pt idx="25">
                  <c:v>466</c:v>
                </c:pt>
                <c:pt idx="26">
                  <c:v>476</c:v>
                </c:pt>
                <c:pt idx="27">
                  <c:v>486</c:v>
                </c:pt>
                <c:pt idx="28">
                  <c:v>496</c:v>
                </c:pt>
              </c:numCache>
            </c:numRef>
          </c:val>
          <c:smooth val="0"/>
          <c:extLst>
            <c:ext xmlns:c16="http://schemas.microsoft.com/office/drawing/2014/chart" uri="{C3380CC4-5D6E-409C-BE32-E72D297353CC}">
              <c16:uniqueId val="{00000001-76CF-4086-B27B-5C61DEAA5E1D}"/>
            </c:ext>
          </c:extLst>
        </c:ser>
        <c:ser>
          <c:idx val="2"/>
          <c:order val="2"/>
          <c:tx>
            <c:strRef>
              <c:f>'BFAP verification'!$B$12</c:f>
              <c:strCache>
                <c:ptCount val="1"/>
                <c:pt idx="0">
                  <c:v>Egg production (model)</c:v>
                </c:pt>
              </c:strCache>
            </c:strRef>
          </c:tx>
          <c:spPr>
            <a:ln w="28575" cap="rnd">
              <a:solidFill>
                <a:schemeClr val="accent3"/>
              </a:solidFill>
              <a:round/>
            </a:ln>
            <a:effectLst/>
          </c:spPr>
          <c:marker>
            <c:symbol val="none"/>
          </c:marker>
          <c:cat>
            <c:numRef>
              <c:f>'BFAP verification'!$C$9:$BA$9</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verification'!$C$12:$BA$12</c:f>
              <c:numCache>
                <c:formatCode>0.00</c:formatCode>
                <c:ptCount val="51"/>
                <c:pt idx="0">
                  <c:v>329</c:v>
                </c:pt>
                <c:pt idx="1">
                  <c:v>330</c:v>
                </c:pt>
                <c:pt idx="2">
                  <c:v>340</c:v>
                </c:pt>
                <c:pt idx="3">
                  <c:v>328</c:v>
                </c:pt>
                <c:pt idx="4">
                  <c:v>348</c:v>
                </c:pt>
                <c:pt idx="5">
                  <c:v>375</c:v>
                </c:pt>
                <c:pt idx="6">
                  <c:v>412</c:v>
                </c:pt>
                <c:pt idx="7">
                  <c:v>438</c:v>
                </c:pt>
                <c:pt idx="8">
                  <c:v>426</c:v>
                </c:pt>
                <c:pt idx="9">
                  <c:v>404</c:v>
                </c:pt>
                <c:pt idx="10">
                  <c:v>413</c:v>
                </c:pt>
                <c:pt idx="11">
                  <c:v>452</c:v>
                </c:pt>
                <c:pt idx="12">
                  <c:v>461.23992387887853</c:v>
                </c:pt>
                <c:pt idx="13">
                  <c:v>471.60797183232842</c:v>
                </c:pt>
                <c:pt idx="14">
                  <c:v>479.7805900842464</c:v>
                </c:pt>
                <c:pt idx="15">
                  <c:v>485.66090591146104</c:v>
                </c:pt>
                <c:pt idx="16">
                  <c:v>489.76319012930594</c:v>
                </c:pt>
                <c:pt idx="17">
                  <c:v>495.46867379224312</c:v>
                </c:pt>
                <c:pt idx="18">
                  <c:v>500.52356644261295</c:v>
                </c:pt>
                <c:pt idx="19">
                  <c:v>504.96861090715612</c:v>
                </c:pt>
                <c:pt idx="20">
                  <c:v>473.9989454012138</c:v>
                </c:pt>
                <c:pt idx="21">
                  <c:v>483.90489990736017</c:v>
                </c:pt>
                <c:pt idx="22">
                  <c:v>493.37947685677187</c:v>
                </c:pt>
                <c:pt idx="23">
                  <c:v>502.88216607844146</c:v>
                </c:pt>
                <c:pt idx="24">
                  <c:v>512.02351795806669</c:v>
                </c:pt>
                <c:pt idx="25">
                  <c:v>521.47595889282957</c:v>
                </c:pt>
                <c:pt idx="26">
                  <c:v>532.55075645313127</c:v>
                </c:pt>
                <c:pt idx="27">
                  <c:v>543.45878920854227</c:v>
                </c:pt>
                <c:pt idx="28">
                  <c:v>554.75984558529706</c:v>
                </c:pt>
                <c:pt idx="29">
                  <c:v>566.32264325253595</c:v>
                </c:pt>
                <c:pt idx="30">
                  <c:v>578.16847532642328</c:v>
                </c:pt>
                <c:pt idx="31">
                  <c:v>591.99179560770449</c:v>
                </c:pt>
                <c:pt idx="32">
                  <c:v>605.08730026771832</c:v>
                </c:pt>
                <c:pt idx="33">
                  <c:v>619.34245794526112</c:v>
                </c:pt>
                <c:pt idx="34">
                  <c:v>634.31850067538232</c:v>
                </c:pt>
                <c:pt idx="35">
                  <c:v>650.02188353786892</c:v>
                </c:pt>
                <c:pt idx="36">
                  <c:v>665.9919487769688</c:v>
                </c:pt>
                <c:pt idx="37">
                  <c:v>682.36099163225902</c:v>
                </c:pt>
                <c:pt idx="38">
                  <c:v>698.73794025688528</c:v>
                </c:pt>
                <c:pt idx="39">
                  <c:v>715.48942242430564</c:v>
                </c:pt>
                <c:pt idx="40">
                  <c:v>732.91060526143178</c:v>
                </c:pt>
                <c:pt idx="41">
                  <c:v>751.00988075394139</c:v>
                </c:pt>
                <c:pt idx="42">
                  <c:v>769.53888537859029</c:v>
                </c:pt>
                <c:pt idx="43">
                  <c:v>788.43619905264075</c:v>
                </c:pt>
                <c:pt idx="44">
                  <c:v>807.76755809811857</c:v>
                </c:pt>
                <c:pt idx="45">
                  <c:v>827.84534449261548</c:v>
                </c:pt>
                <c:pt idx="46">
                  <c:v>848.36872838524687</c:v>
                </c:pt>
                <c:pt idx="47">
                  <c:v>869.40986089771616</c:v>
                </c:pt>
                <c:pt idx="48">
                  <c:v>890.33406746976539</c:v>
                </c:pt>
                <c:pt idx="49">
                  <c:v>911.80537421717383</c:v>
                </c:pt>
                <c:pt idx="50">
                  <c:v>933.85453880066677</c:v>
                </c:pt>
              </c:numCache>
            </c:numRef>
          </c:val>
          <c:smooth val="0"/>
          <c:extLst>
            <c:ext xmlns:c16="http://schemas.microsoft.com/office/drawing/2014/chart" uri="{C3380CC4-5D6E-409C-BE32-E72D297353CC}">
              <c16:uniqueId val="{00000002-76CF-4086-B27B-5C61DEAA5E1D}"/>
            </c:ext>
          </c:extLst>
        </c:ser>
        <c:ser>
          <c:idx val="3"/>
          <c:order val="3"/>
          <c:tx>
            <c:strRef>
              <c:f>'BFAP verification'!$B$13</c:f>
              <c:strCache>
                <c:ptCount val="1"/>
                <c:pt idx="0">
                  <c:v>Egg consumption (model)</c:v>
                </c:pt>
              </c:strCache>
            </c:strRef>
          </c:tx>
          <c:spPr>
            <a:ln w="28575" cap="rnd">
              <a:solidFill>
                <a:schemeClr val="accent4"/>
              </a:solidFill>
              <a:round/>
            </a:ln>
            <a:effectLst/>
          </c:spPr>
          <c:marker>
            <c:symbol val="none"/>
          </c:marker>
          <c:cat>
            <c:numRef>
              <c:f>'BFAP verification'!$C$9:$BA$9</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verification'!$C$13:$BA$13</c:f>
              <c:numCache>
                <c:formatCode>0.00</c:formatCode>
                <c:ptCount val="51"/>
                <c:pt idx="0">
                  <c:v>310</c:v>
                </c:pt>
                <c:pt idx="1">
                  <c:v>308</c:v>
                </c:pt>
                <c:pt idx="2">
                  <c:v>313</c:v>
                </c:pt>
                <c:pt idx="3">
                  <c:v>305</c:v>
                </c:pt>
                <c:pt idx="4">
                  <c:v>329</c:v>
                </c:pt>
                <c:pt idx="5">
                  <c:v>357</c:v>
                </c:pt>
                <c:pt idx="6">
                  <c:v>392</c:v>
                </c:pt>
                <c:pt idx="7">
                  <c:v>416</c:v>
                </c:pt>
                <c:pt idx="8">
                  <c:v>404</c:v>
                </c:pt>
                <c:pt idx="9">
                  <c:v>379</c:v>
                </c:pt>
                <c:pt idx="10">
                  <c:v>386</c:v>
                </c:pt>
                <c:pt idx="11">
                  <c:v>426</c:v>
                </c:pt>
                <c:pt idx="12">
                  <c:v>430.55549434441633</c:v>
                </c:pt>
                <c:pt idx="13">
                  <c:v>440.08755096496651</c:v>
                </c:pt>
                <c:pt idx="14">
                  <c:v>447.60119868970565</c:v>
                </c:pt>
                <c:pt idx="15">
                  <c:v>453.0073757891351</c:v>
                </c:pt>
                <c:pt idx="16">
                  <c:v>456.77888664765459</c:v>
                </c:pt>
                <c:pt idx="17">
                  <c:v>462.02432856371416</c:v>
                </c:pt>
                <c:pt idx="18">
                  <c:v>466.67163760110105</c:v>
                </c:pt>
                <c:pt idx="19">
                  <c:v>470.75827143102953</c:v>
                </c:pt>
                <c:pt idx="20">
                  <c:v>442.28573673138857</c:v>
                </c:pt>
                <c:pt idx="21">
                  <c:v>451.39295919574482</c:v>
                </c:pt>
                <c:pt idx="22">
                  <c:v>460.10358672592531</c:v>
                </c:pt>
                <c:pt idx="23">
                  <c:v>468.8400597934816</c:v>
                </c:pt>
                <c:pt idx="24">
                  <c:v>477.24433069347941</c:v>
                </c:pt>
                <c:pt idx="25">
                  <c:v>485.93460706923503</c:v>
                </c:pt>
                <c:pt idx="26">
                  <c:v>496.11642701064466</c:v>
                </c:pt>
                <c:pt idx="27">
                  <c:v>506.14492864472493</c:v>
                </c:pt>
                <c:pt idx="28">
                  <c:v>516.53476381320638</c:v>
                </c:pt>
                <c:pt idx="29">
                  <c:v>527.16523567743161</c:v>
                </c:pt>
                <c:pt idx="30">
                  <c:v>538.05592045751621</c:v>
                </c:pt>
                <c:pt idx="31">
                  <c:v>550.76464559042131</c:v>
                </c:pt>
                <c:pt idx="32">
                  <c:v>562.80423997254366</c:v>
                </c:pt>
                <c:pt idx="33">
                  <c:v>575.90998280159738</c:v>
                </c:pt>
                <c:pt idx="34">
                  <c:v>589.67848463494329</c:v>
                </c:pt>
                <c:pt idx="35">
                  <c:v>604.1156800695569</c:v>
                </c:pt>
                <c:pt idx="36">
                  <c:v>618.7980548788214</c:v>
                </c:pt>
                <c:pt idx="37">
                  <c:v>633.84723713775588</c:v>
                </c:pt>
                <c:pt idx="38">
                  <c:v>648.90368771192948</c:v>
                </c:pt>
                <c:pt idx="39">
                  <c:v>664.30447262485598</c:v>
                </c:pt>
                <c:pt idx="40">
                  <c:v>680.32095923313682</c:v>
                </c:pt>
                <c:pt idx="41">
                  <c:v>696.96086286399645</c:v>
                </c:pt>
                <c:pt idx="42">
                  <c:v>713.99584591939617</c:v>
                </c:pt>
                <c:pt idx="43">
                  <c:v>731.36944071043979</c:v>
                </c:pt>
                <c:pt idx="44">
                  <c:v>749.14208314043219</c:v>
                </c:pt>
                <c:pt idx="45">
                  <c:v>767.6009673572994</c:v>
                </c:pt>
                <c:pt idx="46">
                  <c:v>786.46951987443504</c:v>
                </c:pt>
                <c:pt idx="47">
                  <c:v>805.81407415985598</c:v>
                </c:pt>
                <c:pt idx="48">
                  <c:v>825.05113041966001</c:v>
                </c:pt>
                <c:pt idx="49">
                  <c:v>844.79117334311093</c:v>
                </c:pt>
                <c:pt idx="50">
                  <c:v>865.06248055439312</c:v>
                </c:pt>
              </c:numCache>
            </c:numRef>
          </c:val>
          <c:smooth val="0"/>
          <c:extLst>
            <c:ext xmlns:c16="http://schemas.microsoft.com/office/drawing/2014/chart" uri="{C3380CC4-5D6E-409C-BE32-E72D297353CC}">
              <c16:uniqueId val="{00000003-76CF-4086-B27B-5C61DEAA5E1D}"/>
            </c:ext>
          </c:extLst>
        </c:ser>
        <c:dLbls>
          <c:showLegendKey val="0"/>
          <c:showVal val="0"/>
          <c:showCatName val="0"/>
          <c:showSerName val="0"/>
          <c:showPercent val="0"/>
          <c:showBubbleSize val="0"/>
        </c:dLbls>
        <c:smooth val="0"/>
        <c:axId val="1784320671"/>
        <c:axId val="1784315263"/>
      </c:lineChart>
      <c:catAx>
        <c:axId val="1784320671"/>
        <c:scaling>
          <c:orientation val="minMax"/>
        </c:scaling>
        <c:delete val="0"/>
        <c:axPos val="b"/>
        <c:numFmt formatCode="0_ ;\-0\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315263"/>
        <c:crosses val="autoZero"/>
        <c:auto val="1"/>
        <c:lblAlgn val="ctr"/>
        <c:lblOffset val="100"/>
        <c:noMultiLvlLbl val="0"/>
      </c:catAx>
      <c:valAx>
        <c:axId val="17843152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3206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'BFAP verification'!$B$16</c:f>
              <c:strCache>
                <c:ptCount val="1"/>
                <c:pt idx="0">
                  <c:v>Beef production (BFAP)</c:v>
                </c:pt>
              </c:strCache>
            </c:strRef>
          </c:tx>
          <c:spPr>
            <a:ln w="28575" cap="rnd">
              <a:solidFill>
                <a:schemeClr val="accent1"/>
              </a:solidFill>
              <a:round/>
            </a:ln>
            <a:effectLst/>
          </c:spPr>
          <c:marker>
            <c:symbol val="none"/>
          </c:marker>
          <c:cat>
            <c:numRef>
              <c:f>'BFAP verification'!$C$15:$BA$15</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verification'!$C$16:$BA$16</c:f>
              <c:numCache>
                <c:formatCode>0.00</c:formatCode>
                <c:ptCount val="51"/>
                <c:pt idx="0">
                  <c:v>610.16713705625</c:v>
                </c:pt>
                <c:pt idx="1">
                  <c:v>610.16713705625</c:v>
                </c:pt>
                <c:pt idx="2">
                  <c:v>610.16713705625</c:v>
                </c:pt>
                <c:pt idx="3">
                  <c:v>536</c:v>
                </c:pt>
                <c:pt idx="4">
                  <c:v>559.68422552599998</c:v>
                </c:pt>
                <c:pt idx="5">
                  <c:v>575.65290859000004</c:v>
                </c:pt>
                <c:pt idx="6">
                  <c:v>579.69497297999999</c:v>
                </c:pt>
                <c:pt idx="7">
                  <c:v>601.65087453649994</c:v>
                </c:pt>
                <c:pt idx="8">
                  <c:v>631</c:v>
                </c:pt>
                <c:pt idx="9">
                  <c:v>612.06999999999994</c:v>
                </c:pt>
                <c:pt idx="10">
                  <c:v>654.91489999999999</c:v>
                </c:pt>
                <c:pt idx="11">
                  <c:v>622.16915499999993</c:v>
                </c:pt>
                <c:pt idx="12">
                  <c:v>613.14770225249993</c:v>
                </c:pt>
                <c:pt idx="13">
                  <c:v>665.92799245872072</c:v>
                </c:pt>
                <c:pt idx="14">
                  <c:v>698.08925804689954</c:v>
                </c:pt>
                <c:pt idx="15">
                  <c:v>699.22078053934399</c:v>
                </c:pt>
                <c:pt idx="16">
                  <c:v>710.39885911430974</c:v>
                </c:pt>
                <c:pt idx="17">
                  <c:v>739.18964380980105</c:v>
                </c:pt>
                <c:pt idx="18">
                  <c:v>753.56215690376871</c:v>
                </c:pt>
                <c:pt idx="19">
                  <c:v>770.46731576083528</c:v>
                </c:pt>
                <c:pt idx="20">
                  <c:v>785.71589617587529</c:v>
                </c:pt>
                <c:pt idx="21">
                  <c:v>803.32741953910943</c:v>
                </c:pt>
                <c:pt idx="22">
                  <c:v>821.94908336777723</c:v>
                </c:pt>
                <c:pt idx="23">
                  <c:v>844.55586695223269</c:v>
                </c:pt>
                <c:pt idx="24">
                  <c:v>859.84984588505426</c:v>
                </c:pt>
                <c:pt idx="25">
                  <c:v>875</c:v>
                </c:pt>
                <c:pt idx="26">
                  <c:v>890</c:v>
                </c:pt>
                <c:pt idx="27">
                  <c:v>910</c:v>
                </c:pt>
                <c:pt idx="28">
                  <c:v>925</c:v>
                </c:pt>
              </c:numCache>
            </c:numRef>
          </c:val>
          <c:smooth val="0"/>
          <c:extLst>
            <c:ext xmlns:c16="http://schemas.microsoft.com/office/drawing/2014/chart" uri="{C3380CC4-5D6E-409C-BE32-E72D297353CC}">
              <c16:uniqueId val="{00000000-4A48-44EA-92BB-FEC8B7D263A4}"/>
            </c:ext>
          </c:extLst>
        </c:ser>
        <c:ser>
          <c:idx val="1"/>
          <c:order val="1"/>
          <c:tx>
            <c:strRef>
              <c:f>'BFAP verification'!$B$17</c:f>
              <c:strCache>
                <c:ptCount val="1"/>
                <c:pt idx="0">
                  <c:v>Beef consumption (BFAP)</c:v>
                </c:pt>
              </c:strCache>
            </c:strRef>
          </c:tx>
          <c:spPr>
            <a:ln w="28575" cap="rnd">
              <a:solidFill>
                <a:schemeClr val="accent2"/>
              </a:solidFill>
              <a:round/>
            </a:ln>
            <a:effectLst/>
          </c:spPr>
          <c:marker>
            <c:symbol val="none"/>
          </c:marker>
          <c:cat>
            <c:numRef>
              <c:f>'BFAP verification'!$C$15:$BA$15</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verification'!$C$17:$BA$17</c:f>
              <c:numCache>
                <c:formatCode>0.00</c:formatCode>
                <c:ptCount val="51"/>
                <c:pt idx="0">
                  <c:v>649.892624710375</c:v>
                </c:pt>
                <c:pt idx="1">
                  <c:v>649.892624710375</c:v>
                </c:pt>
                <c:pt idx="2">
                  <c:v>649.892624710375</c:v>
                </c:pt>
                <c:pt idx="3">
                  <c:v>574.19949799999995</c:v>
                </c:pt>
                <c:pt idx="4">
                  <c:v>612.06163379999998</c:v>
                </c:pt>
                <c:pt idx="5">
                  <c:v>642.21783919999996</c:v>
                </c:pt>
                <c:pt idx="6">
                  <c:v>636.26177159999997</c:v>
                </c:pt>
                <c:pt idx="7">
                  <c:v>658.9</c:v>
                </c:pt>
                <c:pt idx="8">
                  <c:v>671.91341149238087</c:v>
                </c:pt>
                <c:pt idx="9">
                  <c:v>649.94999999999993</c:v>
                </c:pt>
                <c:pt idx="10">
                  <c:v>695.36469999999997</c:v>
                </c:pt>
                <c:pt idx="11">
                  <c:v>663.10915499999999</c:v>
                </c:pt>
                <c:pt idx="12">
                  <c:v>670.91943283249987</c:v>
                </c:pt>
                <c:pt idx="13">
                  <c:v>716.42099245872066</c:v>
                </c:pt>
                <c:pt idx="14">
                  <c:v>729.84874533689958</c:v>
                </c:pt>
                <c:pt idx="15">
                  <c:v>740.51634422626432</c:v>
                </c:pt>
                <c:pt idx="16">
                  <c:v>752.08174895984371</c:v>
                </c:pt>
                <c:pt idx="17">
                  <c:v>781.10112686931438</c:v>
                </c:pt>
                <c:pt idx="18">
                  <c:v>797.63162045872559</c:v>
                </c:pt>
                <c:pt idx="19">
                  <c:v>815.73258961364343</c:v>
                </c:pt>
                <c:pt idx="20">
                  <c:v>831.42566617367947</c:v>
                </c:pt>
                <c:pt idx="21">
                  <c:v>848.73455405867912</c:v>
                </c:pt>
                <c:pt idx="22">
                  <c:v>866.8135090431233</c:v>
                </c:pt>
                <c:pt idx="23">
                  <c:v>888.81185294880709</c:v>
                </c:pt>
                <c:pt idx="24">
                  <c:v>904.54032017152463</c:v>
                </c:pt>
              </c:numCache>
            </c:numRef>
          </c:val>
          <c:smooth val="0"/>
          <c:extLst>
            <c:ext xmlns:c16="http://schemas.microsoft.com/office/drawing/2014/chart" uri="{C3380CC4-5D6E-409C-BE32-E72D297353CC}">
              <c16:uniqueId val="{00000001-4A48-44EA-92BB-FEC8B7D263A4}"/>
            </c:ext>
          </c:extLst>
        </c:ser>
        <c:ser>
          <c:idx val="2"/>
          <c:order val="2"/>
          <c:tx>
            <c:strRef>
              <c:f>'BFAP verification'!$B$18</c:f>
              <c:strCache>
                <c:ptCount val="1"/>
                <c:pt idx="0">
                  <c:v>Beef production (model)</c:v>
                </c:pt>
              </c:strCache>
            </c:strRef>
          </c:tx>
          <c:spPr>
            <a:ln w="28575" cap="rnd">
              <a:solidFill>
                <a:schemeClr val="accent3"/>
              </a:solidFill>
              <a:round/>
            </a:ln>
            <a:effectLst/>
          </c:spPr>
          <c:marker>
            <c:symbol val="none"/>
          </c:marker>
          <c:cat>
            <c:numRef>
              <c:f>'BFAP verification'!$C$15:$BA$15</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verification'!$C$18:$BA$18</c:f>
              <c:numCache>
                <c:formatCode>0.00</c:formatCode>
                <c:ptCount val="51"/>
                <c:pt idx="0">
                  <c:v>624.6</c:v>
                </c:pt>
                <c:pt idx="1">
                  <c:v>524.29999999999995</c:v>
                </c:pt>
                <c:pt idx="2">
                  <c:v>573.4</c:v>
                </c:pt>
                <c:pt idx="3">
                  <c:v>609.70000000000005</c:v>
                </c:pt>
                <c:pt idx="4">
                  <c:v>631.70000000000005</c:v>
                </c:pt>
                <c:pt idx="5">
                  <c:v>672.3</c:v>
                </c:pt>
                <c:pt idx="6">
                  <c:v>808.1</c:v>
                </c:pt>
                <c:pt idx="7">
                  <c:v>861.4</c:v>
                </c:pt>
                <c:pt idx="8">
                  <c:v>770.2</c:v>
                </c:pt>
                <c:pt idx="9">
                  <c:v>796.7</c:v>
                </c:pt>
                <c:pt idx="10">
                  <c:v>885.8</c:v>
                </c:pt>
                <c:pt idx="11">
                  <c:v>869.5</c:v>
                </c:pt>
                <c:pt idx="12">
                  <c:v>948.13453480493024</c:v>
                </c:pt>
                <c:pt idx="13">
                  <c:v>986.24387796921349</c:v>
                </c:pt>
                <c:pt idx="14">
                  <c:v>1014.1022678466617</c:v>
                </c:pt>
                <c:pt idx="15">
                  <c:v>1031.2605275532064</c:v>
                </c:pt>
                <c:pt idx="16">
                  <c:v>1039.2853705130033</c:v>
                </c:pt>
                <c:pt idx="17">
                  <c:v>1054.7304038797349</c:v>
                </c:pt>
                <c:pt idx="18">
                  <c:v>1067.1642653020999</c:v>
                </c:pt>
                <c:pt idx="19">
                  <c:v>1076.7755274078183</c:v>
                </c:pt>
                <c:pt idx="20">
                  <c:v>922.4746250028121</c:v>
                </c:pt>
                <c:pt idx="21">
                  <c:v>957.2117958036913</c:v>
                </c:pt>
                <c:pt idx="22">
                  <c:v>989.95239450666702</c:v>
                </c:pt>
                <c:pt idx="23">
                  <c:v>1022.823107035197</c:v>
                </c:pt>
                <c:pt idx="24">
                  <c:v>1054.0214188606751</c:v>
                </c:pt>
                <c:pt idx="25">
                  <c:v>1086.659563827875</c:v>
                </c:pt>
                <c:pt idx="26">
                  <c:v>1125.8799732776683</c:v>
                </c:pt>
                <c:pt idx="27">
                  <c:v>1164.3285345277641</c:v>
                </c:pt>
                <c:pt idx="28">
                  <c:v>1204.5961521115664</c:v>
                </c:pt>
                <c:pt idx="29">
                  <c:v>1246.0752036306142</c:v>
                </c:pt>
                <c:pt idx="30">
                  <c:v>1288.8642413746877</c:v>
                </c:pt>
                <c:pt idx="31">
                  <c:v>1341.214498504962</c:v>
                </c:pt>
                <c:pt idx="32">
                  <c:v>1390.1961603062764</c:v>
                </c:pt>
                <c:pt idx="33">
                  <c:v>1444.5451180442046</c:v>
                </c:pt>
                <c:pt idx="34">
                  <c:v>1502.2305943274946</c:v>
                </c:pt>
                <c:pt idx="35">
                  <c:v>1563.2824654091853</c:v>
                </c:pt>
                <c:pt idx="36">
                  <c:v>1625.111445086188</c:v>
                </c:pt>
                <c:pt idx="37">
                  <c:v>1688.7870383516042</c:v>
                </c:pt>
                <c:pt idx="38">
                  <c:v>1752.4992225993697</c:v>
                </c:pt>
                <c:pt idx="39">
                  <c:v>1817.9448841640174</c:v>
                </c:pt>
                <c:pt idx="40">
                  <c:v>1886.4901641199272</c:v>
                </c:pt>
                <c:pt idx="41">
                  <c:v>1956.4633504471335</c:v>
                </c:pt>
                <c:pt idx="42">
                  <c:v>2028.4254797735721</c:v>
                </c:pt>
                <c:pt idx="43">
                  <c:v>2102.0922771964965</c:v>
                </c:pt>
                <c:pt idx="44">
                  <c:v>2177.7679945395812</c:v>
                </c:pt>
                <c:pt idx="45">
                  <c:v>2256.898449265238</c:v>
                </c:pt>
                <c:pt idx="46">
                  <c:v>2338.5782393828863</c:v>
                </c:pt>
                <c:pt idx="47">
                  <c:v>2422.6543585124277</c:v>
                </c:pt>
                <c:pt idx="48">
                  <c:v>2506.1893016373929</c:v>
                </c:pt>
                <c:pt idx="49">
                  <c:v>2592.2564236587978</c:v>
                </c:pt>
                <c:pt idx="50">
                  <c:v>2680.9980820175324</c:v>
                </c:pt>
              </c:numCache>
            </c:numRef>
          </c:val>
          <c:smooth val="0"/>
          <c:extLst>
            <c:ext xmlns:c16="http://schemas.microsoft.com/office/drawing/2014/chart" uri="{C3380CC4-5D6E-409C-BE32-E72D297353CC}">
              <c16:uniqueId val="{00000002-4A48-44EA-92BB-FEC8B7D263A4}"/>
            </c:ext>
          </c:extLst>
        </c:ser>
        <c:ser>
          <c:idx val="3"/>
          <c:order val="3"/>
          <c:tx>
            <c:strRef>
              <c:f>'BFAP verification'!$B$19</c:f>
              <c:strCache>
                <c:ptCount val="1"/>
                <c:pt idx="0">
                  <c:v>Beef consumption (model)</c:v>
                </c:pt>
              </c:strCache>
            </c:strRef>
          </c:tx>
          <c:spPr>
            <a:ln w="28575" cap="rnd">
              <a:solidFill>
                <a:schemeClr val="accent4"/>
              </a:solidFill>
              <a:round/>
            </a:ln>
            <a:effectLst/>
          </c:spPr>
          <c:marker>
            <c:symbol val="none"/>
          </c:marker>
          <c:cat>
            <c:numRef>
              <c:f>'BFAP verification'!$C$15:$BA$15</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verification'!$C$19:$BA$19</c:f>
              <c:numCache>
                <c:formatCode>0.00</c:formatCode>
                <c:ptCount val="51"/>
                <c:pt idx="0">
                  <c:v>671</c:v>
                </c:pt>
                <c:pt idx="1">
                  <c:v>554</c:v>
                </c:pt>
                <c:pt idx="2">
                  <c:v>602</c:v>
                </c:pt>
                <c:pt idx="3">
                  <c:v>643</c:v>
                </c:pt>
                <c:pt idx="4">
                  <c:v>675</c:v>
                </c:pt>
                <c:pt idx="5">
                  <c:v>723</c:v>
                </c:pt>
                <c:pt idx="6">
                  <c:v>825</c:v>
                </c:pt>
                <c:pt idx="7">
                  <c:v>865</c:v>
                </c:pt>
                <c:pt idx="8">
                  <c:v>767</c:v>
                </c:pt>
                <c:pt idx="9">
                  <c:v>784</c:v>
                </c:pt>
                <c:pt idx="10">
                  <c:v>880</c:v>
                </c:pt>
                <c:pt idx="11">
                  <c:v>879</c:v>
                </c:pt>
                <c:pt idx="12">
                  <c:v>945.12786859572486</c:v>
                </c:pt>
                <c:pt idx="13">
                  <c:v>978.48201793646433</c:v>
                </c:pt>
                <c:pt idx="14">
                  <c:v>1002.864303728149</c:v>
                </c:pt>
                <c:pt idx="15">
                  <c:v>1017.8815963173233</c:v>
                </c:pt>
                <c:pt idx="16">
                  <c:v>1024.9051183277447</c:v>
                </c:pt>
                <c:pt idx="17">
                  <c:v>1038.4229569130466</c:v>
                </c:pt>
                <c:pt idx="18">
                  <c:v>1049.3053504766362</c:v>
                </c:pt>
                <c:pt idx="19">
                  <c:v>1057.7173419991657</c:v>
                </c:pt>
                <c:pt idx="20">
                  <c:v>922.66974172850871</c:v>
                </c:pt>
                <c:pt idx="21">
                  <c:v>953.07249040808131</c:v>
                </c:pt>
                <c:pt idx="22">
                  <c:v>981.72779454010697</c:v>
                </c:pt>
                <c:pt idx="23">
                  <c:v>1010.4969772018708</c:v>
                </c:pt>
                <c:pt idx="24">
                  <c:v>1037.8024373700011</c:v>
                </c:pt>
                <c:pt idx="25">
                  <c:v>1066.3680717013995</c:v>
                </c:pt>
                <c:pt idx="26">
                  <c:v>1100.6946511009464</c:v>
                </c:pt>
                <c:pt idx="27">
                  <c:v>1134.3456916960035</c:v>
                </c:pt>
                <c:pt idx="28">
                  <c:v>1169.5888110721644</c:v>
                </c:pt>
                <c:pt idx="29">
                  <c:v>1205.8922045186087</c:v>
                </c:pt>
                <c:pt idx="30">
                  <c:v>1243.3421272031844</c:v>
                </c:pt>
                <c:pt idx="31">
                  <c:v>1289.1602429031095</c:v>
                </c:pt>
                <c:pt idx="32">
                  <c:v>1332.0300886424027</c:v>
                </c:pt>
                <c:pt idx="33">
                  <c:v>1379.5975118092063</c:v>
                </c:pt>
                <c:pt idx="34">
                  <c:v>1430.0851306183329</c:v>
                </c:pt>
                <c:pt idx="35">
                  <c:v>1483.5190934345374</c:v>
                </c:pt>
                <c:pt idx="36">
                  <c:v>1537.6331990711064</c:v>
                </c:pt>
                <c:pt idx="37">
                  <c:v>1593.3635022143358</c:v>
                </c:pt>
                <c:pt idx="38">
                  <c:v>1649.1258306035672</c:v>
                </c:pt>
                <c:pt idx="39">
                  <c:v>1706.4053371046548</c:v>
                </c:pt>
                <c:pt idx="40">
                  <c:v>1766.3976989356229</c:v>
                </c:pt>
                <c:pt idx="41">
                  <c:v>1827.6397963536749</c:v>
                </c:pt>
                <c:pt idx="42">
                  <c:v>1890.622661161515</c:v>
                </c:pt>
                <c:pt idx="43">
                  <c:v>1955.0974896072871</c:v>
                </c:pt>
                <c:pt idx="44">
                  <c:v>2021.3305696907678</c:v>
                </c:pt>
                <c:pt idx="45">
                  <c:v>2090.5873131865146</c:v>
                </c:pt>
                <c:pt idx="46">
                  <c:v>2162.0752920257196</c:v>
                </c:pt>
                <c:pt idx="47">
                  <c:v>2235.6605916029835</c:v>
                </c:pt>
                <c:pt idx="48">
                  <c:v>2308.7722418392318</c:v>
                </c:pt>
                <c:pt idx="49">
                  <c:v>2384.1001116703778</c:v>
                </c:pt>
                <c:pt idx="50">
                  <c:v>2461.7687955120914</c:v>
                </c:pt>
              </c:numCache>
            </c:numRef>
          </c:val>
          <c:smooth val="0"/>
          <c:extLst>
            <c:ext xmlns:c16="http://schemas.microsoft.com/office/drawing/2014/chart" uri="{C3380CC4-5D6E-409C-BE32-E72D297353CC}">
              <c16:uniqueId val="{00000003-4A48-44EA-92BB-FEC8B7D263A4}"/>
            </c:ext>
          </c:extLst>
        </c:ser>
        <c:dLbls>
          <c:showLegendKey val="0"/>
          <c:showVal val="0"/>
          <c:showCatName val="0"/>
          <c:showSerName val="0"/>
          <c:showPercent val="0"/>
          <c:showBubbleSize val="0"/>
        </c:dLbls>
        <c:smooth val="0"/>
        <c:axId val="1797134927"/>
        <c:axId val="1797135343"/>
      </c:lineChart>
      <c:catAx>
        <c:axId val="1797134927"/>
        <c:scaling>
          <c:orientation val="minMax"/>
        </c:scaling>
        <c:delete val="0"/>
        <c:axPos val="b"/>
        <c:numFmt formatCode="0_ ;\-0\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7135343"/>
        <c:crosses val="autoZero"/>
        <c:auto val="1"/>
        <c:lblAlgn val="ctr"/>
        <c:lblOffset val="100"/>
        <c:noMultiLvlLbl val="0"/>
      </c:catAx>
      <c:valAx>
        <c:axId val="17971353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7134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'BFAP verification'!$B$22</c:f>
              <c:strCache>
                <c:ptCount val="1"/>
                <c:pt idx="0">
                  <c:v>Pork production (BFAP)</c:v>
                </c:pt>
              </c:strCache>
            </c:strRef>
          </c:tx>
          <c:spPr>
            <a:ln w="28575" cap="rnd">
              <a:solidFill>
                <a:schemeClr val="accent1"/>
              </a:solidFill>
              <a:round/>
            </a:ln>
            <a:effectLst/>
          </c:spPr>
          <c:marker>
            <c:symbol val="none"/>
          </c:marker>
          <c:cat>
            <c:numRef>
              <c:f>'BFAP verification'!$C$21:$BA$21</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verification'!$C$22:$BA$22</c:f>
              <c:numCache>
                <c:formatCode>0.00</c:formatCode>
                <c:ptCount val="51"/>
                <c:pt idx="0">
                  <c:v>129.63</c:v>
                </c:pt>
                <c:pt idx="1">
                  <c:v>129.63</c:v>
                </c:pt>
                <c:pt idx="2">
                  <c:v>129.63</c:v>
                </c:pt>
                <c:pt idx="3">
                  <c:v>143.13999999999999</c:v>
                </c:pt>
                <c:pt idx="4">
                  <c:v>146.053</c:v>
                </c:pt>
                <c:pt idx="5">
                  <c:v>149.999</c:v>
                </c:pt>
                <c:pt idx="6">
                  <c:v>157.24799999999999</c:v>
                </c:pt>
                <c:pt idx="7">
                  <c:v>152.83564942134379</c:v>
                </c:pt>
                <c:pt idx="8">
                  <c:v>162.80000000000001</c:v>
                </c:pt>
                <c:pt idx="9">
                  <c:v>165.18375564550669</c:v>
                </c:pt>
                <c:pt idx="10">
                  <c:v>169.66697423006443</c:v>
                </c:pt>
                <c:pt idx="11">
                  <c:v>186.75616508255388</c:v>
                </c:pt>
                <c:pt idx="12">
                  <c:v>191.25698866104344</c:v>
                </c:pt>
                <c:pt idx="13">
                  <c:v>197.47194670605705</c:v>
                </c:pt>
                <c:pt idx="14">
                  <c:v>204.80493212570124</c:v>
                </c:pt>
                <c:pt idx="15">
                  <c:v>208.64102609863633</c:v>
                </c:pt>
                <c:pt idx="16">
                  <c:v>213.80677245749976</c:v>
                </c:pt>
                <c:pt idx="17">
                  <c:v>217.57407311191287</c:v>
                </c:pt>
                <c:pt idx="18">
                  <c:v>225.22145508819884</c:v>
                </c:pt>
                <c:pt idx="19">
                  <c:v>232.86299528535966</c:v>
                </c:pt>
                <c:pt idx="20">
                  <c:v>241.53716288131423</c:v>
                </c:pt>
                <c:pt idx="21">
                  <c:v>245</c:v>
                </c:pt>
                <c:pt idx="22">
                  <c:v>250</c:v>
                </c:pt>
                <c:pt idx="23">
                  <c:v>255</c:v>
                </c:pt>
                <c:pt idx="24">
                  <c:v>260</c:v>
                </c:pt>
                <c:pt idx="25">
                  <c:v>265</c:v>
                </c:pt>
                <c:pt idx="26">
                  <c:v>270</c:v>
                </c:pt>
                <c:pt idx="27">
                  <c:v>275</c:v>
                </c:pt>
                <c:pt idx="28">
                  <c:v>280</c:v>
                </c:pt>
              </c:numCache>
            </c:numRef>
          </c:val>
          <c:smooth val="0"/>
          <c:extLst>
            <c:ext xmlns:c16="http://schemas.microsoft.com/office/drawing/2014/chart" uri="{C3380CC4-5D6E-409C-BE32-E72D297353CC}">
              <c16:uniqueId val="{00000000-03A2-46B0-862C-E451EC00EDA3}"/>
            </c:ext>
          </c:extLst>
        </c:ser>
        <c:ser>
          <c:idx val="1"/>
          <c:order val="1"/>
          <c:tx>
            <c:strRef>
              <c:f>'BFAP verification'!$B$23</c:f>
              <c:strCache>
                <c:ptCount val="1"/>
                <c:pt idx="0">
                  <c:v>Pork Domestic Use (BFAP)</c:v>
                </c:pt>
              </c:strCache>
            </c:strRef>
          </c:tx>
          <c:spPr>
            <a:ln w="28575" cap="rnd">
              <a:solidFill>
                <a:schemeClr val="accent2"/>
              </a:solidFill>
              <a:round/>
            </a:ln>
            <a:effectLst/>
          </c:spPr>
          <c:marker>
            <c:symbol val="none"/>
          </c:marker>
          <c:cat>
            <c:numRef>
              <c:f>'BFAP verification'!$C$21:$BA$21</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verification'!$C$23:$BA$23</c:f>
              <c:numCache>
                <c:formatCode>0.00</c:formatCode>
                <c:ptCount val="51"/>
                <c:pt idx="0">
                  <c:v>137.82499999999999</c:v>
                </c:pt>
                <c:pt idx="1">
                  <c:v>137.82499999999999</c:v>
                </c:pt>
                <c:pt idx="2">
                  <c:v>137.82499999999999</c:v>
                </c:pt>
                <c:pt idx="3">
                  <c:v>156.29499999999999</c:v>
                </c:pt>
                <c:pt idx="4">
                  <c:v>167.84399999999999</c:v>
                </c:pt>
                <c:pt idx="5">
                  <c:v>176.53800000000001</c:v>
                </c:pt>
                <c:pt idx="6">
                  <c:v>177.79399999999998</c:v>
                </c:pt>
                <c:pt idx="7">
                  <c:v>173.29521483689047</c:v>
                </c:pt>
                <c:pt idx="8">
                  <c:v>179.18</c:v>
                </c:pt>
                <c:pt idx="9">
                  <c:v>188.69627164870266</c:v>
                </c:pt>
                <c:pt idx="10">
                  <c:v>192.2214902332604</c:v>
                </c:pt>
                <c:pt idx="11">
                  <c:v>215.34616508255388</c:v>
                </c:pt>
                <c:pt idx="12">
                  <c:v>223.20098866104343</c:v>
                </c:pt>
                <c:pt idx="13">
                  <c:v>219.00718870605706</c:v>
                </c:pt>
                <c:pt idx="14">
                  <c:v>215.58134712570126</c:v>
                </c:pt>
                <c:pt idx="15">
                  <c:v>221.42544983376598</c:v>
                </c:pt>
                <c:pt idx="16">
                  <c:v>226.46723800236197</c:v>
                </c:pt>
                <c:pt idx="17">
                  <c:v>230.37779215363364</c:v>
                </c:pt>
                <c:pt idx="18">
                  <c:v>237.99020308913876</c:v>
                </c:pt>
                <c:pt idx="19">
                  <c:v>245.3694152709713</c:v>
                </c:pt>
                <c:pt idx="20">
                  <c:v>253.78761345428606</c:v>
                </c:pt>
                <c:pt idx="21">
                  <c:v>263.23358248496942</c:v>
                </c:pt>
                <c:pt idx="22">
                  <c:v>274.0317887557747</c:v>
                </c:pt>
                <c:pt idx="23">
                  <c:v>283.56552384740866</c:v>
                </c:pt>
                <c:pt idx="24">
                  <c:v>293.35792027883537</c:v>
                </c:pt>
              </c:numCache>
            </c:numRef>
          </c:val>
          <c:smooth val="0"/>
          <c:extLst>
            <c:ext xmlns:c16="http://schemas.microsoft.com/office/drawing/2014/chart" uri="{C3380CC4-5D6E-409C-BE32-E72D297353CC}">
              <c16:uniqueId val="{00000001-03A2-46B0-862C-E451EC00EDA3}"/>
            </c:ext>
          </c:extLst>
        </c:ser>
        <c:ser>
          <c:idx val="2"/>
          <c:order val="2"/>
          <c:tx>
            <c:strRef>
              <c:f>'BFAP verification'!$B$24</c:f>
              <c:strCache>
                <c:ptCount val="1"/>
                <c:pt idx="0">
                  <c:v>Pork production (model)</c:v>
                </c:pt>
              </c:strCache>
            </c:strRef>
          </c:tx>
          <c:spPr>
            <a:ln w="28575" cap="rnd">
              <a:solidFill>
                <a:schemeClr val="accent3"/>
              </a:solidFill>
              <a:round/>
            </a:ln>
            <a:effectLst/>
          </c:spPr>
          <c:marker>
            <c:symbol val="none"/>
          </c:marker>
          <c:cat>
            <c:numRef>
              <c:f>'BFAP verification'!$C$21:$BA$21</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verification'!$C$24:$BA$24</c:f>
              <c:numCache>
                <c:formatCode>0.00</c:formatCode>
                <c:ptCount val="51"/>
                <c:pt idx="0">
                  <c:v>123</c:v>
                </c:pt>
                <c:pt idx="1">
                  <c:v>106.9</c:v>
                </c:pt>
                <c:pt idx="2">
                  <c:v>116.6</c:v>
                </c:pt>
                <c:pt idx="3">
                  <c:v>135</c:v>
                </c:pt>
                <c:pt idx="4">
                  <c:v>156.80000000000001</c:v>
                </c:pt>
                <c:pt idx="5">
                  <c:v>159.69999999999999</c:v>
                </c:pt>
                <c:pt idx="6">
                  <c:v>171.4</c:v>
                </c:pt>
                <c:pt idx="7">
                  <c:v>187.1</c:v>
                </c:pt>
                <c:pt idx="8">
                  <c:v>181.7</c:v>
                </c:pt>
                <c:pt idx="9">
                  <c:v>180.7</c:v>
                </c:pt>
                <c:pt idx="10">
                  <c:v>191.9</c:v>
                </c:pt>
                <c:pt idx="11">
                  <c:v>205.1</c:v>
                </c:pt>
                <c:pt idx="12">
                  <c:v>212.52491891853998</c:v>
                </c:pt>
                <c:pt idx="13">
                  <c:v>219.20082836926019</c:v>
                </c:pt>
                <c:pt idx="14">
                  <c:v>224.11678162276255</c:v>
                </c:pt>
                <c:pt idx="15">
                  <c:v>227.19562021846298</c:v>
                </c:pt>
                <c:pt idx="16">
                  <c:v>228.71710538988103</c:v>
                </c:pt>
                <c:pt idx="17">
                  <c:v>231.51338728655116</c:v>
                </c:pt>
                <c:pt idx="18">
                  <c:v>233.79234659130194</c:v>
                </c:pt>
                <c:pt idx="19">
                  <c:v>235.58638028522256</c:v>
                </c:pt>
                <c:pt idx="20">
                  <c:v>209.22012710135479</c:v>
                </c:pt>
                <c:pt idx="21">
                  <c:v>215.33276236728705</c:v>
                </c:pt>
                <c:pt idx="22">
                  <c:v>221.10238438795434</c:v>
                </c:pt>
                <c:pt idx="23">
                  <c:v>226.89436010436697</c:v>
                </c:pt>
                <c:pt idx="24">
                  <c:v>232.39901557390775</c:v>
                </c:pt>
                <c:pt idx="25">
                  <c:v>238.15103593479694</c:v>
                </c:pt>
                <c:pt idx="26">
                  <c:v>245.04596768750389</c:v>
                </c:pt>
                <c:pt idx="27">
                  <c:v>251.80829508595448</c:v>
                </c:pt>
                <c:pt idx="28">
                  <c:v>258.88313832700226</c:v>
                </c:pt>
                <c:pt idx="29">
                  <c:v>266.16610722639842</c:v>
                </c:pt>
                <c:pt idx="30">
                  <c:v>273.67413317395744</c:v>
                </c:pt>
                <c:pt idx="31">
                  <c:v>282.81946277356985</c:v>
                </c:pt>
                <c:pt idx="32">
                  <c:v>291.38606405512405</c:v>
                </c:pt>
                <c:pt idx="33">
                  <c:v>300.87477257760321</c:v>
                </c:pt>
                <c:pt idx="34">
                  <c:v>310.93669858673445</c:v>
                </c:pt>
                <c:pt idx="35">
                  <c:v>321.5769748577253</c:v>
                </c:pt>
                <c:pt idx="36">
                  <c:v>332.35671535721758</c:v>
                </c:pt>
                <c:pt idx="37">
                  <c:v>343.45370606542656</c:v>
                </c:pt>
                <c:pt idx="38">
                  <c:v>354.55698314124743</c:v>
                </c:pt>
                <c:pt idx="39">
                  <c:v>365.95807349482703</c:v>
                </c:pt>
                <c:pt idx="40">
                  <c:v>377.89168163541842</c:v>
                </c:pt>
                <c:pt idx="41">
                  <c:v>390.0928899819184</c:v>
                </c:pt>
                <c:pt idx="42">
                  <c:v>402.63580088094761</c:v>
                </c:pt>
                <c:pt idx="43">
                  <c:v>415.47157560256016</c:v>
                </c:pt>
                <c:pt idx="44">
                  <c:v>428.65248493596295</c:v>
                </c:pt>
                <c:pt idx="45">
                  <c:v>442.42692188259156</c:v>
                </c:pt>
                <c:pt idx="46">
                  <c:v>456.63299365378111</c:v>
                </c:pt>
                <c:pt idx="47">
                  <c:v>471.25075733709917</c:v>
                </c:pt>
                <c:pt idx="48">
                  <c:v>485.77554640106661</c:v>
                </c:pt>
                <c:pt idx="49">
                  <c:v>500.73536653136426</c:v>
                </c:pt>
                <c:pt idx="50">
                  <c:v>516.15467489274749</c:v>
                </c:pt>
              </c:numCache>
            </c:numRef>
          </c:val>
          <c:smooth val="0"/>
          <c:extLst>
            <c:ext xmlns:c16="http://schemas.microsoft.com/office/drawing/2014/chart" uri="{C3380CC4-5D6E-409C-BE32-E72D297353CC}">
              <c16:uniqueId val="{00000002-03A2-46B0-862C-E451EC00EDA3}"/>
            </c:ext>
          </c:extLst>
        </c:ser>
        <c:ser>
          <c:idx val="3"/>
          <c:order val="3"/>
          <c:tx>
            <c:strRef>
              <c:f>'BFAP verification'!$B$25</c:f>
              <c:strCache>
                <c:ptCount val="1"/>
                <c:pt idx="0">
                  <c:v>Pork Domestic Use (model)</c:v>
                </c:pt>
              </c:strCache>
            </c:strRef>
          </c:tx>
          <c:spPr>
            <a:ln w="28575" cap="rnd">
              <a:solidFill>
                <a:schemeClr val="accent4"/>
              </a:solidFill>
              <a:round/>
            </a:ln>
            <a:effectLst/>
          </c:spPr>
          <c:marker>
            <c:symbol val="none"/>
          </c:marker>
          <c:cat>
            <c:numRef>
              <c:f>'BFAP verification'!$C$21:$BA$21</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verification'!$C$25:$BA$25</c:f>
              <c:numCache>
                <c:formatCode>0.00</c:formatCode>
                <c:ptCount val="51"/>
                <c:pt idx="0">
                  <c:v>131</c:v>
                </c:pt>
                <c:pt idx="1">
                  <c:v>115</c:v>
                </c:pt>
                <c:pt idx="2">
                  <c:v>123</c:v>
                </c:pt>
                <c:pt idx="3">
                  <c:v>146</c:v>
                </c:pt>
                <c:pt idx="4">
                  <c:v>174</c:v>
                </c:pt>
                <c:pt idx="5">
                  <c:v>182</c:v>
                </c:pt>
                <c:pt idx="6">
                  <c:v>193</c:v>
                </c:pt>
                <c:pt idx="7">
                  <c:v>206</c:v>
                </c:pt>
                <c:pt idx="8">
                  <c:v>198</c:v>
                </c:pt>
                <c:pt idx="9">
                  <c:v>199</c:v>
                </c:pt>
                <c:pt idx="10">
                  <c:v>215</c:v>
                </c:pt>
                <c:pt idx="11">
                  <c:v>231</c:v>
                </c:pt>
                <c:pt idx="12">
                  <c:v>235.48426170925083</c:v>
                </c:pt>
                <c:pt idx="13">
                  <c:v>243.35671212714325</c:v>
                </c:pt>
                <c:pt idx="14">
                  <c:v>249.15376472807381</c:v>
                </c:pt>
                <c:pt idx="15">
                  <c:v>252.78443173580712</c:v>
                </c:pt>
                <c:pt idx="16">
                  <c:v>254.5786167321682</c:v>
                </c:pt>
                <c:pt idx="17">
                  <c:v>257.87608365386393</c:v>
                </c:pt>
                <c:pt idx="18">
                  <c:v>260.56350688263609</c:v>
                </c:pt>
                <c:pt idx="19">
                  <c:v>262.67908999646858</c:v>
                </c:pt>
                <c:pt idx="20">
                  <c:v>231.58714328451842</c:v>
                </c:pt>
                <c:pt idx="21">
                  <c:v>238.79536239068395</c:v>
                </c:pt>
                <c:pt idx="22">
                  <c:v>245.59908907735783</c:v>
                </c:pt>
                <c:pt idx="23">
                  <c:v>252.42917597198704</c:v>
                </c:pt>
                <c:pt idx="24">
                  <c:v>258.92044544941609</c:v>
                </c:pt>
                <c:pt idx="25">
                  <c:v>265.70341568411908</c:v>
                </c:pt>
                <c:pt idx="26">
                  <c:v>273.83414435241792</c:v>
                </c:pt>
                <c:pt idx="27">
                  <c:v>281.80850163614565</c:v>
                </c:pt>
                <c:pt idx="28">
                  <c:v>290.15138780628405</c:v>
                </c:pt>
                <c:pt idx="29">
                  <c:v>298.73970254883398</c:v>
                </c:pt>
                <c:pt idx="30">
                  <c:v>307.59341191153845</c:v>
                </c:pt>
                <c:pt idx="31">
                  <c:v>318.37788320487891</c:v>
                </c:pt>
                <c:pt idx="32">
                  <c:v>328.47989916790459</c:v>
                </c:pt>
                <c:pt idx="33">
                  <c:v>339.66929409970533</c:v>
                </c:pt>
                <c:pt idx="34">
                  <c:v>351.53464580947764</c:v>
                </c:pt>
                <c:pt idx="35">
                  <c:v>364.08200703335052</c:v>
                </c:pt>
                <c:pt idx="36">
                  <c:v>376.79382902950476</c:v>
                </c:pt>
                <c:pt idx="37">
                  <c:v>389.87976283119286</c:v>
                </c:pt>
                <c:pt idx="38">
                  <c:v>402.97310972284242</c:v>
                </c:pt>
                <c:pt idx="39">
                  <c:v>416.41764775635085</c:v>
                </c:pt>
                <c:pt idx="40">
                  <c:v>430.49014815301638</c:v>
                </c:pt>
                <c:pt idx="41">
                  <c:v>444.87821145064459</c:v>
                </c:pt>
                <c:pt idx="42">
                  <c:v>459.66922155609132</c:v>
                </c:pt>
                <c:pt idx="43">
                  <c:v>474.80558624423588</c:v>
                </c:pt>
                <c:pt idx="44">
                  <c:v>490.34894493654923</c:v>
                </c:pt>
                <c:pt idx="45">
                  <c:v>506.59221077129189</c:v>
                </c:pt>
                <c:pt idx="46">
                  <c:v>523.3444744856605</c:v>
                </c:pt>
                <c:pt idx="47">
                  <c:v>540.58221874610354</c:v>
                </c:pt>
                <c:pt idx="48">
                  <c:v>557.71032429943659</c:v>
                </c:pt>
                <c:pt idx="49">
                  <c:v>575.35143269159016</c:v>
                </c:pt>
                <c:pt idx="50">
                  <c:v>593.53438460986229</c:v>
                </c:pt>
              </c:numCache>
            </c:numRef>
          </c:val>
          <c:smooth val="0"/>
          <c:extLst>
            <c:ext xmlns:c16="http://schemas.microsoft.com/office/drawing/2014/chart" uri="{C3380CC4-5D6E-409C-BE32-E72D297353CC}">
              <c16:uniqueId val="{00000003-03A2-46B0-862C-E451EC00EDA3}"/>
            </c:ext>
          </c:extLst>
        </c:ser>
        <c:dLbls>
          <c:showLegendKey val="0"/>
          <c:showVal val="0"/>
          <c:showCatName val="0"/>
          <c:showSerName val="0"/>
          <c:showPercent val="0"/>
          <c:showBubbleSize val="0"/>
        </c:dLbls>
        <c:smooth val="0"/>
        <c:axId val="1981849103"/>
        <c:axId val="1981847023"/>
      </c:lineChart>
      <c:catAx>
        <c:axId val="1981849103"/>
        <c:scaling>
          <c:orientation val="minMax"/>
        </c:scaling>
        <c:delete val="0"/>
        <c:axPos val="b"/>
        <c:numFmt formatCode="0_ ;\-0\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1847023"/>
        <c:crosses val="autoZero"/>
        <c:auto val="1"/>
        <c:lblAlgn val="ctr"/>
        <c:lblOffset val="100"/>
        <c:noMultiLvlLbl val="0"/>
      </c:catAx>
      <c:valAx>
        <c:axId val="19818470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1849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'BFAP verification'!$B$28</c:f>
              <c:strCache>
                <c:ptCount val="1"/>
                <c:pt idx="0">
                  <c:v>Fluid milk production (BFAP)</c:v>
                </c:pt>
              </c:strCache>
            </c:strRef>
          </c:tx>
          <c:spPr>
            <a:ln w="28575" cap="rnd">
              <a:solidFill>
                <a:schemeClr val="accent1"/>
              </a:solidFill>
              <a:round/>
            </a:ln>
            <a:effectLst/>
          </c:spPr>
          <c:marker>
            <c:symbol val="none"/>
          </c:marker>
          <c:cat>
            <c:numRef>
              <c:f>'BFAP verification'!$C$27:$BA$27</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verification'!$C$28:$BA$28</c:f>
              <c:numCache>
                <c:formatCode>0.00</c:formatCode>
                <c:ptCount val="51"/>
                <c:pt idx="0">
                  <c:v>2024.0540449999999</c:v>
                </c:pt>
                <c:pt idx="1">
                  <c:v>2024.0540449999999</c:v>
                </c:pt>
                <c:pt idx="2">
                  <c:v>2024.0540449999999</c:v>
                </c:pt>
                <c:pt idx="3">
                  <c:v>2113.8015639999999</c:v>
                </c:pt>
                <c:pt idx="4">
                  <c:v>2290.0087429999999</c:v>
                </c:pt>
                <c:pt idx="5">
                  <c:v>2393.5830030000002</c:v>
                </c:pt>
                <c:pt idx="6">
                  <c:v>2495.02</c:v>
                </c:pt>
                <c:pt idx="7">
                  <c:v>2546.5700000000002</c:v>
                </c:pt>
                <c:pt idx="8">
                  <c:v>2673.6727109999997</c:v>
                </c:pt>
                <c:pt idx="9">
                  <c:v>2586.3408249999998</c:v>
                </c:pt>
                <c:pt idx="10">
                  <c:v>2706.3017989999998</c:v>
                </c:pt>
                <c:pt idx="11">
                  <c:v>2720.4017549999999</c:v>
                </c:pt>
                <c:pt idx="12">
                  <c:v>2842.8103229999997</c:v>
                </c:pt>
                <c:pt idx="13">
                  <c:v>2904.1207999999997</c:v>
                </c:pt>
                <c:pt idx="14">
                  <c:v>2969.867827</c:v>
                </c:pt>
                <c:pt idx="15">
                  <c:v>3150</c:v>
                </c:pt>
                <c:pt idx="16">
                  <c:v>3100</c:v>
                </c:pt>
                <c:pt idx="17">
                  <c:v>3200</c:v>
                </c:pt>
                <c:pt idx="18">
                  <c:v>3400</c:v>
                </c:pt>
                <c:pt idx="19">
                  <c:v>3250</c:v>
                </c:pt>
                <c:pt idx="20">
                  <c:v>3300</c:v>
                </c:pt>
                <c:pt idx="21">
                  <c:v>3400</c:v>
                </c:pt>
                <c:pt idx="22">
                  <c:v>3500</c:v>
                </c:pt>
                <c:pt idx="23">
                  <c:v>3550</c:v>
                </c:pt>
                <c:pt idx="24">
                  <c:v>3600</c:v>
                </c:pt>
                <c:pt idx="25">
                  <c:v>3650</c:v>
                </c:pt>
                <c:pt idx="26">
                  <c:v>3700</c:v>
                </c:pt>
                <c:pt idx="27">
                  <c:v>3750</c:v>
                </c:pt>
                <c:pt idx="28">
                  <c:v>3800</c:v>
                </c:pt>
              </c:numCache>
            </c:numRef>
          </c:val>
          <c:smooth val="0"/>
          <c:extLst>
            <c:ext xmlns:c16="http://schemas.microsoft.com/office/drawing/2014/chart" uri="{C3380CC4-5D6E-409C-BE32-E72D297353CC}">
              <c16:uniqueId val="{00000000-D175-4114-9984-BF38085F9052}"/>
            </c:ext>
          </c:extLst>
        </c:ser>
        <c:ser>
          <c:idx val="1"/>
          <c:order val="1"/>
          <c:tx>
            <c:strRef>
              <c:f>'BFAP verification'!$B$29</c:f>
              <c:strCache>
                <c:ptCount val="1"/>
                <c:pt idx="0">
                  <c:v>Fluid milk fresh utilization (BFAP)</c:v>
                </c:pt>
              </c:strCache>
            </c:strRef>
          </c:tx>
          <c:spPr>
            <a:ln w="28575" cap="rnd">
              <a:solidFill>
                <a:schemeClr val="accent2"/>
              </a:solidFill>
              <a:round/>
            </a:ln>
            <a:effectLst/>
          </c:spPr>
          <c:marker>
            <c:symbol val="none"/>
          </c:marker>
          <c:cat>
            <c:numRef>
              <c:f>'BFAP verification'!$C$27:$BA$27</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verification'!$C$29:$BA$29</c:f>
              <c:numCache>
                <c:formatCode>0.00</c:formatCode>
                <c:ptCount val="51"/>
                <c:pt idx="0">
                  <c:v>1273.2</c:v>
                </c:pt>
                <c:pt idx="1">
                  <c:v>1273.2</c:v>
                </c:pt>
                <c:pt idx="2">
                  <c:v>1273.2</c:v>
                </c:pt>
                <c:pt idx="3">
                  <c:v>1259</c:v>
                </c:pt>
                <c:pt idx="4">
                  <c:v>1347</c:v>
                </c:pt>
                <c:pt idx="5">
                  <c:v>1396.6</c:v>
                </c:pt>
                <c:pt idx="6">
                  <c:v>1442.9</c:v>
                </c:pt>
                <c:pt idx="7">
                  <c:v>1402.61000533527</c:v>
                </c:pt>
                <c:pt idx="8">
                  <c:v>1458.4151718048199</c:v>
                </c:pt>
                <c:pt idx="9">
                  <c:v>1493.2</c:v>
                </c:pt>
                <c:pt idx="10">
                  <c:v>1545.3558772633801</c:v>
                </c:pt>
                <c:pt idx="11">
                  <c:v>1571</c:v>
                </c:pt>
                <c:pt idx="12">
                  <c:v>1661.1</c:v>
                </c:pt>
                <c:pt idx="13">
                  <c:v>1681.39</c:v>
                </c:pt>
                <c:pt idx="14">
                  <c:v>1722.5233396599999</c:v>
                </c:pt>
                <c:pt idx="15">
                  <c:v>1775.8304373666449</c:v>
                </c:pt>
                <c:pt idx="16">
                  <c:v>1820.2326820256628</c:v>
                </c:pt>
                <c:pt idx="17">
                  <c:v>1859.0411448844859</c:v>
                </c:pt>
                <c:pt idx="18">
                  <c:v>1893.2454556799651</c:v>
                </c:pt>
                <c:pt idx="19">
                  <c:v>1928.6136766918191</c:v>
                </c:pt>
                <c:pt idx="20">
                  <c:v>1965.2479914611308</c:v>
                </c:pt>
                <c:pt idx="21">
                  <c:v>2003.0736716496317</c:v>
                </c:pt>
                <c:pt idx="22">
                  <c:v>2044.3832164581972</c:v>
                </c:pt>
                <c:pt idx="23">
                  <c:v>2085.024175882957</c:v>
                </c:pt>
                <c:pt idx="24">
                  <c:v>2123.3681095603265</c:v>
                </c:pt>
              </c:numCache>
            </c:numRef>
          </c:val>
          <c:smooth val="0"/>
          <c:extLst>
            <c:ext xmlns:c16="http://schemas.microsoft.com/office/drawing/2014/chart" uri="{C3380CC4-5D6E-409C-BE32-E72D297353CC}">
              <c16:uniqueId val="{00000001-D175-4114-9984-BF38085F9052}"/>
            </c:ext>
          </c:extLst>
        </c:ser>
        <c:ser>
          <c:idx val="2"/>
          <c:order val="2"/>
          <c:tx>
            <c:strRef>
              <c:f>'BFAP verification'!$B$30</c:f>
              <c:strCache>
                <c:ptCount val="1"/>
                <c:pt idx="0">
                  <c:v>Fluid Milk factory utilization (BFAP)</c:v>
                </c:pt>
              </c:strCache>
            </c:strRef>
          </c:tx>
          <c:spPr>
            <a:ln w="28575" cap="rnd">
              <a:solidFill>
                <a:schemeClr val="accent3"/>
              </a:solidFill>
              <a:round/>
            </a:ln>
            <a:effectLst/>
          </c:spPr>
          <c:marker>
            <c:symbol val="none"/>
          </c:marker>
          <c:cat>
            <c:numRef>
              <c:f>'BFAP verification'!$C$27:$BA$27</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verification'!$C$30:$BA$30</c:f>
              <c:numCache>
                <c:formatCode>0.00</c:formatCode>
                <c:ptCount val="51"/>
                <c:pt idx="0">
                  <c:v>866.94927349604279</c:v>
                </c:pt>
                <c:pt idx="1">
                  <c:v>866.94927349604279</c:v>
                </c:pt>
                <c:pt idx="2">
                  <c:v>866.94927349604279</c:v>
                </c:pt>
                <c:pt idx="3">
                  <c:v>846.1138215167158</c:v>
                </c:pt>
                <c:pt idx="4">
                  <c:v>935.18533488170215</c:v>
                </c:pt>
                <c:pt idx="5">
                  <c:v>990.02288429185</c:v>
                </c:pt>
                <c:pt idx="6">
                  <c:v>1044.5425069013627</c:v>
                </c:pt>
                <c:pt idx="7">
                  <c:v>1150.5392931285598</c:v>
                </c:pt>
                <c:pt idx="8">
                  <c:v>1208.3756288442755</c:v>
                </c:pt>
                <c:pt idx="9">
                  <c:v>1092.2210617160124</c:v>
                </c:pt>
                <c:pt idx="10">
                  <c:v>1154.6007305262117</c:v>
                </c:pt>
                <c:pt idx="11">
                  <c:v>1140</c:v>
                </c:pt>
                <c:pt idx="12">
                  <c:v>1171</c:v>
                </c:pt>
                <c:pt idx="13">
                  <c:v>1200</c:v>
                </c:pt>
                <c:pt idx="14">
                  <c:v>1223.1384873399998</c:v>
                </c:pt>
                <c:pt idx="15">
                  <c:v>1297.1574685139426</c:v>
                </c:pt>
                <c:pt idx="16">
                  <c:v>1339.9486902058916</c:v>
                </c:pt>
                <c:pt idx="17">
                  <c:v>1382.183609812364</c:v>
                </c:pt>
                <c:pt idx="18">
                  <c:v>1416.4086784270767</c:v>
                </c:pt>
                <c:pt idx="19">
                  <c:v>1452.170708036087</c:v>
                </c:pt>
                <c:pt idx="20">
                  <c:v>1490.0278167036406</c:v>
                </c:pt>
                <c:pt idx="21">
                  <c:v>1529.1035404245388</c:v>
                </c:pt>
                <c:pt idx="22">
                  <c:v>1572.8770953399192</c:v>
                </c:pt>
                <c:pt idx="23">
                  <c:v>1615.0807207181326</c:v>
                </c:pt>
                <c:pt idx="24">
                  <c:v>1653.5952554033502</c:v>
                </c:pt>
              </c:numCache>
            </c:numRef>
          </c:val>
          <c:smooth val="0"/>
          <c:extLst>
            <c:ext xmlns:c16="http://schemas.microsoft.com/office/drawing/2014/chart" uri="{C3380CC4-5D6E-409C-BE32-E72D297353CC}">
              <c16:uniqueId val="{00000002-D175-4114-9984-BF38085F9052}"/>
            </c:ext>
          </c:extLst>
        </c:ser>
        <c:ser>
          <c:idx val="3"/>
          <c:order val="3"/>
          <c:tx>
            <c:strRef>
              <c:f>'BFAP verification'!$B$31</c:f>
              <c:strCache>
                <c:ptCount val="1"/>
                <c:pt idx="0">
                  <c:v>Milk production (model)</c:v>
                </c:pt>
              </c:strCache>
            </c:strRef>
          </c:tx>
          <c:spPr>
            <a:ln w="28575" cap="rnd">
              <a:solidFill>
                <a:schemeClr val="accent4"/>
              </a:solidFill>
              <a:round/>
            </a:ln>
            <a:effectLst/>
          </c:spPr>
          <c:marker>
            <c:symbol val="none"/>
          </c:marker>
          <c:cat>
            <c:numRef>
              <c:f>'BFAP verification'!$C$27:$BA$27</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verification'!$C$31:$BA$31</c:f>
              <c:numCache>
                <c:formatCode>0.00</c:formatCode>
                <c:ptCount val="51"/>
                <c:pt idx="0">
                  <c:v>2370</c:v>
                </c:pt>
                <c:pt idx="1">
                  <c:v>2358</c:v>
                </c:pt>
                <c:pt idx="2">
                  <c:v>2457</c:v>
                </c:pt>
                <c:pt idx="3">
                  <c:v>2354</c:v>
                </c:pt>
                <c:pt idx="4">
                  <c:v>2505</c:v>
                </c:pt>
                <c:pt idx="5">
                  <c:v>2657</c:v>
                </c:pt>
                <c:pt idx="6">
                  <c:v>2513</c:v>
                </c:pt>
                <c:pt idx="7">
                  <c:v>2559</c:v>
                </c:pt>
                <c:pt idx="8">
                  <c:v>2625</c:v>
                </c:pt>
                <c:pt idx="9">
                  <c:v>2587</c:v>
                </c:pt>
                <c:pt idx="10">
                  <c:v>2711</c:v>
                </c:pt>
                <c:pt idx="11">
                  <c:v>2720</c:v>
                </c:pt>
                <c:pt idx="12">
                  <c:v>2896.2221996302678</c:v>
                </c:pt>
                <c:pt idx="13">
                  <c:v>2953.7695703744453</c:v>
                </c:pt>
                <c:pt idx="14">
                  <c:v>2997.6938820025966</c:v>
                </c:pt>
                <c:pt idx="15">
                  <c:v>3027.3960923586378</c:v>
                </c:pt>
                <c:pt idx="16">
                  <c:v>3045.5174156589005</c:v>
                </c:pt>
                <c:pt idx="17">
                  <c:v>3073.5437292344841</c:v>
                </c:pt>
                <c:pt idx="18">
                  <c:v>3097.550519429858</c:v>
                </c:pt>
                <c:pt idx="19">
                  <c:v>3117.7895062065572</c:v>
                </c:pt>
                <c:pt idx="20">
                  <c:v>2919.2270463293512</c:v>
                </c:pt>
                <c:pt idx="21">
                  <c:v>2973.1066809080698</c:v>
                </c:pt>
                <c:pt idx="22">
                  <c:v>3024.3211509616513</c:v>
                </c:pt>
                <c:pt idx="23">
                  <c:v>3075.709306069944</c:v>
                </c:pt>
                <c:pt idx="24">
                  <c:v>3124.8650234924526</c:v>
                </c:pt>
                <c:pt idx="25">
                  <c:v>3175.9427312566163</c:v>
                </c:pt>
                <c:pt idx="26">
                  <c:v>3236.4331882823781</c:v>
                </c:pt>
                <c:pt idx="27">
                  <c:v>3295.893328228281</c:v>
                </c:pt>
                <c:pt idx="28">
                  <c:v>3357.7816720756318</c:v>
                </c:pt>
                <c:pt idx="29">
                  <c:v>3421.28712285552</c:v>
                </c:pt>
                <c:pt idx="30">
                  <c:v>3486.5412350723977</c:v>
                </c:pt>
                <c:pt idx="31">
                  <c:v>3564.282104449047</c:v>
                </c:pt>
                <c:pt idx="32">
                  <c:v>3637.5263365194342</c:v>
                </c:pt>
                <c:pt idx="33">
                  <c:v>3717.9352115666102</c:v>
                </c:pt>
                <c:pt idx="34">
                  <c:v>3802.7979053036356</c:v>
                </c:pt>
                <c:pt idx="35">
                  <c:v>3892.1542987858597</c:v>
                </c:pt>
                <c:pt idx="36">
                  <c:v>3982.8570478069882</c:v>
                </c:pt>
                <c:pt idx="37">
                  <c:v>4076.0247860847803</c:v>
                </c:pt>
                <c:pt idx="38">
                  <c:v>4169.2413684320427</c:v>
                </c:pt>
                <c:pt idx="39">
                  <c:v>4264.771917949035</c:v>
                </c:pt>
                <c:pt idx="40">
                  <c:v>4364.4400553632277</c:v>
                </c:pt>
                <c:pt idx="41">
                  <c:v>4467.1704205567112</c:v>
                </c:pt>
                <c:pt idx="42">
                  <c:v>4572.5557661424091</c:v>
                </c:pt>
                <c:pt idx="43">
                  <c:v>4680.2166223310669</c:v>
                </c:pt>
                <c:pt idx="44">
                  <c:v>4790.5591256449088</c:v>
                </c:pt>
                <c:pt idx="45">
                  <c:v>4905.5132545776996</c:v>
                </c:pt>
                <c:pt idx="46">
                  <c:v>5023.5412882357705</c:v>
                </c:pt>
                <c:pt idx="47">
                  <c:v>5144.7681098302101</c:v>
                </c:pt>
                <c:pt idx="48">
                  <c:v>5265.272531898494</c:v>
                </c:pt>
                <c:pt idx="49">
                  <c:v>5389.1570837128429</c:v>
                </c:pt>
                <c:pt idx="50">
                  <c:v>5516.6117941025732</c:v>
                </c:pt>
              </c:numCache>
            </c:numRef>
          </c:val>
          <c:smooth val="0"/>
          <c:extLst>
            <c:ext xmlns:c16="http://schemas.microsoft.com/office/drawing/2014/chart" uri="{C3380CC4-5D6E-409C-BE32-E72D297353CC}">
              <c16:uniqueId val="{00000003-D175-4114-9984-BF38085F9052}"/>
            </c:ext>
          </c:extLst>
        </c:ser>
        <c:ser>
          <c:idx val="4"/>
          <c:order val="4"/>
          <c:tx>
            <c:strRef>
              <c:f>'BFAP verification'!$B$32</c:f>
              <c:strCache>
                <c:ptCount val="1"/>
                <c:pt idx="0">
                  <c:v>Milk consumption (model)</c:v>
                </c:pt>
              </c:strCache>
            </c:strRef>
          </c:tx>
          <c:spPr>
            <a:ln w="28575" cap="rnd">
              <a:solidFill>
                <a:schemeClr val="accent5"/>
              </a:solidFill>
              <a:round/>
            </a:ln>
            <a:effectLst/>
          </c:spPr>
          <c:marker>
            <c:symbol val="none"/>
          </c:marker>
          <c:cat>
            <c:numRef>
              <c:f>'BFAP verification'!$C$27:$BA$27</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verification'!$C$32:$BA$32</c:f>
              <c:numCache>
                <c:formatCode>0.00</c:formatCode>
                <c:ptCount val="51"/>
                <c:pt idx="0">
                  <c:v>1284</c:v>
                </c:pt>
                <c:pt idx="1">
                  <c:v>1575</c:v>
                </c:pt>
                <c:pt idx="2">
                  <c:v>1611</c:v>
                </c:pt>
                <c:pt idx="3">
                  <c:v>1528</c:v>
                </c:pt>
                <c:pt idx="4">
                  <c:v>1626</c:v>
                </c:pt>
                <c:pt idx="5">
                  <c:v>1835</c:v>
                </c:pt>
                <c:pt idx="6">
                  <c:v>1697</c:v>
                </c:pt>
                <c:pt idx="7">
                  <c:v>1799</c:v>
                </c:pt>
                <c:pt idx="8">
                  <c:v>1819</c:v>
                </c:pt>
                <c:pt idx="9">
                  <c:v>1788</c:v>
                </c:pt>
                <c:pt idx="10">
                  <c:v>1868</c:v>
                </c:pt>
                <c:pt idx="11">
                  <c:v>1852</c:v>
                </c:pt>
                <c:pt idx="12">
                  <c:v>1989.3390036995681</c:v>
                </c:pt>
                <c:pt idx="13">
                  <c:v>2041.9343898660559</c:v>
                </c:pt>
                <c:pt idx="14">
                  <c:v>2082.0789890424412</c:v>
                </c:pt>
                <c:pt idx="15">
                  <c:v>2109.2253069970684</c:v>
                </c:pt>
                <c:pt idx="16">
                  <c:v>2125.7872799334518</c:v>
                </c:pt>
                <c:pt idx="17">
                  <c:v>2151.4019129960766</c:v>
                </c:pt>
                <c:pt idx="18">
                  <c:v>2173.3429049930269</c:v>
                </c:pt>
                <c:pt idx="19">
                  <c:v>2191.8403152373808</c:v>
                </c:pt>
                <c:pt idx="20">
                  <c:v>2010.3642700183</c:v>
                </c:pt>
                <c:pt idx="21">
                  <c:v>2059.6075308403201</c:v>
                </c:pt>
                <c:pt idx="22">
                  <c:v>2106.414966087963</c:v>
                </c:pt>
                <c:pt idx="23">
                  <c:v>2153.3811406907794</c:v>
                </c:pt>
                <c:pt idx="24">
                  <c:v>2198.3069801634579</c:v>
                </c:pt>
                <c:pt idx="25">
                  <c:v>2244.9894215958848</c:v>
                </c:pt>
                <c:pt idx="26">
                  <c:v>2300.2746397651135</c:v>
                </c:pt>
                <c:pt idx="27">
                  <c:v>2354.6182002358519</c:v>
                </c:pt>
                <c:pt idx="28">
                  <c:v>2411.1810162561683</c:v>
                </c:pt>
                <c:pt idx="29">
                  <c:v>2469.2217862210259</c:v>
                </c:pt>
                <c:pt idx="30">
                  <c:v>2528.8607442935854</c:v>
                </c:pt>
                <c:pt idx="31">
                  <c:v>2599.9119668413528</c:v>
                </c:pt>
                <c:pt idx="32">
                  <c:v>2666.8534903270229</c:v>
                </c:pt>
                <c:pt idx="33">
                  <c:v>2740.3431351123509</c:v>
                </c:pt>
                <c:pt idx="34">
                  <c:v>2817.9033449101012</c:v>
                </c:pt>
                <c:pt idx="35">
                  <c:v>2899.570568987715</c:v>
                </c:pt>
                <c:pt idx="36">
                  <c:v>2982.4682939304485</c:v>
                </c:pt>
                <c:pt idx="37">
                  <c:v>3067.618894376858</c:v>
                </c:pt>
                <c:pt idx="38">
                  <c:v>3152.8141358322741</c:v>
                </c:pt>
                <c:pt idx="39">
                  <c:v>3240.1242262424676</c:v>
                </c:pt>
                <c:pt idx="40">
                  <c:v>3331.2158627152685</c:v>
                </c:pt>
                <c:pt idx="41">
                  <c:v>3425.1062204936443</c:v>
                </c:pt>
                <c:pt idx="42">
                  <c:v>3521.4230960640107</c:v>
                </c:pt>
                <c:pt idx="43">
                  <c:v>3619.819673232224</c:v>
                </c:pt>
                <c:pt idx="44">
                  <c:v>3720.6671402375823</c:v>
                </c:pt>
                <c:pt idx="45">
                  <c:v>3825.729399806829</c:v>
                </c:pt>
                <c:pt idx="46">
                  <c:v>3933.6010528196762</c:v>
                </c:pt>
                <c:pt idx="47">
                  <c:v>4044.396236214578</c:v>
                </c:pt>
                <c:pt idx="48">
                  <c:v>4154.5311829808852</c:v>
                </c:pt>
                <c:pt idx="49">
                  <c:v>4267.7553973712065</c:v>
                </c:pt>
                <c:pt idx="50">
                  <c:v>4384.2425561240507</c:v>
                </c:pt>
              </c:numCache>
            </c:numRef>
          </c:val>
          <c:smooth val="0"/>
          <c:extLst>
            <c:ext xmlns:c16="http://schemas.microsoft.com/office/drawing/2014/chart" uri="{C3380CC4-5D6E-409C-BE32-E72D297353CC}">
              <c16:uniqueId val="{00000004-D175-4114-9984-BF38085F9052}"/>
            </c:ext>
          </c:extLst>
        </c:ser>
        <c:dLbls>
          <c:showLegendKey val="0"/>
          <c:showVal val="0"/>
          <c:showCatName val="0"/>
          <c:showSerName val="0"/>
          <c:showPercent val="0"/>
          <c:showBubbleSize val="0"/>
        </c:dLbls>
        <c:smooth val="0"/>
        <c:axId val="1983403439"/>
        <c:axId val="1983404271"/>
      </c:lineChart>
      <c:catAx>
        <c:axId val="1983403439"/>
        <c:scaling>
          <c:orientation val="minMax"/>
        </c:scaling>
        <c:delete val="0"/>
        <c:axPos val="b"/>
        <c:numFmt formatCode="0_ ;\-0\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404271"/>
        <c:crosses val="autoZero"/>
        <c:auto val="1"/>
        <c:lblAlgn val="ctr"/>
        <c:lblOffset val="100"/>
        <c:noMultiLvlLbl val="0"/>
      </c:catAx>
      <c:valAx>
        <c:axId val="19834042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403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'BFAP verification'!$B$35</c:f>
              <c:strCache>
                <c:ptCount val="1"/>
                <c:pt idx="0">
                  <c:v>Sheep meat production (BFAP)</c:v>
                </c:pt>
              </c:strCache>
            </c:strRef>
          </c:tx>
          <c:spPr>
            <a:ln w="28575" cap="rnd">
              <a:solidFill>
                <a:schemeClr val="accent1"/>
              </a:solidFill>
              <a:round/>
            </a:ln>
            <a:effectLst/>
          </c:spPr>
          <c:marker>
            <c:symbol val="none"/>
          </c:marker>
          <c:cat>
            <c:numRef>
              <c:f>'BFAP verification'!$C$34:$BA$34</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verification'!$C$35:$BA$35</c:f>
              <c:numCache>
                <c:formatCode>0.00</c:formatCode>
                <c:ptCount val="51"/>
                <c:pt idx="0">
                  <c:v>114.36</c:v>
                </c:pt>
                <c:pt idx="1">
                  <c:v>114.36</c:v>
                </c:pt>
                <c:pt idx="2">
                  <c:v>114.36</c:v>
                </c:pt>
                <c:pt idx="3">
                  <c:v>94.948778000000004</c:v>
                </c:pt>
                <c:pt idx="4">
                  <c:v>97.52034399999998</c:v>
                </c:pt>
                <c:pt idx="5">
                  <c:v>102.166586</c:v>
                </c:pt>
                <c:pt idx="6">
                  <c:v>115.84967</c:v>
                </c:pt>
                <c:pt idx="7">
                  <c:v>110.621706</c:v>
                </c:pt>
                <c:pt idx="8">
                  <c:v>115.99826544161907</c:v>
                </c:pt>
                <c:pt idx="9">
                  <c:v>120.63819605928383</c:v>
                </c:pt>
                <c:pt idx="10">
                  <c:v>125.46372390165519</c:v>
                </c:pt>
                <c:pt idx="11">
                  <c:v>91.588518448208291</c:v>
                </c:pt>
                <c:pt idx="12">
                  <c:v>98.915599924064963</c:v>
                </c:pt>
                <c:pt idx="13">
                  <c:v>115.10460982337811</c:v>
                </c:pt>
                <c:pt idx="14">
                  <c:v>118.08101882391567</c:v>
                </c:pt>
                <c:pt idx="15">
                  <c:v>120</c:v>
                </c:pt>
                <c:pt idx="16">
                  <c:v>125</c:v>
                </c:pt>
                <c:pt idx="17">
                  <c:v>135</c:v>
                </c:pt>
                <c:pt idx="18">
                  <c:v>115</c:v>
                </c:pt>
                <c:pt idx="19">
                  <c:v>108</c:v>
                </c:pt>
                <c:pt idx="20">
                  <c:v>113</c:v>
                </c:pt>
                <c:pt idx="21">
                  <c:v>116</c:v>
                </c:pt>
                <c:pt idx="22">
                  <c:v>119</c:v>
                </c:pt>
                <c:pt idx="23">
                  <c:v>121</c:v>
                </c:pt>
                <c:pt idx="24">
                  <c:v>124</c:v>
                </c:pt>
                <c:pt idx="25">
                  <c:v>127</c:v>
                </c:pt>
                <c:pt idx="26">
                  <c:v>129</c:v>
                </c:pt>
                <c:pt idx="27">
                  <c:v>131</c:v>
                </c:pt>
                <c:pt idx="28">
                  <c:v>133</c:v>
                </c:pt>
              </c:numCache>
            </c:numRef>
          </c:val>
          <c:smooth val="0"/>
          <c:extLst>
            <c:ext xmlns:c16="http://schemas.microsoft.com/office/drawing/2014/chart" uri="{C3380CC4-5D6E-409C-BE32-E72D297353CC}">
              <c16:uniqueId val="{00000000-DF71-4BF4-9C91-6EEA5522726F}"/>
            </c:ext>
          </c:extLst>
        </c:ser>
        <c:ser>
          <c:idx val="1"/>
          <c:order val="1"/>
          <c:tx>
            <c:strRef>
              <c:f>'BFAP verification'!$B$36</c:f>
              <c:strCache>
                <c:ptCount val="1"/>
                <c:pt idx="0">
                  <c:v>Sheep meat domestic Use (BFAP)</c:v>
                </c:pt>
              </c:strCache>
            </c:strRef>
          </c:tx>
          <c:spPr>
            <a:ln w="28575" cap="rnd">
              <a:solidFill>
                <a:schemeClr val="accent2"/>
              </a:solidFill>
              <a:round/>
            </a:ln>
            <a:effectLst/>
          </c:spPr>
          <c:marker>
            <c:symbol val="none"/>
          </c:marker>
          <c:cat>
            <c:numRef>
              <c:f>'BFAP verification'!$C$34:$BA$34</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verification'!$C$36:$BA$36</c:f>
              <c:numCache>
                <c:formatCode>0.00</c:formatCode>
                <c:ptCount val="51"/>
                <c:pt idx="0">
                  <c:v>147.50101899999999</c:v>
                </c:pt>
                <c:pt idx="1">
                  <c:v>147.50101899999999</c:v>
                </c:pt>
                <c:pt idx="2">
                  <c:v>147.50101899999999</c:v>
                </c:pt>
                <c:pt idx="3">
                  <c:v>156</c:v>
                </c:pt>
                <c:pt idx="4">
                  <c:v>163</c:v>
                </c:pt>
                <c:pt idx="5">
                  <c:v>150</c:v>
                </c:pt>
                <c:pt idx="6">
                  <c:v>177</c:v>
                </c:pt>
                <c:pt idx="7">
                  <c:v>165.63170600000001</c:v>
                </c:pt>
                <c:pt idx="8">
                  <c:v>153.94826544161907</c:v>
                </c:pt>
                <c:pt idx="9">
                  <c:v>149.24819605928383</c:v>
                </c:pt>
                <c:pt idx="10">
                  <c:v>149.24372390165519</c:v>
                </c:pt>
                <c:pt idx="11">
                  <c:v>116.67851844820828</c:v>
                </c:pt>
                <c:pt idx="12">
                  <c:v>121.76574443406494</c:v>
                </c:pt>
                <c:pt idx="13">
                  <c:v>134.49960982337811</c:v>
                </c:pt>
                <c:pt idx="14">
                  <c:v>134.87990262391565</c:v>
                </c:pt>
                <c:pt idx="15">
                  <c:v>138.20716425710361</c:v>
                </c:pt>
                <c:pt idx="16">
                  <c:v>140.54831762918488</c:v>
                </c:pt>
                <c:pt idx="17">
                  <c:v>142.52537151325211</c:v>
                </c:pt>
                <c:pt idx="18">
                  <c:v>143.33699921198837</c:v>
                </c:pt>
                <c:pt idx="19">
                  <c:v>145.00011855243841</c:v>
                </c:pt>
                <c:pt idx="20">
                  <c:v>146.72189410939382</c:v>
                </c:pt>
                <c:pt idx="21">
                  <c:v>148.14351293952492</c:v>
                </c:pt>
                <c:pt idx="22">
                  <c:v>149.6242507758528</c:v>
                </c:pt>
                <c:pt idx="23">
                  <c:v>151.3117511608838</c:v>
                </c:pt>
                <c:pt idx="24">
                  <c:v>153.36736842443659</c:v>
                </c:pt>
              </c:numCache>
            </c:numRef>
          </c:val>
          <c:smooth val="0"/>
          <c:extLst>
            <c:ext xmlns:c16="http://schemas.microsoft.com/office/drawing/2014/chart" uri="{C3380CC4-5D6E-409C-BE32-E72D297353CC}">
              <c16:uniqueId val="{00000001-DF71-4BF4-9C91-6EEA5522726F}"/>
            </c:ext>
          </c:extLst>
        </c:ser>
        <c:ser>
          <c:idx val="2"/>
          <c:order val="2"/>
          <c:tx>
            <c:strRef>
              <c:f>'BFAP verification'!$B$37</c:f>
              <c:strCache>
                <c:ptCount val="1"/>
                <c:pt idx="0">
                  <c:v>Sheep meat production (model)</c:v>
                </c:pt>
              </c:strCache>
            </c:strRef>
          </c:tx>
          <c:spPr>
            <a:ln w="28575" cap="rnd">
              <a:solidFill>
                <a:schemeClr val="accent3"/>
              </a:solidFill>
              <a:round/>
            </a:ln>
            <a:effectLst/>
          </c:spPr>
          <c:marker>
            <c:symbol val="none"/>
          </c:marker>
          <c:cat>
            <c:numRef>
              <c:f>'BFAP verification'!$C$34:$BA$34</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verification'!$C$37:$BA$37</c:f>
              <c:numCache>
                <c:formatCode>General</c:formatCode>
                <c:ptCount val="51"/>
                <c:pt idx="0">
                  <c:v>98.52</c:v>
                </c:pt>
                <c:pt idx="1">
                  <c:v>95.86</c:v>
                </c:pt>
                <c:pt idx="2">
                  <c:v>96.34</c:v>
                </c:pt>
                <c:pt idx="3">
                  <c:v>105.64</c:v>
                </c:pt>
                <c:pt idx="4">
                  <c:v>111.12</c:v>
                </c:pt>
                <c:pt idx="5">
                  <c:v>124.52</c:v>
                </c:pt>
                <c:pt idx="6">
                  <c:v>124.74</c:v>
                </c:pt>
                <c:pt idx="7">
                  <c:v>148.52000000000001</c:v>
                </c:pt>
                <c:pt idx="8">
                  <c:v>149.26</c:v>
                </c:pt>
                <c:pt idx="9">
                  <c:v>151.30000000000001</c:v>
                </c:pt>
                <c:pt idx="10">
                  <c:v>153.46</c:v>
                </c:pt>
                <c:pt idx="11">
                  <c:v>139.5</c:v>
                </c:pt>
                <c:pt idx="12">
                  <c:v>149.23118193635793</c:v>
                </c:pt>
                <c:pt idx="13">
                  <c:v>151.34364427064304</c:v>
                </c:pt>
                <c:pt idx="14">
                  <c:v>153.43204110612098</c:v>
                </c:pt>
                <c:pt idx="15">
                  <c:v>155.49335541667639</c:v>
                </c:pt>
                <c:pt idx="16">
                  <c:v>157.69456973321326</c:v>
                </c:pt>
                <c:pt idx="17">
                  <c:v>159.92734605686641</c:v>
                </c:pt>
                <c:pt idx="18">
                  <c:v>162.14731906693837</c:v>
                </c:pt>
                <c:pt idx="19">
                  <c:v>164.35527065707211</c:v>
                </c:pt>
                <c:pt idx="20">
                  <c:v>165.89451848923338</c:v>
                </c:pt>
                <c:pt idx="21">
                  <c:v>168.23125327137188</c:v>
                </c:pt>
                <c:pt idx="22">
                  <c:v>170.56119047436249</c:v>
                </c:pt>
                <c:pt idx="23">
                  <c:v>172.89265353890107</c:v>
                </c:pt>
                <c:pt idx="24">
                  <c:v>175.21826486985248</c:v>
                </c:pt>
                <c:pt idx="25">
                  <c:v>177.55066364910397</c:v>
                </c:pt>
                <c:pt idx="26">
                  <c:v>180.09479075573552</c:v>
                </c:pt>
                <c:pt idx="27">
                  <c:v>182.63711820816141</c:v>
                </c:pt>
                <c:pt idx="28">
                  <c:v>185.18863304077601</c:v>
                </c:pt>
                <c:pt idx="29">
                  <c:v>187.746969830485</c:v>
                </c:pt>
                <c:pt idx="30">
                  <c:v>190.31275123478429</c:v>
                </c:pt>
                <c:pt idx="31">
                  <c:v>192.8425554418701</c:v>
                </c:pt>
                <c:pt idx="32">
                  <c:v>195.36012050567675</c:v>
                </c:pt>
                <c:pt idx="33">
                  <c:v>197.90529087108877</c:v>
                </c:pt>
                <c:pt idx="34">
                  <c:v>200.46975968239698</c:v>
                </c:pt>
                <c:pt idx="35">
                  <c:v>203.05457149598737</c:v>
                </c:pt>
                <c:pt idx="36">
                  <c:v>205.7378871506202</c:v>
                </c:pt>
                <c:pt idx="37">
                  <c:v>208.43519532451444</c:v>
                </c:pt>
                <c:pt idx="38">
                  <c:v>211.13770162243131</c:v>
                </c:pt>
                <c:pt idx="39">
                  <c:v>213.85433244039191</c:v>
                </c:pt>
                <c:pt idx="40">
                  <c:v>216.59299161809534</c:v>
                </c:pt>
                <c:pt idx="41">
                  <c:v>219.68097668317074</c:v>
                </c:pt>
                <c:pt idx="42">
                  <c:v>222.78587217146429</c:v>
                </c:pt>
                <c:pt idx="43">
                  <c:v>225.90671417382566</c:v>
                </c:pt>
                <c:pt idx="44">
                  <c:v>229.04588210068238</c:v>
                </c:pt>
                <c:pt idx="45">
                  <c:v>232.21280984952128</c:v>
                </c:pt>
                <c:pt idx="46">
                  <c:v>235.30832004103999</c:v>
                </c:pt>
                <c:pt idx="47">
                  <c:v>238.4277655295883</c:v>
                </c:pt>
                <c:pt idx="48">
                  <c:v>241.55321319584448</c:v>
                </c:pt>
                <c:pt idx="49">
                  <c:v>244.7047654194059</c:v>
                </c:pt>
                <c:pt idx="50">
                  <c:v>247.88460063232409</c:v>
                </c:pt>
              </c:numCache>
            </c:numRef>
          </c:val>
          <c:smooth val="0"/>
          <c:extLst>
            <c:ext xmlns:c16="http://schemas.microsoft.com/office/drawing/2014/chart" uri="{C3380CC4-5D6E-409C-BE32-E72D297353CC}">
              <c16:uniqueId val="{00000002-DF71-4BF4-9C91-6EEA5522726F}"/>
            </c:ext>
          </c:extLst>
        </c:ser>
        <c:ser>
          <c:idx val="3"/>
          <c:order val="3"/>
          <c:tx>
            <c:strRef>
              <c:f>'BFAP verification'!$B$38</c:f>
              <c:strCache>
                <c:ptCount val="1"/>
                <c:pt idx="0">
                  <c:v>Sheep meat domestic Use (model)</c:v>
                </c:pt>
              </c:strCache>
            </c:strRef>
          </c:tx>
          <c:spPr>
            <a:ln w="28575" cap="rnd">
              <a:solidFill>
                <a:schemeClr val="accent4"/>
              </a:solidFill>
              <a:round/>
            </a:ln>
            <a:effectLst/>
          </c:spPr>
          <c:marker>
            <c:symbol val="none"/>
          </c:marker>
          <c:cat>
            <c:numRef>
              <c:f>'BFAP verification'!$C$34:$BA$34</c:f>
              <c:numCache>
                <c:formatCode>0_ ;\-0\ </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'BFAP verification'!$C$38:$BA$38</c:f>
              <c:numCache>
                <c:formatCode>General</c:formatCode>
                <c:ptCount val="51"/>
                <c:pt idx="0">
                  <c:v>153.22</c:v>
                </c:pt>
                <c:pt idx="1">
                  <c:v>149.46</c:v>
                </c:pt>
                <c:pt idx="2">
                  <c:v>137.24</c:v>
                </c:pt>
                <c:pt idx="3">
                  <c:v>137.24</c:v>
                </c:pt>
                <c:pt idx="4">
                  <c:v>143.82</c:v>
                </c:pt>
                <c:pt idx="5">
                  <c:v>157.91999999999999</c:v>
                </c:pt>
                <c:pt idx="6">
                  <c:v>165.44</c:v>
                </c:pt>
                <c:pt idx="7">
                  <c:v>190.82</c:v>
                </c:pt>
                <c:pt idx="8">
                  <c:v>177.66</c:v>
                </c:pt>
                <c:pt idx="9">
                  <c:v>169.2</c:v>
                </c:pt>
                <c:pt idx="10">
                  <c:v>163.56</c:v>
                </c:pt>
                <c:pt idx="11">
                  <c:v>145.69999999999999</c:v>
                </c:pt>
                <c:pt idx="12">
                  <c:v>171.08763791127166</c:v>
                </c:pt>
                <c:pt idx="13">
                  <c:v>172.73330389094639</c:v>
                </c:pt>
                <c:pt idx="14">
                  <c:v>174.36022218834145</c:v>
                </c:pt>
                <c:pt idx="15">
                  <c:v>175.96604245753255</c:v>
                </c:pt>
                <c:pt idx="16">
                  <c:v>177.68084866065644</c:v>
                </c:pt>
                <c:pt idx="17">
                  <c:v>179.42024253122344</c:v>
                </c:pt>
                <c:pt idx="18">
                  <c:v>181.14966227006477</c:v>
                </c:pt>
                <c:pt idx="19">
                  <c:v>182.8697169937299</c:v>
                </c:pt>
                <c:pt idx="20">
                  <c:v>184.06883318650836</c:v>
                </c:pt>
                <c:pt idx="21">
                  <c:v>185.88921354173462</c:v>
                </c:pt>
                <c:pt idx="22">
                  <c:v>187.70429839674469</c:v>
                </c:pt>
                <c:pt idx="23">
                  <c:v>189.52057193966573</c:v>
                </c:pt>
                <c:pt idx="24">
                  <c:v>191.33228682195167</c:v>
                </c:pt>
                <c:pt idx="25">
                  <c:v>193.149289312246</c:v>
                </c:pt>
                <c:pt idx="26">
                  <c:v>195.13123396489169</c:v>
                </c:pt>
                <c:pt idx="27">
                  <c:v>197.11177663765196</c:v>
                </c:pt>
                <c:pt idx="28">
                  <c:v>199.09947653105164</c:v>
                </c:pt>
                <c:pt idx="29">
                  <c:v>201.09249091575501</c:v>
                </c:pt>
                <c:pt idx="30">
                  <c:v>203.09130485899453</c:v>
                </c:pt>
                <c:pt idx="31">
                  <c:v>205.06209158085483</c:v>
                </c:pt>
                <c:pt idx="32">
                  <c:v>207.02334367509692</c:v>
                </c:pt>
                <c:pt idx="33">
                  <c:v>209.00610105488818</c:v>
                </c:pt>
                <c:pt idx="34">
                  <c:v>211.00389245226</c:v>
                </c:pt>
                <c:pt idx="35">
                  <c:v>213.01753160522819</c:v>
                </c:pt>
                <c:pt idx="36">
                  <c:v>215.10790794656643</c:v>
                </c:pt>
                <c:pt idx="37">
                  <c:v>217.20918484340564</c:v>
                </c:pt>
                <c:pt idx="38">
                  <c:v>219.31451122113896</c:v>
                </c:pt>
                <c:pt idx="39">
                  <c:v>221.43084098659563</c:v>
                </c:pt>
                <c:pt idx="40">
                  <c:v>223.56433144724127</c:v>
                </c:pt>
                <c:pt idx="41">
                  <c:v>225.96995633572385</c:v>
                </c:pt>
                <c:pt idx="42">
                  <c:v>228.38875490675701</c:v>
                </c:pt>
                <c:pt idx="43">
                  <c:v>230.81997624872903</c:v>
                </c:pt>
                <c:pt idx="44">
                  <c:v>233.26547398749105</c:v>
                </c:pt>
                <c:pt idx="45">
                  <c:v>235.73259738740521</c:v>
                </c:pt>
                <c:pt idx="46">
                  <c:v>238.1440845553611</c:v>
                </c:pt>
                <c:pt idx="47">
                  <c:v>240.57421797484812</c:v>
                </c:pt>
                <c:pt idx="48">
                  <c:v>243.0090272550581</c:v>
                </c:pt>
                <c:pt idx="49">
                  <c:v>245.46417269992992</c:v>
                </c:pt>
                <c:pt idx="50">
                  <c:v>247.94135136765851</c:v>
                </c:pt>
              </c:numCache>
            </c:numRef>
          </c:val>
          <c:smooth val="0"/>
          <c:extLst>
            <c:ext xmlns:c16="http://schemas.microsoft.com/office/drawing/2014/chart" uri="{C3380CC4-5D6E-409C-BE32-E72D297353CC}">
              <c16:uniqueId val="{00000003-DF71-4BF4-9C91-6EEA5522726F}"/>
            </c:ext>
          </c:extLst>
        </c:ser>
        <c:dLbls>
          <c:showLegendKey val="0"/>
          <c:showVal val="0"/>
          <c:showCatName val="0"/>
          <c:showSerName val="0"/>
          <c:showPercent val="0"/>
          <c:showBubbleSize val="0"/>
        </c:dLbls>
        <c:smooth val="0"/>
        <c:axId val="1923059263"/>
        <c:axId val="1923059679"/>
      </c:lineChart>
      <c:catAx>
        <c:axId val="1923059263"/>
        <c:scaling>
          <c:orientation val="minMax"/>
        </c:scaling>
        <c:delete val="0"/>
        <c:axPos val="b"/>
        <c:numFmt formatCode="0_ ;\-0\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059679"/>
        <c:crosses val="autoZero"/>
        <c:auto val="1"/>
        <c:lblAlgn val="ctr"/>
        <c:lblOffset val="100"/>
        <c:noMultiLvlLbl val="0"/>
      </c:catAx>
      <c:valAx>
        <c:axId val="19230596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0592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889070087259185"/>
          <c:y val="2.8534365118546297E-2"/>
          <c:w val="0.87256215847825824"/>
          <c:h val="0.8331301340665801"/>
        </c:manualLayout>
      </c:layout>
      <c:areaChart>
        <c:grouping val="stacked"/>
        <c:varyColors val="0"/>
        <c:ser>
          <c:idx val="8"/>
          <c:order val="6"/>
          <c:tx>
            <c:strRef>
              <c:f>'Activity data'!$D$11:$F$11</c:f>
              <c:strCache>
                <c:ptCount val="3"/>
                <c:pt idx="0">
                  <c:v>Commercial</c:v>
                </c:pt>
                <c:pt idx="1">
                  <c:v>Population</c:v>
                </c:pt>
                <c:pt idx="2">
                  <c:v>Head</c:v>
                </c:pt>
              </c:strCache>
              <c:extLst xmlns:c15="http://schemas.microsoft.com/office/drawing/2012/chart"/>
            </c:strRef>
          </c:tx>
          <c:spPr>
            <a:solidFill>
              <a:schemeClr val="accent3">
                <a:lumMod val="60000"/>
              </a:schemeClr>
            </a:solidFill>
            <a:ln>
              <a:noFill/>
            </a:ln>
            <a:effectLst/>
          </c:spPr>
          <c:cat>
            <c:numRef>
              <c:f>'Activity data'!$H$3:$BP$3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extLst xmlns:c15="http://schemas.microsoft.com/office/drawing/2012/chart"/>
            </c:numRef>
          </c:cat>
          <c:val>
            <c:numRef>
              <c:f>'Activity data'!$H$11:$BP$11</c:f>
              <c:numCache>
                <c:formatCode>#,##0</c:formatCode>
                <c:ptCount val="61"/>
                <c:pt idx="0">
                  <c:v>29979000</c:v>
                </c:pt>
                <c:pt idx="1">
                  <c:v>28631000</c:v>
                </c:pt>
                <c:pt idx="2">
                  <c:v>27448000</c:v>
                </c:pt>
                <c:pt idx="3">
                  <c:v>25670000</c:v>
                </c:pt>
                <c:pt idx="4">
                  <c:v>25851000</c:v>
                </c:pt>
                <c:pt idx="5">
                  <c:v>25481000</c:v>
                </c:pt>
                <c:pt idx="6">
                  <c:v>25566000</c:v>
                </c:pt>
                <c:pt idx="7">
                  <c:v>25010000</c:v>
                </c:pt>
                <c:pt idx="8">
                  <c:v>25079000</c:v>
                </c:pt>
                <c:pt idx="9">
                  <c:v>24463000</c:v>
                </c:pt>
                <c:pt idx="10">
                  <c:v>23586000</c:v>
                </c:pt>
                <c:pt idx="11">
                  <c:v>22998000</c:v>
                </c:pt>
                <c:pt idx="12">
                  <c:v>22614000</c:v>
                </c:pt>
                <c:pt idx="13">
                  <c:v>22693000</c:v>
                </c:pt>
                <c:pt idx="14">
                  <c:v>22289000</c:v>
                </c:pt>
                <c:pt idx="15">
                  <c:v>22236000</c:v>
                </c:pt>
                <c:pt idx="16">
                  <c:v>21945000</c:v>
                </c:pt>
                <c:pt idx="17">
                  <c:v>21924000</c:v>
                </c:pt>
                <c:pt idx="18">
                  <c:v>21995000</c:v>
                </c:pt>
                <c:pt idx="19">
                  <c:v>21917000</c:v>
                </c:pt>
                <c:pt idx="20">
                  <c:v>21493000</c:v>
                </c:pt>
                <c:pt idx="21">
                  <c:v>21325000</c:v>
                </c:pt>
                <c:pt idx="22">
                  <c:v>21894090.783376001</c:v>
                </c:pt>
                <c:pt idx="23">
                  <c:v>21821808.641288169</c:v>
                </c:pt>
                <c:pt idx="24">
                  <c:v>21751334.952942625</c:v>
                </c:pt>
                <c:pt idx="25">
                  <c:v>21682709.607224584</c:v>
                </c:pt>
                <c:pt idx="26">
                  <c:v>21610423.978160605</c:v>
                </c:pt>
                <c:pt idx="27">
                  <c:v>21538125.458417311</c:v>
                </c:pt>
                <c:pt idx="28">
                  <c:v>21467235.372494191</c:v>
                </c:pt>
                <c:pt idx="29">
                  <c:v>21397685.388965756</c:v>
                </c:pt>
                <c:pt idx="30">
                  <c:v>21349749.957499683</c:v>
                </c:pt>
                <c:pt idx="31">
                  <c:v>21277822.613607503</c:v>
                </c:pt>
                <c:pt idx="32">
                  <c:v>21207092.420836829</c:v>
                </c:pt>
                <c:pt idx="33">
                  <c:v>21137276.52362217</c:v>
                </c:pt>
                <c:pt idx="34">
                  <c:v>21068567.552506909</c:v>
                </c:pt>
                <c:pt idx="35">
                  <c:v>21000567.961241446</c:v>
                </c:pt>
                <c:pt idx="36">
                  <c:v>20927406.745179571</c:v>
                </c:pt>
                <c:pt idx="37">
                  <c:v>20855322.503930852</c:v>
                </c:pt>
                <c:pt idx="38">
                  <c:v>20783979.658443406</c:v>
                </c:pt>
                <c:pt idx="39">
                  <c:v>20713426.221102342</c:v>
                </c:pt>
                <c:pt idx="40">
                  <c:v>20643626.545227177</c:v>
                </c:pt>
                <c:pt idx="41">
                  <c:v>20575720.901448011</c:v>
                </c:pt>
                <c:pt idx="42">
                  <c:v>20575720.901448011</c:v>
                </c:pt>
                <c:pt idx="43">
                  <c:v>20575720.901448011</c:v>
                </c:pt>
                <c:pt idx="44">
                  <c:v>20575720.901448011</c:v>
                </c:pt>
                <c:pt idx="45">
                  <c:v>20575720.901448011</c:v>
                </c:pt>
                <c:pt idx="46">
                  <c:v>20575720.901448011</c:v>
                </c:pt>
                <c:pt idx="47">
                  <c:v>20575720.901448011</c:v>
                </c:pt>
                <c:pt idx="48">
                  <c:v>20575720.901448011</c:v>
                </c:pt>
                <c:pt idx="49">
                  <c:v>20575720.901448011</c:v>
                </c:pt>
                <c:pt idx="50">
                  <c:v>20575720.901448011</c:v>
                </c:pt>
                <c:pt idx="51">
                  <c:v>20575720.901448011</c:v>
                </c:pt>
                <c:pt idx="52">
                  <c:v>20575720.901448011</c:v>
                </c:pt>
                <c:pt idx="53">
                  <c:v>20575720.901448011</c:v>
                </c:pt>
                <c:pt idx="54">
                  <c:v>20575720.901448011</c:v>
                </c:pt>
                <c:pt idx="55">
                  <c:v>20575720.901448011</c:v>
                </c:pt>
                <c:pt idx="56">
                  <c:v>20575720.901448011</c:v>
                </c:pt>
                <c:pt idx="57">
                  <c:v>20575720.901448011</c:v>
                </c:pt>
                <c:pt idx="58">
                  <c:v>20575720.901448011</c:v>
                </c:pt>
                <c:pt idx="59">
                  <c:v>20575720.901448011</c:v>
                </c:pt>
                <c:pt idx="60">
                  <c:v>20575720.901448011</c:v>
                </c:pt>
              </c:numCache>
            </c:numRef>
          </c:val>
          <c:extLst xmlns:c15="http://schemas.microsoft.com/office/drawing/2012/chart">
            <c:ext xmlns:c16="http://schemas.microsoft.com/office/drawing/2014/chart" uri="{C3380CC4-5D6E-409C-BE32-E72D297353CC}">
              <c16:uniqueId val="{00000008-3B16-45B8-89BE-5AE640BDA9C0}"/>
            </c:ext>
          </c:extLst>
        </c:ser>
        <c:ser>
          <c:idx val="9"/>
          <c:order val="7"/>
          <c:tx>
            <c:strRef>
              <c:f>'Activity data'!$D$12:$F$12</c:f>
              <c:strCache>
                <c:ptCount val="3"/>
                <c:pt idx="0">
                  <c:v>Subsistence</c:v>
                </c:pt>
                <c:pt idx="1">
                  <c:v>Population</c:v>
                </c:pt>
                <c:pt idx="2">
                  <c:v>Head</c:v>
                </c:pt>
              </c:strCache>
              <c:extLst xmlns:c15="http://schemas.microsoft.com/office/drawing/2012/chart"/>
            </c:strRef>
          </c:tx>
          <c:spPr>
            <a:solidFill>
              <a:schemeClr val="accent4">
                <a:lumMod val="60000"/>
              </a:schemeClr>
            </a:solidFill>
            <a:ln>
              <a:noFill/>
            </a:ln>
            <a:effectLst/>
          </c:spPr>
          <c:cat>
            <c:numRef>
              <c:f>'Activity data'!$H$3:$BP$3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extLst xmlns:c15="http://schemas.microsoft.com/office/drawing/2012/chart"/>
            </c:numRef>
          </c:cat>
          <c:val>
            <c:numRef>
              <c:f>'Activity data'!$H$12:$BP$12</c:f>
              <c:numCache>
                <c:formatCode>#,##0</c:formatCode>
                <c:ptCount val="61"/>
                <c:pt idx="0">
                  <c:v>4183862.7657327019</c:v>
                </c:pt>
                <c:pt idx="1">
                  <c:v>3995736.1768468926</c:v>
                </c:pt>
                <c:pt idx="2">
                  <c:v>3830636.9523276691</c:v>
                </c:pt>
                <c:pt idx="3">
                  <c:v>3582499.6563046952</c:v>
                </c:pt>
                <c:pt idx="4">
                  <c:v>3607759.9772159201</c:v>
                </c:pt>
                <c:pt idx="5">
                  <c:v>3556122.8571211509</c:v>
                </c:pt>
                <c:pt idx="6">
                  <c:v>3567985.4387645437</c:v>
                </c:pt>
                <c:pt idx="7">
                  <c:v>3490390.1988383494</c:v>
                </c:pt>
                <c:pt idx="8">
                  <c:v>3500019.8239371148</c:v>
                </c:pt>
                <c:pt idx="9">
                  <c:v>3414050.996968525</c:v>
                </c:pt>
                <c:pt idx="10">
                  <c:v>3291657.0663655167</c:v>
                </c:pt>
                <c:pt idx="11">
                  <c:v>3209595.9133500443</c:v>
                </c:pt>
                <c:pt idx="12">
                  <c:v>3156004.9562787157</c:v>
                </c:pt>
                <c:pt idx="13">
                  <c:v>3167030.1792178694</c:v>
                </c:pt>
                <c:pt idx="14">
                  <c:v>3110648.0264657419</c:v>
                </c:pt>
                <c:pt idx="15">
                  <c:v>3103251.3579116268</c:v>
                </c:pt>
                <c:pt idx="16">
                  <c:v>3062639.4607560104</c:v>
                </c:pt>
                <c:pt idx="17">
                  <c:v>3059708.705291172</c:v>
                </c:pt>
                <c:pt idx="18">
                  <c:v>3069617.4499580064</c:v>
                </c:pt>
                <c:pt idx="19">
                  <c:v>3058731.7868028926</c:v>
                </c:pt>
                <c:pt idx="20">
                  <c:v>2999558.4383699675</c:v>
                </c:pt>
                <c:pt idx="21">
                  <c:v>2976112.3946512612</c:v>
                </c:pt>
                <c:pt idx="22">
                  <c:v>3065172.7096726405</c:v>
                </c:pt>
                <c:pt idx="23">
                  <c:v>3055053.2097803438</c:v>
                </c:pt>
                <c:pt idx="24">
                  <c:v>3045186.8934119679</c:v>
                </c:pt>
                <c:pt idx="25">
                  <c:v>3035579.345011442</c:v>
                </c:pt>
                <c:pt idx="26">
                  <c:v>3025459.3569424851</c:v>
                </c:pt>
                <c:pt idx="27">
                  <c:v>3015337.564178424</c:v>
                </c:pt>
                <c:pt idx="28">
                  <c:v>3005412.9521491872</c:v>
                </c:pt>
                <c:pt idx="29">
                  <c:v>2995675.9544552062</c:v>
                </c:pt>
                <c:pt idx="30">
                  <c:v>2988964.9940499561</c:v>
                </c:pt>
                <c:pt idx="31">
                  <c:v>2978895.1659050509</c:v>
                </c:pt>
                <c:pt idx="32">
                  <c:v>2968992.9389171563</c:v>
                </c:pt>
                <c:pt idx="33">
                  <c:v>2959218.7133071041</c:v>
                </c:pt>
                <c:pt idx="34">
                  <c:v>2949599.4573509675</c:v>
                </c:pt>
                <c:pt idx="35">
                  <c:v>2940079.5145738027</c:v>
                </c:pt>
                <c:pt idx="36">
                  <c:v>2929836.9443251402</c:v>
                </c:pt>
                <c:pt idx="37">
                  <c:v>2919745.1505503193</c:v>
                </c:pt>
                <c:pt idx="38">
                  <c:v>2909757.1521820771</c:v>
                </c:pt>
                <c:pt idx="39">
                  <c:v>2899879.670954328</c:v>
                </c:pt>
                <c:pt idx="40">
                  <c:v>2890107.7163318051</c:v>
                </c:pt>
                <c:pt idx="41">
                  <c:v>2880600.9262027219</c:v>
                </c:pt>
                <c:pt idx="42">
                  <c:v>2880600.9262027219</c:v>
                </c:pt>
                <c:pt idx="43">
                  <c:v>2880600.9262027219</c:v>
                </c:pt>
                <c:pt idx="44">
                  <c:v>2880600.9262027219</c:v>
                </c:pt>
                <c:pt idx="45">
                  <c:v>2880600.9262027219</c:v>
                </c:pt>
                <c:pt idx="46">
                  <c:v>2880600.9262027219</c:v>
                </c:pt>
                <c:pt idx="47">
                  <c:v>2880600.9262027219</c:v>
                </c:pt>
                <c:pt idx="48">
                  <c:v>2880600.9262027219</c:v>
                </c:pt>
                <c:pt idx="49">
                  <c:v>2880600.9262027219</c:v>
                </c:pt>
                <c:pt idx="50">
                  <c:v>2880600.9262027219</c:v>
                </c:pt>
                <c:pt idx="51">
                  <c:v>2880600.9262027219</c:v>
                </c:pt>
                <c:pt idx="52">
                  <c:v>2880600.9262027219</c:v>
                </c:pt>
                <c:pt idx="53">
                  <c:v>2880600.9262027219</c:v>
                </c:pt>
                <c:pt idx="54">
                  <c:v>2880600.9262027219</c:v>
                </c:pt>
                <c:pt idx="55">
                  <c:v>2880600.9262027219</c:v>
                </c:pt>
                <c:pt idx="56">
                  <c:v>2880600.9262027219</c:v>
                </c:pt>
                <c:pt idx="57">
                  <c:v>2880600.9262027219</c:v>
                </c:pt>
                <c:pt idx="58">
                  <c:v>2880600.9262027219</c:v>
                </c:pt>
                <c:pt idx="59">
                  <c:v>2880600.9262027219</c:v>
                </c:pt>
                <c:pt idx="60">
                  <c:v>2880600.9262027219</c:v>
                </c:pt>
              </c:numCache>
            </c:numRef>
          </c:val>
          <c:extLst xmlns:c15="http://schemas.microsoft.com/office/drawing/2012/chart">
            <c:ext xmlns:c16="http://schemas.microsoft.com/office/drawing/2014/chart" uri="{C3380CC4-5D6E-409C-BE32-E72D297353CC}">
              <c16:uniqueId val="{00000009-3B16-45B8-89BE-5AE640BDA9C0}"/>
            </c:ext>
          </c:extLst>
        </c:ser>
        <c:dLbls>
          <c:showLegendKey val="0"/>
          <c:showVal val="0"/>
          <c:showCatName val="0"/>
          <c:showSerName val="0"/>
          <c:showPercent val="0"/>
          <c:showBubbleSize val="0"/>
        </c:dLbls>
        <c:axId val="789136943"/>
        <c:axId val="789159823"/>
        <c:extLst>
          <c:ext xmlns:c15="http://schemas.microsoft.com/office/drawing/2012/chart" uri="{02D57815-91ED-43cb-92C2-25804820EDAC}">
            <c15:filteredAreaSeries>
              <c15:ser>
                <c:idx val="2"/>
                <c:order val="0"/>
                <c:tx>
                  <c:strRef>
                    <c:extLst>
                      <c:ext uri="{02D57815-91ED-43cb-92C2-25804820EDAC}">
                        <c15:formulaRef>
                          <c15:sqref>'Activity data'!$D$5:$F$5</c15:sqref>
                        </c15:formulaRef>
                      </c:ext>
                    </c:extLst>
                    <c:strCache>
                      <c:ptCount val="3"/>
                      <c:pt idx="0">
                        <c:v>TMR</c:v>
                      </c:pt>
                      <c:pt idx="1">
                        <c:v>Population</c:v>
                      </c:pt>
                      <c:pt idx="2">
                        <c:v>Head</c:v>
                      </c:pt>
                    </c:strCache>
                  </c:strRef>
                </c:tx>
                <c:spPr>
                  <a:solidFill>
                    <a:schemeClr val="accent3"/>
                  </a:solidFill>
                  <a:ln>
                    <a:noFill/>
                  </a:ln>
                  <a:effectLst/>
                </c:spPr>
                <c:cat>
                  <c:numRef>
                    <c:extLst>
                      <c:ex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c:ext uri="{02D57815-91ED-43cb-92C2-25804820EDAC}">
                        <c15:formulaRef>
                          <c15:sqref>'Activity data'!$H$5:$BP$5</c15:sqref>
                        </c15:formulaRef>
                      </c:ext>
                    </c:extLst>
                    <c:numCache>
                      <c:formatCode>#,##0</c:formatCode>
                      <c:ptCount val="61"/>
                      <c:pt idx="0">
                        <c:v>487746.14676082286</c:v>
                      </c:pt>
                      <c:pt idx="1">
                        <c:v>561522.50537304278</c:v>
                      </c:pt>
                      <c:pt idx="2">
                        <c:v>485789.62235185754</c:v>
                      </c:pt>
                      <c:pt idx="3">
                        <c:v>515225.4221676389</c:v>
                      </c:pt>
                      <c:pt idx="4">
                        <c:v>477963.52471599629</c:v>
                      </c:pt>
                      <c:pt idx="5">
                        <c:v>511312.37334970833</c:v>
                      </c:pt>
                      <c:pt idx="6">
                        <c:v>513268.89775867364</c:v>
                      </c:pt>
                      <c:pt idx="7">
                        <c:v>494824.80810561875</c:v>
                      </c:pt>
                      <c:pt idx="8">
                        <c:v>488955.23487872281</c:v>
                      </c:pt>
                      <c:pt idx="9">
                        <c:v>480293.76727049437</c:v>
                      </c:pt>
                      <c:pt idx="10">
                        <c:v>618437.58059564023</c:v>
                      </c:pt>
                      <c:pt idx="11">
                        <c:v>616481.05618667486</c:v>
                      </c:pt>
                      <c:pt idx="12">
                        <c:v>537582.56063862459</c:v>
                      </c:pt>
                      <c:pt idx="13">
                        <c:v>488955.23487872281</c:v>
                      </c:pt>
                      <c:pt idx="14">
                        <c:v>472093.95148910041</c:v>
                      </c:pt>
                      <c:pt idx="15">
                        <c:v>505442.80012281239</c:v>
                      </c:pt>
                      <c:pt idx="16">
                        <c:v>494451.08996008604</c:v>
                      </c:pt>
                      <c:pt idx="17">
                        <c:v>490911.75928768812</c:v>
                      </c:pt>
                      <c:pt idx="18">
                        <c:v>601202.57906048512</c:v>
                      </c:pt>
                      <c:pt idx="19">
                        <c:v>616107.33804114221</c:v>
                      </c:pt>
                      <c:pt idx="20">
                        <c:v>616107.33804114221</c:v>
                      </c:pt>
                      <c:pt idx="21">
                        <c:v>593750.19957015652</c:v>
                      </c:pt>
                      <c:pt idx="22">
                        <c:v>590863.99879530224</c:v>
                      </c:pt>
                      <c:pt idx="23">
                        <c:v>596456.70830226573</c:v>
                      </c:pt>
                      <c:pt idx="24">
                        <c:v>600725.46831776027</c:v>
                      </c:pt>
                      <c:pt idx="25">
                        <c:v>603612.06126002537</c:v>
                      </c:pt>
                      <c:pt idx="26">
                        <c:v>605373.17207689781</c:v>
                      </c:pt>
                      <c:pt idx="27">
                        <c:v>608096.89391427056</c:v>
                      </c:pt>
                      <c:pt idx="28">
                        <c:v>610429.98058740806</c:v>
                      </c:pt>
                      <c:pt idx="29">
                        <c:v>612396.89536202978</c:v>
                      </c:pt>
                      <c:pt idx="30">
                        <c:v>593099.71214200149</c:v>
                      </c:pt>
                      <c:pt idx="31">
                        <c:v>598335.97473129805</c:v>
                      </c:pt>
                      <c:pt idx="32">
                        <c:v>603313.22477519745</c:v>
                      </c:pt>
                      <c:pt idx="33">
                        <c:v>608307.35430540785</c:v>
                      </c:pt>
                      <c:pt idx="34">
                        <c:v>613084.52560959442</c:v>
                      </c:pt>
                      <c:pt idx="35">
                        <c:v>618048.48448577721</c:v>
                      </c:pt>
                      <c:pt idx="36">
                        <c:v>623927.21621085366</c:v>
                      </c:pt>
                      <c:pt idx="37">
                        <c:v>629705.81713841169</c:v>
                      </c:pt>
                      <c:pt idx="38">
                        <c:v>635720.40172376076</c:v>
                      </c:pt>
                      <c:pt idx="39">
                        <c:v>641892.14395503572</c:v>
                      </c:pt>
                      <c:pt idx="40">
                        <c:v>648233.82888424199</c:v>
                      </c:pt>
                      <c:pt idx="41">
                        <c:v>655789.03242560232</c:v>
                      </c:pt>
                      <c:pt idx="42">
                        <c:v>662907.23274879844</c:v>
                      </c:pt>
                      <c:pt idx="43">
                        <c:v>670721.72495070449</c:v>
                      </c:pt>
                      <c:pt idx="44">
                        <c:v>678969.05906713952</c:v>
                      </c:pt>
                      <c:pt idx="45">
                        <c:v>687653.11091648589</c:v>
                      </c:pt>
                      <c:pt idx="46">
                        <c:v>696468.00758680014</c:v>
                      </c:pt>
                      <c:pt idx="47">
                        <c:v>705522.46287937672</c:v>
                      </c:pt>
                      <c:pt idx="48">
                        <c:v>714581.66505592305</c:v>
                      </c:pt>
                      <c:pt idx="49">
                        <c:v>723865.74885645323</c:v>
                      </c:pt>
                      <c:pt idx="50">
                        <c:v>733551.94185622782</c:v>
                      </c:pt>
                      <c:pt idx="51">
                        <c:v>743535.73577490228</c:v>
                      </c:pt>
                      <c:pt idx="52">
                        <c:v>753777.55249962898</c:v>
                      </c:pt>
                      <c:pt idx="53">
                        <c:v>764240.51346809417</c:v>
                      </c:pt>
                      <c:pt idx="54">
                        <c:v>774964.08883435722</c:v>
                      </c:pt>
                      <c:pt idx="55">
                        <c:v>786135.84249457403</c:v>
                      </c:pt>
                      <c:pt idx="56">
                        <c:v>797606.33189125033</c:v>
                      </c:pt>
                      <c:pt idx="57">
                        <c:v>809387.69373042311</c:v>
                      </c:pt>
                      <c:pt idx="58">
                        <c:v>821098.84956981661</c:v>
                      </c:pt>
                      <c:pt idx="59">
                        <c:v>833138.50145553064</c:v>
                      </c:pt>
                      <c:pt idx="60">
                        <c:v>845525.11723460222</c:v>
                      </c:pt>
                    </c:numCache>
                  </c:numRef>
                </c:val>
                <c:extLst>
                  <c:ext xmlns:c16="http://schemas.microsoft.com/office/drawing/2014/chart" uri="{C3380CC4-5D6E-409C-BE32-E72D297353CC}">
                    <c16:uniqueId val="{00000002-3B16-45B8-89BE-5AE640BDA9C0}"/>
                  </c:ext>
                </c:extLst>
              </c15:ser>
            </c15:filteredAreaSeries>
            <c15:filteredAreaSeries>
              <c15:ser>
                <c:idx val="3"/>
                <c:order val="1"/>
                <c:tx>
                  <c:strRef>
                    <c:extLst xmlns:c15="http://schemas.microsoft.com/office/drawing/2012/chart">
                      <c:ext xmlns:c15="http://schemas.microsoft.com/office/drawing/2012/chart" uri="{02D57815-91ED-43cb-92C2-25804820EDAC}">
                        <c15:formulaRef>
                          <c15:sqref>'Activity data'!$D$6:$F$6</c15:sqref>
                        </c15:formulaRef>
                      </c:ext>
                    </c:extLst>
                    <c:strCache>
                      <c:ptCount val="3"/>
                      <c:pt idx="0">
                        <c:v>Pasture</c:v>
                      </c:pt>
                      <c:pt idx="1">
                        <c:v>Population</c:v>
                      </c:pt>
                      <c:pt idx="2">
                        <c:v>Head</c:v>
                      </c:pt>
                    </c:strCache>
                  </c:strRef>
                </c:tx>
                <c:spPr>
                  <a:solidFill>
                    <a:schemeClr val="accent4"/>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c:ext xmlns:c15="http://schemas.microsoft.com/office/drawing/2012/chart" uri="{02D57815-91ED-43cb-92C2-25804820EDAC}">
                        <c15:formulaRef>
                          <c15:sqref>'Activity data'!$H$6:$BP$6</c15:sqref>
                        </c15:formulaRef>
                      </c:ext>
                    </c:extLst>
                    <c:numCache>
                      <c:formatCode>#,##0</c:formatCode>
                      <c:ptCount val="61"/>
                      <c:pt idx="0">
                        <c:v>399733.85323917714</c:v>
                      </c:pt>
                      <c:pt idx="1">
                        <c:v>460197.49462695734</c:v>
                      </c:pt>
                      <c:pt idx="2">
                        <c:v>398130.37764814246</c:v>
                      </c:pt>
                      <c:pt idx="3">
                        <c:v>422254.57783236104</c:v>
                      </c:pt>
                      <c:pt idx="4">
                        <c:v>391716.47528400371</c:v>
                      </c:pt>
                      <c:pt idx="5">
                        <c:v>419047.62665029167</c:v>
                      </c:pt>
                      <c:pt idx="6">
                        <c:v>420651.10224132636</c:v>
                      </c:pt>
                      <c:pt idx="7">
                        <c:v>405535.19189438137</c:v>
                      </c:pt>
                      <c:pt idx="8">
                        <c:v>400724.76512127731</c:v>
                      </c:pt>
                      <c:pt idx="9">
                        <c:v>393626.23272950563</c:v>
                      </c:pt>
                      <c:pt idx="10">
                        <c:v>506842.41940435988</c:v>
                      </c:pt>
                      <c:pt idx="11">
                        <c:v>505238.9438133252</c:v>
                      </c:pt>
                      <c:pt idx="12">
                        <c:v>440577.43936137547</c:v>
                      </c:pt>
                      <c:pt idx="13">
                        <c:v>400724.76512127731</c:v>
                      </c:pt>
                      <c:pt idx="14">
                        <c:v>386906.04851089959</c:v>
                      </c:pt>
                      <c:pt idx="15">
                        <c:v>414237.19987718761</c:v>
                      </c:pt>
                      <c:pt idx="16">
                        <c:v>405228.91003991402</c:v>
                      </c:pt>
                      <c:pt idx="17">
                        <c:v>402328.24071231199</c:v>
                      </c:pt>
                      <c:pt idx="18">
                        <c:v>492717.42093951488</c:v>
                      </c:pt>
                      <c:pt idx="19">
                        <c:v>504932.66195885779</c:v>
                      </c:pt>
                      <c:pt idx="20">
                        <c:v>504932.66195885779</c:v>
                      </c:pt>
                      <c:pt idx="21">
                        <c:v>486609.80042984337</c:v>
                      </c:pt>
                      <c:pt idx="22">
                        <c:v>483434.18083252001</c:v>
                      </c:pt>
                      <c:pt idx="23">
                        <c:v>488010.03406549012</c:v>
                      </c:pt>
                      <c:pt idx="24">
                        <c:v>491502.65589634923</c:v>
                      </c:pt>
                      <c:pt idx="25">
                        <c:v>493864.41375820257</c:v>
                      </c:pt>
                      <c:pt idx="26">
                        <c:v>495305.32260837092</c:v>
                      </c:pt>
                      <c:pt idx="27">
                        <c:v>497533.82229349401</c:v>
                      </c:pt>
                      <c:pt idx="28">
                        <c:v>499442.71138969751</c:v>
                      </c:pt>
                      <c:pt idx="29">
                        <c:v>501052.0052962061</c:v>
                      </c:pt>
                      <c:pt idx="30">
                        <c:v>485263.40084345557</c:v>
                      </c:pt>
                      <c:pt idx="31">
                        <c:v>489547.61568924377</c:v>
                      </c:pt>
                      <c:pt idx="32">
                        <c:v>493619.91117970692</c:v>
                      </c:pt>
                      <c:pt idx="33">
                        <c:v>497706.01715896989</c:v>
                      </c:pt>
                      <c:pt idx="34">
                        <c:v>501614.61186239531</c:v>
                      </c:pt>
                      <c:pt idx="35">
                        <c:v>505676.03276109032</c:v>
                      </c:pt>
                      <c:pt idx="36">
                        <c:v>510485.90417251654</c:v>
                      </c:pt>
                      <c:pt idx="37">
                        <c:v>515213.85038597311</c:v>
                      </c:pt>
                      <c:pt idx="38">
                        <c:v>520134.87413762242</c:v>
                      </c:pt>
                      <c:pt idx="39">
                        <c:v>525184.48141775641</c:v>
                      </c:pt>
                      <c:pt idx="40">
                        <c:v>530373.13272347057</c:v>
                      </c:pt>
                      <c:pt idx="41">
                        <c:v>536554.66289367445</c:v>
                      </c:pt>
                      <c:pt idx="42">
                        <c:v>542378.64497628959</c:v>
                      </c:pt>
                      <c:pt idx="43">
                        <c:v>548772.32041421277</c:v>
                      </c:pt>
                      <c:pt idx="44">
                        <c:v>555520.13923675043</c:v>
                      </c:pt>
                      <c:pt idx="45">
                        <c:v>562625.27256803389</c:v>
                      </c:pt>
                      <c:pt idx="46">
                        <c:v>569837.46075283631</c:v>
                      </c:pt>
                      <c:pt idx="47">
                        <c:v>577245.65144676273</c:v>
                      </c:pt>
                      <c:pt idx="48">
                        <c:v>584657.72595484613</c:v>
                      </c:pt>
                      <c:pt idx="49">
                        <c:v>592253.79451891617</c:v>
                      </c:pt>
                      <c:pt idx="50">
                        <c:v>600178.86151873181</c:v>
                      </c:pt>
                      <c:pt idx="51">
                        <c:v>608347.42017946544</c:v>
                      </c:pt>
                      <c:pt idx="52">
                        <c:v>616727.08840878715</c:v>
                      </c:pt>
                      <c:pt idx="53">
                        <c:v>625287.69283753145</c:v>
                      </c:pt>
                      <c:pt idx="54">
                        <c:v>634061.52722811024</c:v>
                      </c:pt>
                      <c:pt idx="55">
                        <c:v>643202.05295010598</c:v>
                      </c:pt>
                      <c:pt idx="56">
                        <c:v>652586.99882011372</c:v>
                      </c:pt>
                      <c:pt idx="57">
                        <c:v>662226.29487034597</c:v>
                      </c:pt>
                      <c:pt idx="58">
                        <c:v>671808.14964803169</c:v>
                      </c:pt>
                      <c:pt idx="59">
                        <c:v>681658.77391816129</c:v>
                      </c:pt>
                      <c:pt idx="60">
                        <c:v>691793.27773740178</c:v>
                      </c:pt>
                    </c:numCache>
                  </c:numRef>
                </c:val>
                <c:extLst xmlns:c15="http://schemas.microsoft.com/office/drawing/2012/chart">
                  <c:ext xmlns:c16="http://schemas.microsoft.com/office/drawing/2014/chart" uri="{C3380CC4-5D6E-409C-BE32-E72D297353CC}">
                    <c16:uniqueId val="{00000003-3B16-45B8-89BE-5AE640BDA9C0}"/>
                  </c:ext>
                </c:extLst>
              </c15:ser>
            </c15:filteredAreaSeries>
            <c15:filteredAreaSeries>
              <c15:ser>
                <c:idx val="4"/>
                <c:order val="2"/>
                <c:tx>
                  <c:strRef>
                    <c:extLst xmlns:c15="http://schemas.microsoft.com/office/drawing/2012/chart">
                      <c:ext xmlns:c15="http://schemas.microsoft.com/office/drawing/2012/chart" uri="{02D57815-91ED-43cb-92C2-25804820EDAC}">
                        <c15:formulaRef>
                          <c15:sqref>'Activity data'!$D$7:$F$7</c15:sqref>
                        </c15:formulaRef>
                      </c:ext>
                    </c:extLst>
                    <c:strCache>
                      <c:ptCount val="3"/>
                      <c:pt idx="0">
                        <c:v>Non-lactating</c:v>
                      </c:pt>
                      <c:pt idx="1">
                        <c:v>Population</c:v>
                      </c:pt>
                      <c:pt idx="2">
                        <c:v>Head</c:v>
                      </c:pt>
                    </c:strCache>
                  </c:strRef>
                </c:tx>
                <c:spPr>
                  <a:solidFill>
                    <a:schemeClr val="accent5"/>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c:ext xmlns:c15="http://schemas.microsoft.com/office/drawing/2012/chart" uri="{02D57815-91ED-43cb-92C2-25804820EDAC}">
                        <c15:formulaRef>
                          <c15:sqref>'Activity data'!$H$7:$BP$7</c15:sqref>
                        </c15:formulaRef>
                      </c:ext>
                    </c:extLst>
                    <c:numCache>
                      <c:formatCode>#,##0</c:formatCode>
                      <c:ptCount val="61"/>
                      <c:pt idx="0">
                        <c:v>585792.9</c:v>
                      </c:pt>
                      <c:pt idx="1">
                        <c:v>665847.14000000013</c:v>
                      </c:pt>
                      <c:pt idx="2">
                        <c:v>575959.50999999989</c:v>
                      </c:pt>
                      <c:pt idx="3">
                        <c:v>602759.85000000009</c:v>
                      </c:pt>
                      <c:pt idx="4">
                        <c:v>536625.95000000007</c:v>
                      </c:pt>
                      <c:pt idx="5">
                        <c:v>583093.06999999995</c:v>
                      </c:pt>
                      <c:pt idx="6">
                        <c:v>592926.46</c:v>
                      </c:pt>
                      <c:pt idx="7">
                        <c:v>572912.89999999991</c:v>
                      </c:pt>
                      <c:pt idx="8">
                        <c:v>543412.73</c:v>
                      </c:pt>
                      <c:pt idx="9">
                        <c:v>572566.12</c:v>
                      </c:pt>
                      <c:pt idx="10">
                        <c:v>709614.43</c:v>
                      </c:pt>
                      <c:pt idx="11">
                        <c:v>699781.04</c:v>
                      </c:pt>
                      <c:pt idx="12">
                        <c:v>642440.19000000006</c:v>
                      </c:pt>
                      <c:pt idx="13">
                        <c:v>543412.73</c:v>
                      </c:pt>
                      <c:pt idx="14">
                        <c:v>507125.77999999997</c:v>
                      </c:pt>
                      <c:pt idx="15">
                        <c:v>553592.9</c:v>
                      </c:pt>
                      <c:pt idx="16">
                        <c:v>546806.12</c:v>
                      </c:pt>
                      <c:pt idx="17">
                        <c:v>553246.12</c:v>
                      </c:pt>
                      <c:pt idx="18">
                        <c:v>647220.70000000019</c:v>
                      </c:pt>
                      <c:pt idx="19">
                        <c:v>673674.26</c:v>
                      </c:pt>
                      <c:pt idx="20">
                        <c:v>673674.26</c:v>
                      </c:pt>
                      <c:pt idx="21">
                        <c:v>633993.92000000016</c:v>
                      </c:pt>
                      <c:pt idx="22">
                        <c:v>645063.47613489488</c:v>
                      </c:pt>
                      <c:pt idx="23">
                        <c:v>650663.36927756981</c:v>
                      </c:pt>
                      <c:pt idx="24">
                        <c:v>654937.6123629167</c:v>
                      </c:pt>
                      <c:pt idx="25">
                        <c:v>657827.91303076968</c:v>
                      </c:pt>
                      <c:pt idx="26">
                        <c:v>659591.28593161772</c:v>
                      </c:pt>
                      <c:pt idx="27">
                        <c:v>662318.50629245827</c:v>
                      </c:pt>
                      <c:pt idx="28">
                        <c:v>664654.58973214019</c:v>
                      </c:pt>
                      <c:pt idx="29">
                        <c:v>666624.03093857435</c:v>
                      </c:pt>
                      <c:pt idx="30">
                        <c:v>647302.06117557664</c:v>
                      </c:pt>
                      <c:pt idx="31">
                        <c:v>652545.04955724347</c:v>
                      </c:pt>
                      <c:pt idx="32">
                        <c:v>657528.69270114484</c:v>
                      </c:pt>
                      <c:pt idx="33">
                        <c:v>662529.23701245477</c:v>
                      </c:pt>
                      <c:pt idx="34">
                        <c:v>667312.54442264466</c:v>
                      </c:pt>
                      <c:pt idx="35">
                        <c:v>672282.87932679907</c:v>
                      </c:pt>
                      <c:pt idx="36">
                        <c:v>678169.16207291558</c:v>
                      </c:pt>
                      <c:pt idx="37">
                        <c:v>683955.18540707871</c:v>
                      </c:pt>
                      <c:pt idx="38">
                        <c:v>689977.49551161728</c:v>
                      </c:pt>
                      <c:pt idx="39">
                        <c:v>696157.16512546747</c:v>
                      </c:pt>
                      <c:pt idx="40">
                        <c:v>702506.99572257791</c:v>
                      </c:pt>
                      <c:pt idx="41">
                        <c:v>710071.90365317906</c:v>
                      </c:pt>
                      <c:pt idx="42">
                        <c:v>717199.24705058266</c:v>
                      </c:pt>
                      <c:pt idx="43">
                        <c:v>725023.77668875793</c:v>
                      </c:pt>
                      <c:pt idx="44">
                        <c:v>733281.7042114496</c:v>
                      </c:pt>
                      <c:pt idx="45">
                        <c:v>741976.91041539051</c:v>
                      </c:pt>
                      <c:pt idx="46">
                        <c:v>750803.12950580078</c:v>
                      </c:pt>
                      <c:pt idx="47">
                        <c:v>759869.21492297202</c:v>
                      </c:pt>
                      <c:pt idx="48">
                        <c:v>768940.05332131602</c:v>
                      </c:pt>
                      <c:pt idx="49">
                        <c:v>778236.06219606183</c:v>
                      </c:pt>
                      <c:pt idx="50">
                        <c:v>787934.69676496391</c:v>
                      </c:pt>
                      <c:pt idx="51">
                        <c:v>797931.31451052229</c:v>
                      </c:pt>
                      <c:pt idx="52">
                        <c:v>808186.28648321633</c:v>
                      </c:pt>
                      <c:pt idx="53">
                        <c:v>818662.68675153551</c:v>
                      </c:pt>
                      <c:pt idx="54">
                        <c:v>829400.03616754303</c:v>
                      </c:pt>
                      <c:pt idx="55">
                        <c:v>840586.1395465238</c:v>
                      </c:pt>
                      <c:pt idx="56">
                        <c:v>852071.3623773529</c:v>
                      </c:pt>
                      <c:pt idx="57">
                        <c:v>863867.85695523338</c:v>
                      </c:pt>
                      <c:pt idx="58">
                        <c:v>875594.0553562342</c:v>
                      </c:pt>
                      <c:pt idx="59">
                        <c:v>887649.17174500017</c:v>
                      </c:pt>
                      <c:pt idx="60">
                        <c:v>900051.69768985885</c:v>
                      </c:pt>
                    </c:numCache>
                  </c:numRef>
                </c:val>
                <c:extLst xmlns:c15="http://schemas.microsoft.com/office/drawing/2012/chart">
                  <c:ext xmlns:c16="http://schemas.microsoft.com/office/drawing/2014/chart" uri="{C3380CC4-5D6E-409C-BE32-E72D297353CC}">
                    <c16:uniqueId val="{00000004-3B16-45B8-89BE-5AE640BDA9C0}"/>
                  </c:ext>
                </c:extLst>
              </c15:ser>
            </c15:filteredAreaSeries>
            <c15:filteredAreaSeries>
              <c15:ser>
                <c:idx val="5"/>
                <c:order val="3"/>
                <c:tx>
                  <c:strRef>
                    <c:extLst xmlns:c15="http://schemas.microsoft.com/office/drawing/2012/chart">
                      <c:ext xmlns:c15="http://schemas.microsoft.com/office/drawing/2012/chart" uri="{02D57815-91ED-43cb-92C2-25804820EDAC}">
                        <c15:formulaRef>
                          <c15:sqref>'Activity data'!$D$8:$F$8</c15:sqref>
                        </c15:formulaRef>
                      </c:ext>
                    </c:extLst>
                    <c:strCache>
                      <c:ptCount val="3"/>
                      <c:pt idx="0">
                        <c:v>Commercial</c:v>
                      </c:pt>
                      <c:pt idx="1">
                        <c:v>Population</c:v>
                      </c:pt>
                      <c:pt idx="2">
                        <c:v>Head</c:v>
                      </c:pt>
                    </c:strCache>
                  </c:strRef>
                </c:tx>
                <c:spPr>
                  <a:solidFill>
                    <a:schemeClr val="accent6"/>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c:ext xmlns:c15="http://schemas.microsoft.com/office/drawing/2012/chart" uri="{02D57815-91ED-43cb-92C2-25804820EDAC}">
                        <c15:formulaRef>
                          <c15:sqref>'Activity data'!$H$8:$BP$8</c15:sqref>
                        </c15:formulaRef>
                      </c:ext>
                    </c:extLst>
                    <c:numCache>
                      <c:formatCode>#,##0</c:formatCode>
                      <c:ptCount val="61"/>
                      <c:pt idx="0">
                        <c:v>6817100</c:v>
                      </c:pt>
                      <c:pt idx="1">
                        <c:v>6522860</c:v>
                      </c:pt>
                      <c:pt idx="2">
                        <c:v>6520490</c:v>
                      </c:pt>
                      <c:pt idx="3">
                        <c:v>6100150</c:v>
                      </c:pt>
                      <c:pt idx="4">
                        <c:v>6284050</c:v>
                      </c:pt>
                      <c:pt idx="5">
                        <c:v>6426930</c:v>
                      </c:pt>
                      <c:pt idx="6">
                        <c:v>6693540</c:v>
                      </c:pt>
                      <c:pt idx="7">
                        <c:v>6947100</c:v>
                      </c:pt>
                      <c:pt idx="8">
                        <c:v>7007270</c:v>
                      </c:pt>
                      <c:pt idx="9">
                        <c:v>6893880</c:v>
                      </c:pt>
                      <c:pt idx="10">
                        <c:v>6425570</c:v>
                      </c:pt>
                      <c:pt idx="11">
                        <c:v>6458960</c:v>
                      </c:pt>
                      <c:pt idx="12">
                        <c:v>6019810</c:v>
                      </c:pt>
                      <c:pt idx="13">
                        <c:v>6177270</c:v>
                      </c:pt>
                      <c:pt idx="14">
                        <c:v>6234220</c:v>
                      </c:pt>
                      <c:pt idx="15">
                        <c:v>6287100</c:v>
                      </c:pt>
                      <c:pt idx="16">
                        <c:v>6143880</c:v>
                      </c:pt>
                      <c:pt idx="17">
                        <c:v>6323880</c:v>
                      </c:pt>
                      <c:pt idx="18">
                        <c:v>6148152.25</c:v>
                      </c:pt>
                      <c:pt idx="19">
                        <c:v>6044920.583333333</c:v>
                      </c:pt>
                      <c:pt idx="20">
                        <c:v>6025917.666666667</c:v>
                      </c:pt>
                      <c:pt idx="21">
                        <c:v>6004279.833333333</c:v>
                      </c:pt>
                      <c:pt idx="22">
                        <c:v>5958927.5765809305</c:v>
                      </c:pt>
                      <c:pt idx="23">
                        <c:v>5925439.4632356483</c:v>
                      </c:pt>
                      <c:pt idx="24">
                        <c:v>5901768.0931458119</c:v>
                      </c:pt>
                      <c:pt idx="25">
                        <c:v>5887510.1286221966</c:v>
                      </c:pt>
                      <c:pt idx="26">
                        <c:v>5880922.9671151601</c:v>
                      </c:pt>
                      <c:pt idx="27">
                        <c:v>5868386.9021355677</c:v>
                      </c:pt>
                      <c:pt idx="28">
                        <c:v>5858427.5375996958</c:v>
                      </c:pt>
                      <c:pt idx="29">
                        <c:v>5850808.2353461292</c:v>
                      </c:pt>
                      <c:pt idx="30">
                        <c:v>5982243.0247551333</c:v>
                      </c:pt>
                      <c:pt idx="31">
                        <c:v>5950830.4927136209</c:v>
                      </c:pt>
                      <c:pt idx="32">
                        <c:v>5922250.0182831232</c:v>
                      </c:pt>
                      <c:pt idx="33">
                        <c:v>5894491.4635193255</c:v>
                      </c:pt>
                      <c:pt idx="34">
                        <c:v>5868958.3229566347</c:v>
                      </c:pt>
                      <c:pt idx="35">
                        <c:v>5843043.2981786784</c:v>
                      </c:pt>
                      <c:pt idx="36">
                        <c:v>5812912.4723398313</c:v>
                      </c:pt>
                      <c:pt idx="37">
                        <c:v>5784376.6539384741</c:v>
                      </c:pt>
                      <c:pt idx="38">
                        <c:v>5755483.7647179812</c:v>
                      </c:pt>
                      <c:pt idx="39">
                        <c:v>5726714.4394749179</c:v>
                      </c:pt>
                      <c:pt idx="40">
                        <c:v>5698023.1121740881</c:v>
                      </c:pt>
                      <c:pt idx="41">
                        <c:v>5751043.1298438106</c:v>
                      </c:pt>
                      <c:pt idx="42">
                        <c:v>5776138.8762748893</c:v>
                      </c:pt>
                      <c:pt idx="43">
                        <c:v>5809789.4207095569</c:v>
                      </c:pt>
                      <c:pt idx="44">
                        <c:v>5841955.3701857775</c:v>
                      </c:pt>
                      <c:pt idx="45">
                        <c:v>5871417.3870560592</c:v>
                      </c:pt>
                      <c:pt idx="46">
                        <c:v>5887451.5380100776</c:v>
                      </c:pt>
                      <c:pt idx="47">
                        <c:v>5893480.0197588243</c:v>
                      </c:pt>
                      <c:pt idx="48">
                        <c:v>5882690.0989702391</c:v>
                      </c:pt>
                      <c:pt idx="49">
                        <c:v>5860537.4519128446</c:v>
                      </c:pt>
                      <c:pt idx="50">
                        <c:v>5830552.5932285162</c:v>
                      </c:pt>
                      <c:pt idx="51">
                        <c:v>5851620.0921096327</c:v>
                      </c:pt>
                      <c:pt idx="52">
                        <c:v>5864475.3639023788</c:v>
                      </c:pt>
                      <c:pt idx="53">
                        <c:v>5867729.5755842663</c:v>
                      </c:pt>
                      <c:pt idx="54">
                        <c:v>5861691.4249336924</c:v>
                      </c:pt>
                      <c:pt idx="55">
                        <c:v>5849506.9370549079</c:v>
                      </c:pt>
                      <c:pt idx="56">
                        <c:v>5827885.747497919</c:v>
                      </c:pt>
                      <c:pt idx="57">
                        <c:v>5795698.7729721973</c:v>
                      </c:pt>
                      <c:pt idx="58">
                        <c:v>5745494.4676447464</c:v>
                      </c:pt>
                      <c:pt idx="59">
                        <c:v>5684173.9153804947</c:v>
                      </c:pt>
                      <c:pt idx="60">
                        <c:v>5611277.1554829553</c:v>
                      </c:pt>
                    </c:numCache>
                  </c:numRef>
                </c:val>
                <c:extLst xmlns:c15="http://schemas.microsoft.com/office/drawing/2012/chart">
                  <c:ext xmlns:c16="http://schemas.microsoft.com/office/drawing/2014/chart" uri="{C3380CC4-5D6E-409C-BE32-E72D297353CC}">
                    <c16:uniqueId val="{00000005-3B16-45B8-89BE-5AE640BDA9C0}"/>
                  </c:ext>
                </c:extLst>
              </c15:ser>
            </c15:filteredAreaSeries>
            <c15:filteredAreaSeries>
              <c15:ser>
                <c:idx val="6"/>
                <c:order val="4"/>
                <c:tx>
                  <c:strRef>
                    <c:extLst xmlns:c15="http://schemas.microsoft.com/office/drawing/2012/chart">
                      <c:ext xmlns:c15="http://schemas.microsoft.com/office/drawing/2012/chart" uri="{02D57815-91ED-43cb-92C2-25804820EDAC}">
                        <c15:formulaRef>
                          <c15:sqref>'Activity data'!$D$9:$F$9</c15:sqref>
                        </c15:formulaRef>
                      </c:ext>
                    </c:extLst>
                    <c:strCache>
                      <c:ptCount val="3"/>
                      <c:pt idx="0">
                        <c:v>Subsistence</c:v>
                      </c:pt>
                      <c:pt idx="1">
                        <c:v>Population</c:v>
                      </c:pt>
                      <c:pt idx="2">
                        <c:v>Head</c:v>
                      </c:pt>
                    </c:strCache>
                  </c:strRef>
                </c:tx>
                <c:spPr>
                  <a:solidFill>
                    <a:schemeClr val="accent1">
                      <a:lumMod val="6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c:ext xmlns:c15="http://schemas.microsoft.com/office/drawing/2012/chart" uri="{02D57815-91ED-43cb-92C2-25804820EDAC}">
                        <c15:formulaRef>
                          <c15:sqref>'Activity data'!$H$9:$BP$9</c15:sqref>
                        </c15:formulaRef>
                      </c:ext>
                    </c:extLst>
                    <c:numCache>
                      <c:formatCode>#,##0</c:formatCode>
                      <c:ptCount val="61"/>
                      <c:pt idx="0">
                        <c:v>5689999.9999999991</c:v>
                      </c:pt>
                      <c:pt idx="1">
                        <c:v>6130000</c:v>
                      </c:pt>
                      <c:pt idx="2">
                        <c:v>6190000</c:v>
                      </c:pt>
                      <c:pt idx="3">
                        <c:v>6189999.9999999991</c:v>
                      </c:pt>
                      <c:pt idx="4">
                        <c:v>5440000</c:v>
                      </c:pt>
                      <c:pt idx="5">
                        <c:v>5369999.9999999991</c:v>
                      </c:pt>
                      <c:pt idx="6">
                        <c:v>5500000</c:v>
                      </c:pt>
                      <c:pt idx="7">
                        <c:v>5659999.9999999991</c:v>
                      </c:pt>
                      <c:pt idx="8">
                        <c:v>5910000.0000000009</c:v>
                      </c:pt>
                      <c:pt idx="9">
                        <c:v>6119999.9999999991</c:v>
                      </c:pt>
                      <c:pt idx="10">
                        <c:v>6290000</c:v>
                      </c:pt>
                      <c:pt idx="11">
                        <c:v>6160000</c:v>
                      </c:pt>
                      <c:pt idx="12">
                        <c:v>6650000</c:v>
                      </c:pt>
                      <c:pt idx="13">
                        <c:v>6640000.0000000009</c:v>
                      </c:pt>
                      <c:pt idx="14">
                        <c:v>6500000.0000000009</c:v>
                      </c:pt>
                      <c:pt idx="15">
                        <c:v>6419999.9999999991</c:v>
                      </c:pt>
                      <c:pt idx="16">
                        <c:v>6570000</c:v>
                      </c:pt>
                      <c:pt idx="17">
                        <c:v>6789999.9999999991</c:v>
                      </c:pt>
                      <c:pt idx="18">
                        <c:v>6920000</c:v>
                      </c:pt>
                      <c:pt idx="19">
                        <c:v>6900000.0000000009</c:v>
                      </c:pt>
                      <c:pt idx="20">
                        <c:v>6820000</c:v>
                      </c:pt>
                      <c:pt idx="21">
                        <c:v>6800000</c:v>
                      </c:pt>
                      <c:pt idx="22">
                        <c:v>6747287.7602523509</c:v>
                      </c:pt>
                      <c:pt idx="23">
                        <c:v>6764983.6536081526</c:v>
                      </c:pt>
                      <c:pt idx="24">
                        <c:v>6782840.2538580541</c:v>
                      </c:pt>
                      <c:pt idx="25">
                        <c:v>6800859.0204764754</c:v>
                      </c:pt>
                      <c:pt idx="26">
                        <c:v>6820497.3641288234</c:v>
                      </c:pt>
                      <c:pt idx="27">
                        <c:v>6840135.7077811714</c:v>
                      </c:pt>
                      <c:pt idx="28">
                        <c:v>6859774.0514335185</c:v>
                      </c:pt>
                      <c:pt idx="29">
                        <c:v>6879412.3950858666</c:v>
                      </c:pt>
                      <c:pt idx="30">
                        <c:v>6899050.7387382146</c:v>
                      </c:pt>
                      <c:pt idx="31">
                        <c:v>6918956.3190347804</c:v>
                      </c:pt>
                      <c:pt idx="32">
                        <c:v>6938861.8989639208</c:v>
                      </c:pt>
                      <c:pt idx="33">
                        <c:v>6958767.4788930602</c:v>
                      </c:pt>
                      <c:pt idx="34">
                        <c:v>6978673.0588222016</c:v>
                      </c:pt>
                      <c:pt idx="35">
                        <c:v>6998578.6391187664</c:v>
                      </c:pt>
                      <c:pt idx="36">
                        <c:v>7020144.1996587152</c:v>
                      </c:pt>
                      <c:pt idx="37">
                        <c:v>7041709.760198663</c:v>
                      </c:pt>
                      <c:pt idx="38">
                        <c:v>7063275.3207386108</c:v>
                      </c:pt>
                      <c:pt idx="39">
                        <c:v>7084840.8812785596</c:v>
                      </c:pt>
                      <c:pt idx="40">
                        <c:v>7106406.4418185074</c:v>
                      </c:pt>
                      <c:pt idx="41">
                        <c:v>7127239.8486435506</c:v>
                      </c:pt>
                      <c:pt idx="42">
                        <c:v>7148073.2551011704</c:v>
                      </c:pt>
                      <c:pt idx="43">
                        <c:v>7168906.6619262146</c:v>
                      </c:pt>
                      <c:pt idx="44">
                        <c:v>7189740.0683838334</c:v>
                      </c:pt>
                      <c:pt idx="45">
                        <c:v>7210573.4748414531</c:v>
                      </c:pt>
                      <c:pt idx="46">
                        <c:v>7232225.9403286418</c:v>
                      </c:pt>
                      <c:pt idx="47">
                        <c:v>7253878.4058158305</c:v>
                      </c:pt>
                      <c:pt idx="48">
                        <c:v>7275530.8709355928</c:v>
                      </c:pt>
                      <c:pt idx="49">
                        <c:v>7297183.3364227824</c:v>
                      </c:pt>
                      <c:pt idx="50">
                        <c:v>7318835.8019099701</c:v>
                      </c:pt>
                      <c:pt idx="51">
                        <c:v>7343552.705131839</c:v>
                      </c:pt>
                      <c:pt idx="52">
                        <c:v>7368269.6079862816</c:v>
                      </c:pt>
                      <c:pt idx="53">
                        <c:v>7392986.5112081505</c:v>
                      </c:pt>
                      <c:pt idx="54">
                        <c:v>7417703.4144300185</c:v>
                      </c:pt>
                      <c:pt idx="55">
                        <c:v>7442420.3176518865</c:v>
                      </c:pt>
                      <c:pt idx="56">
                        <c:v>7466264.8586931052</c:v>
                      </c:pt>
                      <c:pt idx="57">
                        <c:v>7490109.3997343229</c:v>
                      </c:pt>
                      <c:pt idx="58">
                        <c:v>7513953.941142967</c:v>
                      </c:pt>
                      <c:pt idx="59">
                        <c:v>7537798.4821841847</c:v>
                      </c:pt>
                      <c:pt idx="60">
                        <c:v>7561643.0232254025</c:v>
                      </c:pt>
                    </c:numCache>
                  </c:numRef>
                </c:val>
                <c:extLst xmlns:c15="http://schemas.microsoft.com/office/drawing/2012/chart">
                  <c:ext xmlns:c16="http://schemas.microsoft.com/office/drawing/2014/chart" uri="{C3380CC4-5D6E-409C-BE32-E72D297353CC}">
                    <c16:uniqueId val="{00000006-3B16-45B8-89BE-5AE640BDA9C0}"/>
                  </c:ext>
                </c:extLst>
              </c15:ser>
            </c15:filteredAreaSeries>
            <c15:filteredAreaSeries>
              <c15:ser>
                <c:idx val="7"/>
                <c:order val="5"/>
                <c:tx>
                  <c:strRef>
                    <c:extLst xmlns:c15="http://schemas.microsoft.com/office/drawing/2012/chart">
                      <c:ext xmlns:c15="http://schemas.microsoft.com/office/drawing/2012/chart" uri="{02D57815-91ED-43cb-92C2-25804820EDAC}">
                        <c15:formulaRef>
                          <c15:sqref>'Activity data'!$D$10:$F$10</c15:sqref>
                        </c15:formulaRef>
                      </c:ext>
                    </c:extLst>
                    <c:strCache>
                      <c:ptCount val="3"/>
                      <c:pt idx="0">
                        <c:v>Feedlot</c:v>
                      </c:pt>
                      <c:pt idx="1">
                        <c:v>Population</c:v>
                      </c:pt>
                      <c:pt idx="2">
                        <c:v>Head</c:v>
                      </c:pt>
                    </c:strCache>
                  </c:strRef>
                </c:tx>
                <c:spPr>
                  <a:solidFill>
                    <a:schemeClr val="accent2">
                      <a:lumMod val="6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c:ext xmlns:c15="http://schemas.microsoft.com/office/drawing/2012/chart" uri="{02D57815-91ED-43cb-92C2-25804820EDAC}">
                        <c15:formulaRef>
                          <c15:sqref>'Activity data'!$H$10:$BP$10</c15:sqref>
                        </c15:formulaRef>
                      </c:ext>
                    </c:extLst>
                    <c:numCache>
                      <c:formatCode>#,##0</c:formatCode>
                      <c:ptCount val="61"/>
                      <c:pt idx="0">
                        <c:v>420000</c:v>
                      </c:pt>
                      <c:pt idx="1">
                        <c:v>420000</c:v>
                      </c:pt>
                      <c:pt idx="2">
                        <c:v>420000</c:v>
                      </c:pt>
                      <c:pt idx="3">
                        <c:v>420000</c:v>
                      </c:pt>
                      <c:pt idx="4">
                        <c:v>420000</c:v>
                      </c:pt>
                      <c:pt idx="5">
                        <c:v>420000</c:v>
                      </c:pt>
                      <c:pt idx="6">
                        <c:v>420000</c:v>
                      </c:pt>
                      <c:pt idx="7">
                        <c:v>420000</c:v>
                      </c:pt>
                      <c:pt idx="8">
                        <c:v>420000</c:v>
                      </c:pt>
                      <c:pt idx="9">
                        <c:v>420000</c:v>
                      </c:pt>
                      <c:pt idx="10">
                        <c:v>420000</c:v>
                      </c:pt>
                      <c:pt idx="11">
                        <c:v>420000</c:v>
                      </c:pt>
                      <c:pt idx="12">
                        <c:v>420000</c:v>
                      </c:pt>
                      <c:pt idx="13">
                        <c:v>420000</c:v>
                      </c:pt>
                      <c:pt idx="14">
                        <c:v>420000</c:v>
                      </c:pt>
                      <c:pt idx="15">
                        <c:v>420000</c:v>
                      </c:pt>
                      <c:pt idx="16">
                        <c:v>420000</c:v>
                      </c:pt>
                      <c:pt idx="17">
                        <c:v>420000</c:v>
                      </c:pt>
                      <c:pt idx="18">
                        <c:v>391147.75</c:v>
                      </c:pt>
                      <c:pt idx="19">
                        <c:v>400819.41666666669</c:v>
                      </c:pt>
                      <c:pt idx="20">
                        <c:v>399822.33333333331</c:v>
                      </c:pt>
                      <c:pt idx="21">
                        <c:v>461800.16666666669</c:v>
                      </c:pt>
                      <c:pt idx="22">
                        <c:v>475654.17166666669</c:v>
                      </c:pt>
                      <c:pt idx="23">
                        <c:v>489923.79681666673</c:v>
                      </c:pt>
                      <c:pt idx="24">
                        <c:v>504621.51072116673</c:v>
                      </c:pt>
                      <c:pt idx="25">
                        <c:v>519760.15604280174</c:v>
                      </c:pt>
                      <c:pt idx="26">
                        <c:v>535352.9607240858</c:v>
                      </c:pt>
                      <c:pt idx="27">
                        <c:v>551413.54954580835</c:v>
                      </c:pt>
                      <c:pt idx="28">
                        <c:v>567955.95603218256</c:v>
                      </c:pt>
                      <c:pt idx="29">
                        <c:v>584994.634713148</c:v>
                      </c:pt>
                      <c:pt idx="30">
                        <c:v>602544.47375454241</c:v>
                      </c:pt>
                      <c:pt idx="31">
                        <c:v>620620.80796717876</c:v>
                      </c:pt>
                      <c:pt idx="32">
                        <c:v>639239.43220619415</c:v>
                      </c:pt>
                      <c:pt idx="33">
                        <c:v>658416.61517238</c:v>
                      </c:pt>
                      <c:pt idx="34">
                        <c:v>678169.11362755147</c:v>
                      </c:pt>
                      <c:pt idx="35">
                        <c:v>698514.18703637808</c:v>
                      </c:pt>
                      <c:pt idx="36">
                        <c:v>719469.61264746939</c:v>
                      </c:pt>
                      <c:pt idx="37">
                        <c:v>741053.70102689345</c:v>
                      </c:pt>
                      <c:pt idx="38">
                        <c:v>763285.31205770024</c:v>
                      </c:pt>
                      <c:pt idx="39">
                        <c:v>786183.87141943129</c:v>
                      </c:pt>
                      <c:pt idx="40">
                        <c:v>809769.38756201428</c:v>
                      </c:pt>
                      <c:pt idx="41">
                        <c:v>834062.4691888747</c:v>
                      </c:pt>
                      <c:pt idx="42">
                        <c:v>859084.34326454101</c:v>
                      </c:pt>
                      <c:pt idx="43">
                        <c:v>884856.8735624773</c:v>
                      </c:pt>
                      <c:pt idx="44">
                        <c:v>911402.57976935164</c:v>
                      </c:pt>
                      <c:pt idx="45">
                        <c:v>938744.65716243221</c:v>
                      </c:pt>
                      <c:pt idx="46">
                        <c:v>966906.99687730521</c:v>
                      </c:pt>
                      <c:pt idx="47">
                        <c:v>995914.20678362437</c:v>
                      </c:pt>
                      <c:pt idx="48">
                        <c:v>1000000</c:v>
                      </c:pt>
                      <c:pt idx="49">
                        <c:v>1000000</c:v>
                      </c:pt>
                      <c:pt idx="50">
                        <c:v>1000000</c:v>
                      </c:pt>
                      <c:pt idx="51">
                        <c:v>1000000</c:v>
                      </c:pt>
                      <c:pt idx="52">
                        <c:v>1000000</c:v>
                      </c:pt>
                      <c:pt idx="53">
                        <c:v>1000000</c:v>
                      </c:pt>
                      <c:pt idx="54">
                        <c:v>1000000</c:v>
                      </c:pt>
                      <c:pt idx="55">
                        <c:v>1000000</c:v>
                      </c:pt>
                      <c:pt idx="56">
                        <c:v>1000000</c:v>
                      </c:pt>
                      <c:pt idx="57">
                        <c:v>1000000</c:v>
                      </c:pt>
                      <c:pt idx="58">
                        <c:v>1000000</c:v>
                      </c:pt>
                      <c:pt idx="59">
                        <c:v>1000000</c:v>
                      </c:pt>
                      <c:pt idx="60">
                        <c:v>1000000</c:v>
                      </c:pt>
                    </c:numCache>
                  </c:numRef>
                </c:val>
                <c:extLst xmlns:c15="http://schemas.microsoft.com/office/drawing/2012/chart">
                  <c:ext xmlns:c16="http://schemas.microsoft.com/office/drawing/2014/chart" uri="{C3380CC4-5D6E-409C-BE32-E72D297353CC}">
                    <c16:uniqueId val="{00000007-3B16-45B8-89BE-5AE640BDA9C0}"/>
                  </c:ext>
                </c:extLst>
              </c15:ser>
            </c15:filteredAreaSeries>
            <c15:filteredAreaSeries>
              <c15:ser>
                <c:idx val="10"/>
                <c:order val="8"/>
                <c:tx>
                  <c:strRef>
                    <c:extLst xmlns:c15="http://schemas.microsoft.com/office/drawing/2012/chart">
                      <c:ext xmlns:c15="http://schemas.microsoft.com/office/drawing/2012/chart" uri="{02D57815-91ED-43cb-92C2-25804820EDAC}">
                        <c15:formulaRef>
                          <c15:sqref>'Activity data'!$D$13:$F$13</c15:sqref>
                        </c15:formulaRef>
                      </c:ext>
                    </c:extLst>
                    <c:strCache>
                      <c:ptCount val="3"/>
                      <c:pt idx="0">
                        <c:v>Commercial</c:v>
                      </c:pt>
                      <c:pt idx="1">
                        <c:v>Population</c:v>
                      </c:pt>
                      <c:pt idx="2">
                        <c:v>Head</c:v>
                      </c:pt>
                    </c:strCache>
                  </c:strRef>
                </c:tx>
                <c:spPr>
                  <a:solidFill>
                    <a:schemeClr val="accent5">
                      <a:lumMod val="6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c:ext xmlns:c15="http://schemas.microsoft.com/office/drawing/2012/chart" uri="{02D57815-91ED-43cb-92C2-25804820EDAC}">
                        <c15:formulaRef>
                          <c15:sqref>'Activity data'!$H$13:$BP$13</c15:sqref>
                        </c15:formulaRef>
                      </c:ext>
                    </c:extLst>
                    <c:numCache>
                      <c:formatCode>#,##0</c:formatCode>
                      <c:ptCount val="61"/>
                      <c:pt idx="0">
                        <c:v>2774000.0000000005</c:v>
                      </c:pt>
                      <c:pt idx="1">
                        <c:v>2453000.0000000009</c:v>
                      </c:pt>
                      <c:pt idx="2">
                        <c:v>2284999.9999999995</c:v>
                      </c:pt>
                      <c:pt idx="3">
                        <c:v>2158999.9999999995</c:v>
                      </c:pt>
                      <c:pt idx="4">
                        <c:v>2336999.9999999995</c:v>
                      </c:pt>
                      <c:pt idx="5">
                        <c:v>2369000</c:v>
                      </c:pt>
                      <c:pt idx="6">
                        <c:v>2405999.9999999995</c:v>
                      </c:pt>
                      <c:pt idx="7">
                        <c:v>2394000</c:v>
                      </c:pt>
                      <c:pt idx="8">
                        <c:v>2360000</c:v>
                      </c:pt>
                      <c:pt idx="9">
                        <c:v>2325000.0000000005</c:v>
                      </c:pt>
                      <c:pt idx="10">
                        <c:v>2355000</c:v>
                      </c:pt>
                      <c:pt idx="11">
                        <c:v>2427000.0000000005</c:v>
                      </c:pt>
                      <c:pt idx="12">
                        <c:v>2216000.0000000005</c:v>
                      </c:pt>
                      <c:pt idx="13">
                        <c:v>2160000</c:v>
                      </c:pt>
                      <c:pt idx="14">
                        <c:v>2164000.0000000005</c:v>
                      </c:pt>
                      <c:pt idx="15">
                        <c:v>2136000</c:v>
                      </c:pt>
                      <c:pt idx="16">
                        <c:v>2181000</c:v>
                      </c:pt>
                      <c:pt idx="17">
                        <c:v>2116000</c:v>
                      </c:pt>
                      <c:pt idx="18">
                        <c:v>2114000.0000000005</c:v>
                      </c:pt>
                      <c:pt idx="19">
                        <c:v>2077000</c:v>
                      </c:pt>
                      <c:pt idx="20">
                        <c:v>2052000.0000000002</c:v>
                      </c:pt>
                      <c:pt idx="21">
                        <c:v>2033000.0000000002</c:v>
                      </c:pt>
                      <c:pt idx="22">
                        <c:v>2055604.3128015574</c:v>
                      </c:pt>
                      <c:pt idx="23">
                        <c:v>2048193.276218967</c:v>
                      </c:pt>
                      <c:pt idx="24">
                        <c:v>2040866.6673154621</c:v>
                      </c:pt>
                      <c:pt idx="25">
                        <c:v>2033635.0705594835</c:v>
                      </c:pt>
                      <c:pt idx="26">
                        <c:v>2025912.6702301556</c:v>
                      </c:pt>
                      <c:pt idx="27">
                        <c:v>2018079.542629831</c:v>
                      </c:pt>
                      <c:pt idx="28">
                        <c:v>2010291.3321973956</c:v>
                      </c:pt>
                      <c:pt idx="29">
                        <c:v>2002545.2958579566</c:v>
                      </c:pt>
                      <c:pt idx="30">
                        <c:v>1997145.23650131</c:v>
                      </c:pt>
                      <c:pt idx="31">
                        <c:v>1988947.3971016784</c:v>
                      </c:pt>
                      <c:pt idx="32">
                        <c:v>1980773.4052788399</c:v>
                      </c:pt>
                      <c:pt idx="33">
                        <c:v>1972594.0603590165</c:v>
                      </c:pt>
                      <c:pt idx="34">
                        <c:v>1964435.2447575068</c:v>
                      </c:pt>
                      <c:pt idx="35">
                        <c:v>1956252.6171207062</c:v>
                      </c:pt>
                      <c:pt idx="36">
                        <c:v>1947327.1945216865</c:v>
                      </c:pt>
                      <c:pt idx="37">
                        <c:v>1938408.0855515245</c:v>
                      </c:pt>
                      <c:pt idx="38">
                        <c:v>1929456.7449957049</c:v>
                      </c:pt>
                      <c:pt idx="39">
                        <c:v>1920481.47133927</c:v>
                      </c:pt>
                      <c:pt idx="40">
                        <c:v>1911480.0801468315</c:v>
                      </c:pt>
                      <c:pt idx="41">
                        <c:v>1912424.8907658495</c:v>
                      </c:pt>
                      <c:pt idx="42">
                        <c:v>1912943.2246680963</c:v>
                      </c:pt>
                      <c:pt idx="43">
                        <c:v>1913321.6886501615</c:v>
                      </c:pt>
                      <c:pt idx="44">
                        <c:v>1913496.0592651891</c:v>
                      </c:pt>
                      <c:pt idx="45">
                        <c:v>1913469.7741645414</c:v>
                      </c:pt>
                      <c:pt idx="46">
                        <c:v>1913780.4753680443</c:v>
                      </c:pt>
                      <c:pt idx="47">
                        <c:v>1913828.3137459566</c:v>
                      </c:pt>
                      <c:pt idx="48">
                        <c:v>1913550.7053261958</c:v>
                      </c:pt>
                      <c:pt idx="49">
                        <c:v>1913006.6840570343</c:v>
                      </c:pt>
                      <c:pt idx="50">
                        <c:v>1912246.0823103182</c:v>
                      </c:pt>
                      <c:pt idx="51">
                        <c:v>1918273.2402474268</c:v>
                      </c:pt>
                      <c:pt idx="52">
                        <c:v>1924101.6065742569</c:v>
                      </c:pt>
                      <c:pt idx="53">
                        <c:v>1929722.3588606769</c:v>
                      </c:pt>
                      <c:pt idx="54">
                        <c:v>1935148.4750667021</c:v>
                      </c:pt>
                      <c:pt idx="55">
                        <c:v>1940437.6932251512</c:v>
                      </c:pt>
                      <c:pt idx="56">
                        <c:v>1944954.8278947866</c:v>
                      </c:pt>
                      <c:pt idx="57">
                        <c:v>1949312.5179302583</c:v>
                      </c:pt>
                      <c:pt idx="58">
                        <c:v>1953394.8625985482</c:v>
                      </c:pt>
                      <c:pt idx="59">
                        <c:v>1957325.8336381216</c:v>
                      </c:pt>
                      <c:pt idx="60">
                        <c:v>1961114.926012889</c:v>
                      </c:pt>
                    </c:numCache>
                  </c:numRef>
                </c:val>
                <c:extLst xmlns:c15="http://schemas.microsoft.com/office/drawing/2012/chart">
                  <c:ext xmlns:c16="http://schemas.microsoft.com/office/drawing/2014/chart" uri="{C3380CC4-5D6E-409C-BE32-E72D297353CC}">
                    <c16:uniqueId val="{0000000A-3B16-45B8-89BE-5AE640BDA9C0}"/>
                  </c:ext>
                </c:extLst>
              </c15:ser>
            </c15:filteredAreaSeries>
            <c15:filteredAreaSeries>
              <c15:ser>
                <c:idx val="11"/>
                <c:order val="9"/>
                <c:tx>
                  <c:strRef>
                    <c:extLst xmlns:c15="http://schemas.microsoft.com/office/drawing/2012/chart">
                      <c:ext xmlns:c15="http://schemas.microsoft.com/office/drawing/2012/chart" uri="{02D57815-91ED-43cb-92C2-25804820EDAC}">
                        <c15:formulaRef>
                          <c15:sqref>'Activity data'!$D$14:$F$14</c15:sqref>
                        </c15:formulaRef>
                      </c:ext>
                    </c:extLst>
                    <c:strCache>
                      <c:ptCount val="3"/>
                      <c:pt idx="0">
                        <c:v>Subsistence</c:v>
                      </c:pt>
                      <c:pt idx="1">
                        <c:v>Population</c:v>
                      </c:pt>
                      <c:pt idx="2">
                        <c:v>Head</c:v>
                      </c:pt>
                    </c:strCache>
                  </c:strRef>
                </c:tx>
                <c:spPr>
                  <a:solidFill>
                    <a:schemeClr val="accent6">
                      <a:lumMod val="6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c:ext xmlns:c15="http://schemas.microsoft.com/office/drawing/2012/chart" uri="{02D57815-91ED-43cb-92C2-25804820EDAC}">
                        <c15:formulaRef>
                          <c15:sqref>'Activity data'!$H$14:$BP$14</c15:sqref>
                        </c15:formulaRef>
                      </c:ext>
                    </c:extLst>
                    <c:numCache>
                      <c:formatCode>#,##0</c:formatCode>
                      <c:ptCount val="61"/>
                      <c:pt idx="0">
                        <c:v>5479284.9120494025</c:v>
                      </c:pt>
                      <c:pt idx="1">
                        <c:v>4845236.4416932901</c:v>
                      </c:pt>
                      <c:pt idx="2">
                        <c:v>4513397.9899181286</c:v>
                      </c:pt>
                      <c:pt idx="3">
                        <c:v>4264519.151086757</c:v>
                      </c:pt>
                      <c:pt idx="4">
                        <c:v>4616109.8916580593</c:v>
                      </c:pt>
                      <c:pt idx="5">
                        <c:v>4679317.2158057094</c:v>
                      </c:pt>
                      <c:pt idx="6">
                        <c:v>4752400.6843514293</c:v>
                      </c:pt>
                      <c:pt idx="7">
                        <c:v>4728697.9377960609</c:v>
                      </c:pt>
                      <c:pt idx="8">
                        <c:v>4661540.1558891824</c:v>
                      </c:pt>
                      <c:pt idx="9">
                        <c:v>4592407.1451026909</c:v>
                      </c:pt>
                      <c:pt idx="10">
                        <c:v>4651664.0114911124</c:v>
                      </c:pt>
                      <c:pt idx="11">
                        <c:v>4793880.4908233248</c:v>
                      </c:pt>
                      <c:pt idx="12">
                        <c:v>4377107.1972247576</c:v>
                      </c:pt>
                      <c:pt idx="13">
                        <c:v>4266494.3799663708</c:v>
                      </c:pt>
                      <c:pt idx="14">
                        <c:v>4274395.2954848269</c:v>
                      </c:pt>
                      <c:pt idx="15">
                        <c:v>4219088.886855633</c:v>
                      </c:pt>
                      <c:pt idx="16">
                        <c:v>4307974.1864382662</c:v>
                      </c:pt>
                      <c:pt idx="17">
                        <c:v>4179584.3092633518</c:v>
                      </c:pt>
                      <c:pt idx="18">
                        <c:v>4175633.8515041238</c:v>
                      </c:pt>
                      <c:pt idx="19">
                        <c:v>4102550.3829584038</c:v>
                      </c:pt>
                      <c:pt idx="20">
                        <c:v>4053169.6609680522</c:v>
                      </c:pt>
                      <c:pt idx="21">
                        <c:v>4015640.3122553849</c:v>
                      </c:pt>
                      <c:pt idx="22">
                        <c:v>4059818.517783076</c:v>
                      </c:pt>
                      <c:pt idx="23">
                        <c:v>4045181.7205324601</c:v>
                      </c:pt>
                      <c:pt idx="24">
                        <c:v>4030711.6679480379</c:v>
                      </c:pt>
                      <c:pt idx="25">
                        <c:v>4016429.2643549801</c:v>
                      </c:pt>
                      <c:pt idx="26">
                        <c:v>4001177.5237045572</c:v>
                      </c:pt>
                      <c:pt idx="27">
                        <c:v>3985707.0966939162</c:v>
                      </c:pt>
                      <c:pt idx="28">
                        <c:v>3970325.3810898564</c:v>
                      </c:pt>
                      <c:pt idx="29">
                        <c:v>3955026.9593194644</c:v>
                      </c:pt>
                      <c:pt idx="30">
                        <c:v>3944361.8420900875</c:v>
                      </c:pt>
                      <c:pt idx="31">
                        <c:v>3928171.1092758151</c:v>
                      </c:pt>
                      <c:pt idx="32">
                        <c:v>3912027.475425709</c:v>
                      </c:pt>
                      <c:pt idx="33">
                        <c:v>3895873.269209058</c:v>
                      </c:pt>
                      <c:pt idx="34">
                        <c:v>3879759.6083960761</c:v>
                      </c:pt>
                      <c:pt idx="35">
                        <c:v>3863598.9188133948</c:v>
                      </c:pt>
                      <c:pt idx="36">
                        <c:v>3845971.2091803309</c:v>
                      </c:pt>
                      <c:pt idx="37">
                        <c:v>3828355.968964261</c:v>
                      </c:pt>
                      <c:pt idx="38">
                        <c:v>3810677.0713665173</c:v>
                      </c:pt>
                      <c:pt idx="39">
                        <c:v>3792950.9058950585</c:v>
                      </c:pt>
                      <c:pt idx="40">
                        <c:v>3792950.9058950585</c:v>
                      </c:pt>
                      <c:pt idx="41">
                        <c:v>3792950.9058950585</c:v>
                      </c:pt>
                      <c:pt idx="42">
                        <c:v>3792950.9058950585</c:v>
                      </c:pt>
                      <c:pt idx="43">
                        <c:v>3792950.9058950585</c:v>
                      </c:pt>
                      <c:pt idx="44">
                        <c:v>3792950.9058950585</c:v>
                      </c:pt>
                      <c:pt idx="45">
                        <c:v>3792950.9058950585</c:v>
                      </c:pt>
                      <c:pt idx="46">
                        <c:v>3792950.9058950585</c:v>
                      </c:pt>
                      <c:pt idx="47">
                        <c:v>3792950.9058950585</c:v>
                      </c:pt>
                      <c:pt idx="48">
                        <c:v>3792950.9058950585</c:v>
                      </c:pt>
                      <c:pt idx="49">
                        <c:v>3792950.9058950585</c:v>
                      </c:pt>
                      <c:pt idx="50">
                        <c:v>3792950.9058950585</c:v>
                      </c:pt>
                      <c:pt idx="51">
                        <c:v>3792950.9058950585</c:v>
                      </c:pt>
                      <c:pt idx="52">
                        <c:v>3792950.9058950585</c:v>
                      </c:pt>
                      <c:pt idx="53">
                        <c:v>3792950.9058950585</c:v>
                      </c:pt>
                      <c:pt idx="54">
                        <c:v>3792950.9058950585</c:v>
                      </c:pt>
                      <c:pt idx="55">
                        <c:v>3792950.9058950585</c:v>
                      </c:pt>
                      <c:pt idx="56">
                        <c:v>3792950.9058950585</c:v>
                      </c:pt>
                      <c:pt idx="57">
                        <c:v>3792950.9058950585</c:v>
                      </c:pt>
                      <c:pt idx="58">
                        <c:v>3792950.9058950585</c:v>
                      </c:pt>
                      <c:pt idx="59">
                        <c:v>3792950.9058950585</c:v>
                      </c:pt>
                      <c:pt idx="60">
                        <c:v>3792950.9058950585</c:v>
                      </c:pt>
                    </c:numCache>
                  </c:numRef>
                </c:val>
                <c:extLst xmlns:c15="http://schemas.microsoft.com/office/drawing/2012/chart">
                  <c:ext xmlns:c16="http://schemas.microsoft.com/office/drawing/2014/chart" uri="{C3380CC4-5D6E-409C-BE32-E72D297353CC}">
                    <c16:uniqueId val="{0000000B-3B16-45B8-89BE-5AE640BDA9C0}"/>
                  </c:ext>
                </c:extLst>
              </c15:ser>
            </c15:filteredAreaSeries>
            <c15:filteredAreaSeries>
              <c15:ser>
                <c:idx val="12"/>
                <c:order val="10"/>
                <c:tx>
                  <c:strRef>
                    <c:extLst xmlns:c15="http://schemas.microsoft.com/office/drawing/2012/chart">
                      <c:ext xmlns:c15="http://schemas.microsoft.com/office/drawing/2012/chart" uri="{02D57815-91ED-43cb-92C2-25804820EDAC}">
                        <c15:formulaRef>
                          <c15:sqref>'Activity data'!$D$15:$F$15</c15:sqref>
                        </c15:formulaRef>
                      </c:ext>
                    </c:extLst>
                    <c:strCache>
                      <c:ptCount val="3"/>
                      <c:pt idx="0">
                        <c:v>Horses</c:v>
                      </c:pt>
                      <c:pt idx="1">
                        <c:v>Population</c:v>
                      </c:pt>
                      <c:pt idx="2">
                        <c:v>Head</c:v>
                      </c:pt>
                    </c:strCache>
                  </c:strRef>
                </c:tx>
                <c:spPr>
                  <a:solidFill>
                    <a:schemeClr val="accent1">
                      <a:lumMod val="80000"/>
                      <a:lumOff val="2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c:ext xmlns:c15="http://schemas.microsoft.com/office/drawing/2012/chart" uri="{02D57815-91ED-43cb-92C2-25804820EDAC}">
                        <c15:formulaRef>
                          <c15:sqref>'Activity data'!$H$15:$BP$15</c15:sqref>
                        </c15:formulaRef>
                      </c:ext>
                    </c:extLst>
                    <c:numCache>
                      <c:formatCode>#,##0</c:formatCode>
                      <c:ptCount val="61"/>
                      <c:pt idx="0">
                        <c:v>230000</c:v>
                      </c:pt>
                      <c:pt idx="1">
                        <c:v>230000</c:v>
                      </c:pt>
                      <c:pt idx="2">
                        <c:v>230000</c:v>
                      </c:pt>
                      <c:pt idx="3">
                        <c:v>235000</c:v>
                      </c:pt>
                      <c:pt idx="4">
                        <c:v>240000</c:v>
                      </c:pt>
                      <c:pt idx="5">
                        <c:v>245000</c:v>
                      </c:pt>
                      <c:pt idx="6">
                        <c:v>250000</c:v>
                      </c:pt>
                      <c:pt idx="7">
                        <c:v>255000</c:v>
                      </c:pt>
                      <c:pt idx="8">
                        <c:v>260000</c:v>
                      </c:pt>
                      <c:pt idx="9">
                        <c:v>258000</c:v>
                      </c:pt>
                      <c:pt idx="10">
                        <c:v>270000</c:v>
                      </c:pt>
                      <c:pt idx="11">
                        <c:v>270000</c:v>
                      </c:pt>
                      <c:pt idx="12">
                        <c:v>270000</c:v>
                      </c:pt>
                      <c:pt idx="13">
                        <c:v>270000</c:v>
                      </c:pt>
                      <c:pt idx="14">
                        <c:v>270000</c:v>
                      </c:pt>
                      <c:pt idx="15">
                        <c:v>270000</c:v>
                      </c:pt>
                      <c:pt idx="16">
                        <c:v>280000</c:v>
                      </c:pt>
                      <c:pt idx="17">
                        <c:v>290000</c:v>
                      </c:pt>
                      <c:pt idx="18">
                        <c:v>298000</c:v>
                      </c:pt>
                      <c:pt idx="19">
                        <c:v>300000</c:v>
                      </c:pt>
                      <c:pt idx="20">
                        <c:v>300000</c:v>
                      </c:pt>
                      <c:pt idx="21">
                        <c:v>305000</c:v>
                      </c:pt>
                      <c:pt idx="22">
                        <c:v>306191.18811847881</c:v>
                      </c:pt>
                      <c:pt idx="23">
                        <c:v>309455.80059204227</c:v>
                      </c:pt>
                      <c:pt idx="24">
                        <c:v>311505.14043037425</c:v>
                      </c:pt>
                      <c:pt idx="25">
                        <c:v>312284.77577837184</c:v>
                      </c:pt>
                      <c:pt idx="26">
                        <c:v>311897.63140386116</c:v>
                      </c:pt>
                      <c:pt idx="27">
                        <c:v>312359.05906355992</c:v>
                      </c:pt>
                      <c:pt idx="28">
                        <c:v>312473.73792194901</c:v>
                      </c:pt>
                      <c:pt idx="29">
                        <c:v>312271.93033221294</c:v>
                      </c:pt>
                      <c:pt idx="30">
                        <c:v>294752.91685803444</c:v>
                      </c:pt>
                      <c:pt idx="31">
                        <c:v>297252.07158443914</c:v>
                      </c:pt>
                      <c:pt idx="32">
                        <c:v>299531.93959885079</c:v>
                      </c:pt>
                      <c:pt idx="33">
                        <c:v>301808.21832016995</c:v>
                      </c:pt>
                      <c:pt idx="34">
                        <c:v>303896.88907510455</c:v>
                      </c:pt>
                      <c:pt idx="35">
                        <c:v>306115.61585013871</c:v>
                      </c:pt>
                      <c:pt idx="36">
                        <c:v>308896.29656075616</c:v>
                      </c:pt>
                      <c:pt idx="37">
                        <c:v>311579.85582885169</c:v>
                      </c:pt>
                      <c:pt idx="38">
                        <c:v>314433.01953944133</c:v>
                      </c:pt>
                      <c:pt idx="39">
                        <c:v>317394.69730999251</c:v>
                      </c:pt>
                      <c:pt idx="40">
                        <c:v>320476.52595109364</c:v>
                      </c:pt>
                      <c:pt idx="41">
                        <c:v>324594.14645770477</c:v>
                      </c:pt>
                      <c:pt idx="42">
                        <c:v>328355.32066233177</c:v>
                      </c:pt>
                      <c:pt idx="43">
                        <c:v>332684.00362665253</c:v>
                      </c:pt>
                      <c:pt idx="44">
                        <c:v>337376.35507619038</c:v>
                      </c:pt>
                      <c:pt idx="45">
                        <c:v>342446.51166985318</c:v>
                      </c:pt>
                      <c:pt idx="46">
                        <c:v>347554.31153425178</c:v>
                      </c:pt>
                      <c:pt idx="47">
                        <c:v>352882.07483241637</c:v>
                      </c:pt>
                      <c:pt idx="48">
                        <c:v>358230.86400850012</c:v>
                      </c:pt>
                      <c:pt idx="49">
                        <c:v>363794.50039648847</c:v>
                      </c:pt>
                      <c:pt idx="50">
                        <c:v>369738.07226133271</c:v>
                      </c:pt>
                      <c:pt idx="51">
                        <c:v>375581.02394524898</c:v>
                      </c:pt>
                      <c:pt idx="52">
                        <c:v>381669.59992898407</c:v>
                      </c:pt>
                      <c:pt idx="53">
                        <c:v>387976.56407398952</c:v>
                      </c:pt>
                      <c:pt idx="54">
                        <c:v>394545.16077153804</c:v>
                      </c:pt>
                      <c:pt idx="55">
                        <c:v>401562.18689621944</c:v>
                      </c:pt>
                      <c:pt idx="56">
                        <c:v>409031.37003715162</c:v>
                      </c:pt>
                      <c:pt idx="57">
                        <c:v>416852.02888590423</c:v>
                      </c:pt>
                      <c:pt idx="58">
                        <c:v>424655.58898364205</c:v>
                      </c:pt>
                      <c:pt idx="59">
                        <c:v>432841.77003392472</c:v>
                      </c:pt>
                      <c:pt idx="60">
                        <c:v>441443.55924459588</c:v>
                      </c:pt>
                    </c:numCache>
                  </c:numRef>
                </c:val>
                <c:extLst xmlns:c15="http://schemas.microsoft.com/office/drawing/2012/chart">
                  <c:ext xmlns:c16="http://schemas.microsoft.com/office/drawing/2014/chart" uri="{C3380CC4-5D6E-409C-BE32-E72D297353CC}">
                    <c16:uniqueId val="{0000000C-3B16-45B8-89BE-5AE640BDA9C0}"/>
                  </c:ext>
                </c:extLst>
              </c15:ser>
            </c15:filteredAreaSeries>
            <c15:filteredAreaSeries>
              <c15:ser>
                <c:idx val="13"/>
                <c:order val="11"/>
                <c:tx>
                  <c:strRef>
                    <c:extLst xmlns:c15="http://schemas.microsoft.com/office/drawing/2012/chart">
                      <c:ext xmlns:c15="http://schemas.microsoft.com/office/drawing/2012/chart" uri="{02D57815-91ED-43cb-92C2-25804820EDAC}">
                        <c15:formulaRef>
                          <c15:sqref>'Activity data'!$D$16:$F$16</c15:sqref>
                        </c15:formulaRef>
                      </c:ext>
                    </c:extLst>
                    <c:strCache>
                      <c:ptCount val="3"/>
                      <c:pt idx="0">
                        <c:v>Mules &amp; Asses</c:v>
                      </c:pt>
                      <c:pt idx="1">
                        <c:v>Population</c:v>
                      </c:pt>
                      <c:pt idx="2">
                        <c:v>Head</c:v>
                      </c:pt>
                    </c:strCache>
                  </c:strRef>
                </c:tx>
                <c:spPr>
                  <a:solidFill>
                    <a:schemeClr val="accent2">
                      <a:lumMod val="80000"/>
                      <a:lumOff val="2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c:ext xmlns:c15="http://schemas.microsoft.com/office/drawing/2012/chart" uri="{02D57815-91ED-43cb-92C2-25804820EDAC}">
                        <c15:formulaRef>
                          <c15:sqref>'Activity data'!$H$16:$BP$16</c15:sqref>
                        </c15:formulaRef>
                      </c:ext>
                    </c:extLst>
                    <c:numCache>
                      <c:formatCode>#,##0</c:formatCode>
                      <c:ptCount val="61"/>
                      <c:pt idx="0">
                        <c:v>224000</c:v>
                      </c:pt>
                      <c:pt idx="1">
                        <c:v>224000</c:v>
                      </c:pt>
                      <c:pt idx="2">
                        <c:v>224000</c:v>
                      </c:pt>
                      <c:pt idx="3">
                        <c:v>224000</c:v>
                      </c:pt>
                      <c:pt idx="4">
                        <c:v>224000</c:v>
                      </c:pt>
                      <c:pt idx="5">
                        <c:v>224000</c:v>
                      </c:pt>
                      <c:pt idx="6">
                        <c:v>224000</c:v>
                      </c:pt>
                      <c:pt idx="7">
                        <c:v>224000</c:v>
                      </c:pt>
                      <c:pt idx="8">
                        <c:v>224000</c:v>
                      </c:pt>
                      <c:pt idx="9">
                        <c:v>224000</c:v>
                      </c:pt>
                      <c:pt idx="10">
                        <c:v>164000</c:v>
                      </c:pt>
                      <c:pt idx="11">
                        <c:v>164000</c:v>
                      </c:pt>
                      <c:pt idx="12">
                        <c:v>164000</c:v>
                      </c:pt>
                      <c:pt idx="13">
                        <c:v>164000</c:v>
                      </c:pt>
                      <c:pt idx="14">
                        <c:v>164000</c:v>
                      </c:pt>
                      <c:pt idx="15">
                        <c:v>164000</c:v>
                      </c:pt>
                      <c:pt idx="16">
                        <c:v>164050</c:v>
                      </c:pt>
                      <c:pt idx="17">
                        <c:v>164600</c:v>
                      </c:pt>
                      <c:pt idx="18">
                        <c:v>164700</c:v>
                      </c:pt>
                      <c:pt idx="19">
                        <c:v>164800</c:v>
                      </c:pt>
                      <c:pt idx="20">
                        <c:v>166300</c:v>
                      </c:pt>
                      <c:pt idx="21">
                        <c:v>167000</c:v>
                      </c:pt>
                      <c:pt idx="22">
                        <c:v>167000</c:v>
                      </c:pt>
                      <c:pt idx="23">
                        <c:v>167000</c:v>
                      </c:pt>
                      <c:pt idx="24">
                        <c:v>167000</c:v>
                      </c:pt>
                      <c:pt idx="25">
                        <c:v>167000</c:v>
                      </c:pt>
                      <c:pt idx="26">
                        <c:v>167000</c:v>
                      </c:pt>
                      <c:pt idx="27">
                        <c:v>167000</c:v>
                      </c:pt>
                      <c:pt idx="28">
                        <c:v>167000</c:v>
                      </c:pt>
                      <c:pt idx="29">
                        <c:v>167000</c:v>
                      </c:pt>
                      <c:pt idx="30">
                        <c:v>167000</c:v>
                      </c:pt>
                      <c:pt idx="31">
                        <c:v>167000</c:v>
                      </c:pt>
                      <c:pt idx="32">
                        <c:v>167000</c:v>
                      </c:pt>
                      <c:pt idx="33">
                        <c:v>167000</c:v>
                      </c:pt>
                      <c:pt idx="34">
                        <c:v>167000</c:v>
                      </c:pt>
                      <c:pt idx="35">
                        <c:v>167000</c:v>
                      </c:pt>
                      <c:pt idx="36">
                        <c:v>167000</c:v>
                      </c:pt>
                      <c:pt idx="37">
                        <c:v>167000</c:v>
                      </c:pt>
                      <c:pt idx="38">
                        <c:v>167000</c:v>
                      </c:pt>
                      <c:pt idx="39">
                        <c:v>167000</c:v>
                      </c:pt>
                      <c:pt idx="40">
                        <c:v>167000</c:v>
                      </c:pt>
                      <c:pt idx="41">
                        <c:v>167000</c:v>
                      </c:pt>
                      <c:pt idx="42">
                        <c:v>167000</c:v>
                      </c:pt>
                      <c:pt idx="43">
                        <c:v>167000</c:v>
                      </c:pt>
                      <c:pt idx="44">
                        <c:v>167000</c:v>
                      </c:pt>
                      <c:pt idx="45">
                        <c:v>167000</c:v>
                      </c:pt>
                      <c:pt idx="46">
                        <c:v>167000</c:v>
                      </c:pt>
                      <c:pt idx="47">
                        <c:v>167000</c:v>
                      </c:pt>
                      <c:pt idx="48">
                        <c:v>167000</c:v>
                      </c:pt>
                      <c:pt idx="49">
                        <c:v>167000</c:v>
                      </c:pt>
                      <c:pt idx="50">
                        <c:v>167000</c:v>
                      </c:pt>
                      <c:pt idx="51">
                        <c:v>167000</c:v>
                      </c:pt>
                      <c:pt idx="52">
                        <c:v>167000</c:v>
                      </c:pt>
                      <c:pt idx="53">
                        <c:v>167000</c:v>
                      </c:pt>
                      <c:pt idx="54">
                        <c:v>167000</c:v>
                      </c:pt>
                      <c:pt idx="55">
                        <c:v>167000</c:v>
                      </c:pt>
                      <c:pt idx="56">
                        <c:v>167000</c:v>
                      </c:pt>
                      <c:pt idx="57">
                        <c:v>167000</c:v>
                      </c:pt>
                      <c:pt idx="58">
                        <c:v>167000</c:v>
                      </c:pt>
                      <c:pt idx="59">
                        <c:v>167000</c:v>
                      </c:pt>
                      <c:pt idx="60">
                        <c:v>167000</c:v>
                      </c:pt>
                    </c:numCache>
                  </c:numRef>
                </c:val>
                <c:extLst xmlns:c15="http://schemas.microsoft.com/office/drawing/2012/chart">
                  <c:ext xmlns:c16="http://schemas.microsoft.com/office/drawing/2014/chart" uri="{C3380CC4-5D6E-409C-BE32-E72D297353CC}">
                    <c16:uniqueId val="{0000000D-3B16-45B8-89BE-5AE640BDA9C0}"/>
                  </c:ext>
                </c:extLst>
              </c15:ser>
            </c15:filteredAreaSeries>
            <c15:filteredAreaSeries>
              <c15:ser>
                <c:idx val="14"/>
                <c:order val="12"/>
                <c:tx>
                  <c:strRef>
                    <c:extLst xmlns:c15="http://schemas.microsoft.com/office/drawing/2012/chart">
                      <c:ext xmlns:c15="http://schemas.microsoft.com/office/drawing/2012/chart" uri="{02D57815-91ED-43cb-92C2-25804820EDAC}">
                        <c15:formulaRef>
                          <c15:sqref>'Activity data'!$D$17:$F$17</c15:sqref>
                        </c15:formulaRef>
                      </c:ext>
                    </c:extLst>
                    <c:strCache>
                      <c:ptCount val="3"/>
                      <c:pt idx="0">
                        <c:v>Commercial</c:v>
                      </c:pt>
                      <c:pt idx="1">
                        <c:v>Population</c:v>
                      </c:pt>
                      <c:pt idx="2">
                        <c:v>Head</c:v>
                      </c:pt>
                    </c:strCache>
                  </c:strRef>
                </c:tx>
                <c:spPr>
                  <a:solidFill>
                    <a:schemeClr val="accent3">
                      <a:lumMod val="80000"/>
                      <a:lumOff val="2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c:ext xmlns:c15="http://schemas.microsoft.com/office/drawing/2012/chart" uri="{02D57815-91ED-43cb-92C2-25804820EDAC}">
                        <c15:formulaRef>
                          <c15:sqref>'Activity data'!$H$17:$BP$17</c15:sqref>
                        </c15:formulaRef>
                      </c:ext>
                    </c:extLst>
                    <c:numCache>
                      <c:formatCode>#,##0</c:formatCode>
                      <c:ptCount val="61"/>
                      <c:pt idx="0">
                        <c:v>1524000</c:v>
                      </c:pt>
                      <c:pt idx="1">
                        <c:v>1665000</c:v>
                      </c:pt>
                      <c:pt idx="2">
                        <c:v>1654000</c:v>
                      </c:pt>
                      <c:pt idx="3">
                        <c:v>1653000</c:v>
                      </c:pt>
                      <c:pt idx="4">
                        <c:v>1570000</c:v>
                      </c:pt>
                      <c:pt idx="5">
                        <c:v>1585000</c:v>
                      </c:pt>
                      <c:pt idx="6">
                        <c:v>1707000</c:v>
                      </c:pt>
                      <c:pt idx="7">
                        <c:v>1699000</c:v>
                      </c:pt>
                      <c:pt idx="8">
                        <c:v>1736000</c:v>
                      </c:pt>
                      <c:pt idx="9">
                        <c:v>1780000</c:v>
                      </c:pt>
                      <c:pt idx="10">
                        <c:v>1647000</c:v>
                      </c:pt>
                      <c:pt idx="11">
                        <c:v>1678000</c:v>
                      </c:pt>
                      <c:pt idx="12">
                        <c:v>1710000</c:v>
                      </c:pt>
                      <c:pt idx="13">
                        <c:v>1663000</c:v>
                      </c:pt>
                      <c:pt idx="14">
                        <c:v>1663000</c:v>
                      </c:pt>
                      <c:pt idx="15">
                        <c:v>1651000</c:v>
                      </c:pt>
                      <c:pt idx="16">
                        <c:v>1622000</c:v>
                      </c:pt>
                      <c:pt idx="17">
                        <c:v>1651000</c:v>
                      </c:pt>
                      <c:pt idx="18">
                        <c:v>1615000</c:v>
                      </c:pt>
                      <c:pt idx="19">
                        <c:v>1613000</c:v>
                      </c:pt>
                      <c:pt idx="20">
                        <c:v>1594000</c:v>
                      </c:pt>
                      <c:pt idx="21">
                        <c:v>1584000</c:v>
                      </c:pt>
                      <c:pt idx="22">
                        <c:v>1567525.7107569333</c:v>
                      </c:pt>
                      <c:pt idx="23">
                        <c:v>1561168.5634384467</c:v>
                      </c:pt>
                      <c:pt idx="24">
                        <c:v>1556609.918864219</c:v>
                      </c:pt>
                      <c:pt idx="25">
                        <c:v>1553805.508516069</c:v>
                      </c:pt>
                      <c:pt idx="26">
                        <c:v>1552433.6390468078</c:v>
                      </c:pt>
                      <c:pt idx="27">
                        <c:v>1549935.9631950213</c:v>
                      </c:pt>
                      <c:pt idx="28">
                        <c:v>1547922.5782921906</c:v>
                      </c:pt>
                      <c:pt idx="29">
                        <c:v>1546351.3674156307</c:v>
                      </c:pt>
                      <c:pt idx="30">
                        <c:v>1570746.9885248444</c:v>
                      </c:pt>
                      <c:pt idx="31">
                        <c:v>1564827.9405084928</c:v>
                      </c:pt>
                      <c:pt idx="32">
                        <c:v>1559393.2087187506</c:v>
                      </c:pt>
                      <c:pt idx="33">
                        <c:v>1554078.2335158973</c:v>
                      </c:pt>
                      <c:pt idx="34">
                        <c:v>1549151.1953629036</c:v>
                      </c:pt>
                      <c:pt idx="35">
                        <c:v>1544125.9023224525</c:v>
                      </c:pt>
                      <c:pt idx="36">
                        <c:v>1538259.6547481501</c:v>
                      </c:pt>
                      <c:pt idx="37">
                        <c:v>1532664.4090654547</c:v>
                      </c:pt>
                      <c:pt idx="38">
                        <c:v>1526969.1799081755</c:v>
                      </c:pt>
                      <c:pt idx="39">
                        <c:v>1521266.7304891231</c:v>
                      </c:pt>
                      <c:pt idx="40">
                        <c:v>1515549.1316106794</c:v>
                      </c:pt>
                      <c:pt idx="41">
                        <c:v>1527069.1205482599</c:v>
                      </c:pt>
                      <c:pt idx="42">
                        <c:v>1533014.0487415879</c:v>
                      </c:pt>
                      <c:pt idx="43">
                        <c:v>1541312.5346611615</c:v>
                      </c:pt>
                      <c:pt idx="44">
                        <c:v>1549842.8714185536</c:v>
                      </c:pt>
                      <c:pt idx="45">
                        <c:v>1558392.0382891824</c:v>
                      </c:pt>
                      <c:pt idx="46">
                        <c:v>1564653.842729551</c:v>
                      </c:pt>
                      <c:pt idx="47">
                        <c:v>1569382.7828665604</c:v>
                      </c:pt>
                      <c:pt idx="48">
                        <c:v>1571069.2899534102</c:v>
                      </c:pt>
                      <c:pt idx="49">
                        <c:v>1570962.2037498804</c:v>
                      </c:pt>
                      <c:pt idx="50">
                        <c:v>1569912.9831519413</c:v>
                      </c:pt>
                      <c:pt idx="51">
                        <c:v>1578441.5381163331</c:v>
                      </c:pt>
                      <c:pt idx="52">
                        <c:v>1585678.4571898803</c:v>
                      </c:pt>
                      <c:pt idx="53">
                        <c:v>1591325.8890965316</c:v>
                      </c:pt>
                      <c:pt idx="54">
                        <c:v>1595483.434770863</c:v>
                      </c:pt>
                      <c:pt idx="55">
                        <c:v>1598936.8863609033</c:v>
                      </c:pt>
                      <c:pt idx="56">
                        <c:v>1600926.2176868126</c:v>
                      </c:pt>
                      <c:pt idx="57">
                        <c:v>1601243.7159216597</c:v>
                      </c:pt>
                      <c:pt idx="58">
                        <c:v>1598095.6546901385</c:v>
                      </c:pt>
                      <c:pt idx="59">
                        <c:v>1593192.1375390119</c:v>
                      </c:pt>
                      <c:pt idx="60">
                        <c:v>1586467.285899037</c:v>
                      </c:pt>
                    </c:numCache>
                  </c:numRef>
                </c:val>
                <c:extLst xmlns:c15="http://schemas.microsoft.com/office/drawing/2012/chart">
                  <c:ext xmlns:c16="http://schemas.microsoft.com/office/drawing/2014/chart" uri="{C3380CC4-5D6E-409C-BE32-E72D297353CC}">
                    <c16:uniqueId val="{0000000E-3B16-45B8-89BE-5AE640BDA9C0}"/>
                  </c:ext>
                </c:extLst>
              </c15:ser>
            </c15:filteredAreaSeries>
            <c15:filteredAreaSeries>
              <c15:ser>
                <c:idx val="15"/>
                <c:order val="13"/>
                <c:tx>
                  <c:strRef>
                    <c:extLst xmlns:c15="http://schemas.microsoft.com/office/drawing/2012/chart">
                      <c:ext xmlns:c15="http://schemas.microsoft.com/office/drawing/2012/chart" uri="{02D57815-91ED-43cb-92C2-25804820EDAC}">
                        <c15:formulaRef>
                          <c15:sqref>'Activity data'!$D$18:$F$18</c15:sqref>
                        </c15:formulaRef>
                      </c:ext>
                    </c:extLst>
                    <c:strCache>
                      <c:ptCount val="3"/>
                      <c:pt idx="0">
                        <c:v>Subsistence</c:v>
                      </c:pt>
                      <c:pt idx="1">
                        <c:v>Population</c:v>
                      </c:pt>
                      <c:pt idx="2">
                        <c:v>Head</c:v>
                      </c:pt>
                    </c:strCache>
                  </c:strRef>
                </c:tx>
                <c:spPr>
                  <a:solidFill>
                    <a:schemeClr val="accent4">
                      <a:lumMod val="80000"/>
                      <a:lumOff val="2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c:ext xmlns:c15="http://schemas.microsoft.com/office/drawing/2012/chart" uri="{02D57815-91ED-43cb-92C2-25804820EDAC}">
                        <c15:formulaRef>
                          <c15:sqref>'Activity data'!$H$18:$BP$18</c15:sqref>
                        </c15:formulaRef>
                      </c:ext>
                    </c:extLst>
                    <c:numCache>
                      <c:formatCode>#,##0</c:formatCode>
                      <c:ptCount val="61"/>
                      <c:pt idx="0">
                        <c:v>199009.99166888703</c:v>
                      </c:pt>
                      <c:pt idx="1">
                        <c:v>217422.33341778014</c:v>
                      </c:pt>
                      <c:pt idx="2">
                        <c:v>215985.90959339839</c:v>
                      </c:pt>
                      <c:pt idx="3">
                        <c:v>215855.3256093637</c:v>
                      </c:pt>
                      <c:pt idx="4">
                        <c:v>205016.85493448336</c:v>
                      </c:pt>
                      <c:pt idx="5">
                        <c:v>206975.6146950039</c:v>
                      </c:pt>
                      <c:pt idx="6">
                        <c:v>222906.86074723766</c:v>
                      </c:pt>
                      <c:pt idx="7">
                        <c:v>221862.18887496003</c:v>
                      </c:pt>
                      <c:pt idx="8">
                        <c:v>226693.79628424402</c:v>
                      </c:pt>
                      <c:pt idx="9">
                        <c:v>232439.49158177094</c:v>
                      </c:pt>
                      <c:pt idx="10">
                        <c:v>215071.82170515548</c:v>
                      </c:pt>
                      <c:pt idx="11">
                        <c:v>219119.92521023127</c:v>
                      </c:pt>
                      <c:pt idx="12">
                        <c:v>223298.61269934176</c:v>
                      </c:pt>
                      <c:pt idx="13">
                        <c:v>217161.16544971074</c:v>
                      </c:pt>
                      <c:pt idx="14">
                        <c:v>217161.16544971074</c:v>
                      </c:pt>
                      <c:pt idx="15">
                        <c:v>215594.1576412943</c:v>
                      </c:pt>
                      <c:pt idx="16">
                        <c:v>211807.22210428791</c:v>
                      </c:pt>
                      <c:pt idx="17">
                        <c:v>215594.1576412943</c:v>
                      </c:pt>
                      <c:pt idx="18">
                        <c:v>210893.134216045</c:v>
                      </c:pt>
                      <c:pt idx="19">
                        <c:v>210631.96624797559</c:v>
                      </c:pt>
                      <c:pt idx="20">
                        <c:v>208150.87055131624</c:v>
                      </c:pt>
                      <c:pt idx="21">
                        <c:v>206845.03071096921</c:v>
                      </c:pt>
                      <c:pt idx="22">
                        <c:v>205345.86810915827</c:v>
                      </c:pt>
                      <c:pt idx="23">
                        <c:v>204513.08181043653</c:v>
                      </c:pt>
                      <c:pt idx="24">
                        <c:v>203915.8993712127</c:v>
                      </c:pt>
                      <c:pt idx="25">
                        <c:v>203548.52161560504</c:v>
                      </c:pt>
                      <c:pt idx="26">
                        <c:v>203368.80671513182</c:v>
                      </c:pt>
                      <c:pt idx="27">
                        <c:v>203041.61117854778</c:v>
                      </c:pt>
                      <c:pt idx="28">
                        <c:v>202777.85775627696</c:v>
                      </c:pt>
                      <c:pt idx="29">
                        <c:v>202572.02913144763</c:v>
                      </c:pt>
                      <c:pt idx="30">
                        <c:v>205767.85549675464</c:v>
                      </c:pt>
                      <c:pt idx="31">
                        <c:v>204992.46020661257</c:v>
                      </c:pt>
                      <c:pt idx="32">
                        <c:v>204280.51034215634</c:v>
                      </c:pt>
                      <c:pt idx="33">
                        <c:v>203584.24859058255</c:v>
                      </c:pt>
                      <c:pt idx="34">
                        <c:v>202938.80659254038</c:v>
                      </c:pt>
                      <c:pt idx="35">
                        <c:v>202280.4932042413</c:v>
                      </c:pt>
                      <c:pt idx="36">
                        <c:v>201512.01477200768</c:v>
                      </c:pt>
                      <c:pt idx="37">
                        <c:v>200779.03758757457</c:v>
                      </c:pt>
                      <c:pt idx="38">
                        <c:v>200032.962567971</c:v>
                      </c:pt>
                      <c:pt idx="39">
                        <c:v>199285.94169407515</c:v>
                      </c:pt>
                      <c:pt idx="40">
                        <c:v>198536.93624099903</c:v>
                      </c:pt>
                      <c:pt idx="41">
                        <c:v>200046.05479182207</c:v>
                      </c:pt>
                      <c:pt idx="42">
                        <c:v>200824.84038514801</c:v>
                      </c:pt>
                      <c:pt idx="43">
                        <c:v>201911.94204061216</c:v>
                      </c:pt>
                      <c:pt idx="44">
                        <c:v>203029.41615583052</c:v>
                      </c:pt>
                      <c:pt idx="45">
                        <c:v>204149.35701588291</c:v>
                      </c:pt>
                      <c:pt idx="46">
                        <c:v>204969.65339757118</c:v>
                      </c:pt>
                      <c:pt idx="47">
                        <c:v>205589.14455551942</c:v>
                      </c:pt>
                      <c:pt idx="48">
                        <c:v>205810.07698389675</c:v>
                      </c:pt>
                      <c:pt idx="49">
                        <c:v>205796.04869123435</c:v>
                      </c:pt>
                      <c:pt idx="50">
                        <c:v>205658.60079290433</c:v>
                      </c:pt>
                      <c:pt idx="51">
                        <c:v>206775.84149323966</c:v>
                      </c:pt>
                      <c:pt idx="52">
                        <c:v>207723.87789187432</c:v>
                      </c:pt>
                      <c:pt idx="53">
                        <c:v>208463.69147164564</c:v>
                      </c:pt>
                      <c:pt idx="54">
                        <c:v>209008.32995498306</c:v>
                      </c:pt>
                      <c:pt idx="55">
                        <c:v>209460.73211327833</c:v>
                      </c:pt>
                      <c:pt idx="56">
                        <c:v>209721.33451697245</c:v>
                      </c:pt>
                      <c:pt idx="57">
                        <c:v>209762.92678573742</c:v>
                      </c:pt>
                      <c:pt idx="58">
                        <c:v>209350.53076440815</c:v>
                      </c:pt>
                      <c:pt idx="59">
                        <c:v>208708.17001761057</c:v>
                      </c:pt>
                      <c:pt idx="60">
                        <c:v>207827.21445277386</c:v>
                      </c:pt>
                    </c:numCache>
                  </c:numRef>
                </c:val>
                <c:extLst xmlns:c15="http://schemas.microsoft.com/office/drawing/2012/chart">
                  <c:ext xmlns:c16="http://schemas.microsoft.com/office/drawing/2014/chart" uri="{C3380CC4-5D6E-409C-BE32-E72D297353CC}">
                    <c16:uniqueId val="{0000000F-3B16-45B8-89BE-5AE640BDA9C0}"/>
                  </c:ext>
                </c:extLst>
              </c15:ser>
            </c15:filteredAreaSeries>
            <c15:filteredAreaSeries>
              <c15:ser>
                <c:idx val="16"/>
                <c:order val="14"/>
                <c:tx>
                  <c:strRef>
                    <c:extLst xmlns:c15="http://schemas.microsoft.com/office/drawing/2012/chart">
                      <c:ext xmlns:c15="http://schemas.microsoft.com/office/drawing/2012/chart" uri="{02D57815-91ED-43cb-92C2-25804820EDAC}">
                        <c15:formulaRef>
                          <c15:sqref>'Activity data'!$D$19:$F$19</c15:sqref>
                        </c15:formulaRef>
                      </c:ext>
                    </c:extLst>
                    <c:strCache>
                      <c:ptCount val="3"/>
                      <c:pt idx="0">
                        <c:v>Commercial layers</c:v>
                      </c:pt>
                      <c:pt idx="1">
                        <c:v>Population</c:v>
                      </c:pt>
                      <c:pt idx="2">
                        <c:v>Head</c:v>
                      </c:pt>
                    </c:strCache>
                  </c:strRef>
                </c:tx>
                <c:spPr>
                  <a:solidFill>
                    <a:schemeClr val="accent5">
                      <a:lumMod val="80000"/>
                      <a:lumOff val="2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c:ext xmlns:c15="http://schemas.microsoft.com/office/drawing/2012/chart" uri="{02D57815-91ED-43cb-92C2-25804820EDAC}">
                        <c15:formulaRef>
                          <c15:sqref>'Activity data'!$H$19:$BP$19</c15:sqref>
                        </c15:formulaRef>
                      </c:ext>
                    </c:extLst>
                    <c:numCache>
                      <c:formatCode>#,##0</c:formatCode>
                      <c:ptCount val="61"/>
                      <c:pt idx="0">
                        <c:v>14643674.931267885</c:v>
                      </c:pt>
                      <c:pt idx="1">
                        <c:v>14226110.812328145</c:v>
                      </c:pt>
                      <c:pt idx="2">
                        <c:v>13492476.52712371</c:v>
                      </c:pt>
                      <c:pt idx="3">
                        <c:v>13280331.082668224</c:v>
                      </c:pt>
                      <c:pt idx="4">
                        <c:v>12702684.496371185</c:v>
                      </c:pt>
                      <c:pt idx="5">
                        <c:v>13860209.809151115</c:v>
                      </c:pt>
                      <c:pt idx="6">
                        <c:v>14640611.562802857</c:v>
                      </c:pt>
                      <c:pt idx="7">
                        <c:v>14688755.298092401</c:v>
                      </c:pt>
                      <c:pt idx="8">
                        <c:v>16538299.007411262</c:v>
                      </c:pt>
                      <c:pt idx="9">
                        <c:v>17730716.13950536</c:v>
                      </c:pt>
                      <c:pt idx="10">
                        <c:v>17355030.714458548</c:v>
                      </c:pt>
                      <c:pt idx="11">
                        <c:v>17818001.024886843</c:v>
                      </c:pt>
                      <c:pt idx="12">
                        <c:v>17678155.288284503</c:v>
                      </c:pt>
                      <c:pt idx="13">
                        <c:v>16972399.104253348</c:v>
                      </c:pt>
                      <c:pt idx="14">
                        <c:v>17587835.89054852</c:v>
                      </c:pt>
                      <c:pt idx="15">
                        <c:v>18648391.6209228</c:v>
                      </c:pt>
                      <c:pt idx="16">
                        <c:v>20580691.805783488</c:v>
                      </c:pt>
                      <c:pt idx="17">
                        <c:v>22776081.657241259</c:v>
                      </c:pt>
                      <c:pt idx="18">
                        <c:v>23076039.863330547</c:v>
                      </c:pt>
                      <c:pt idx="19">
                        <c:v>22225308.649488669</c:v>
                      </c:pt>
                      <c:pt idx="20">
                        <c:v>23091061.215630483</c:v>
                      </c:pt>
                      <c:pt idx="21">
                        <c:v>24156882.687047753</c:v>
                      </c:pt>
                      <c:pt idx="22">
                        <c:v>24310436.44166908</c:v>
                      </c:pt>
                      <c:pt idx="23">
                        <c:v>24867810.149557736</c:v>
                      </c:pt>
                      <c:pt idx="24">
                        <c:v>25307160.214167956</c:v>
                      </c:pt>
                      <c:pt idx="25">
                        <c:v>25623278.875162419</c:v>
                      </c:pt>
                      <c:pt idx="26">
                        <c:v>25843812.709070131</c:v>
                      </c:pt>
                      <c:pt idx="27">
                        <c:v>26150532.604540069</c:v>
                      </c:pt>
                      <c:pt idx="28">
                        <c:v>26422277.514687624</c:v>
                      </c:pt>
                      <c:pt idx="29">
                        <c:v>26661237.724560879</c:v>
                      </c:pt>
                      <c:pt idx="30">
                        <c:v>24996345.994447421</c:v>
                      </c:pt>
                      <c:pt idx="31">
                        <c:v>25528878.117953848</c:v>
                      </c:pt>
                      <c:pt idx="32">
                        <c:v>26038219.906174727</c:v>
                      </c:pt>
                      <c:pt idx="33">
                        <c:v>26549072.976123463</c:v>
                      </c:pt>
                      <c:pt idx="34">
                        <c:v>27040500.987947639</c:v>
                      </c:pt>
                      <c:pt idx="35">
                        <c:v>27548652.770815719</c:v>
                      </c:pt>
                      <c:pt idx="36">
                        <c:v>28144020.482077867</c:v>
                      </c:pt>
                      <c:pt idx="37">
                        <c:v>28730423.119290914</c:v>
                      </c:pt>
                      <c:pt idx="38">
                        <c:v>29337954.23064873</c:v>
                      </c:pt>
                      <c:pt idx="39">
                        <c:v>29959556.236956079</c:v>
                      </c:pt>
                      <c:pt idx="40">
                        <c:v>30596373.830363527</c:v>
                      </c:pt>
                      <c:pt idx="41">
                        <c:v>31339498.796133619</c:v>
                      </c:pt>
                      <c:pt idx="42">
                        <c:v>32043497.275094777</c:v>
                      </c:pt>
                      <c:pt idx="43">
                        <c:v>32809837.296566781</c:v>
                      </c:pt>
                      <c:pt idx="44">
                        <c:v>33614931.225864157</c:v>
                      </c:pt>
                      <c:pt idx="45">
                        <c:v>34459126.080262661</c:v>
                      </c:pt>
                      <c:pt idx="46">
                        <c:v>35317657.456420019</c:v>
                      </c:pt>
                      <c:pt idx="47">
                        <c:v>36197637.386278041</c:v>
                      </c:pt>
                      <c:pt idx="48">
                        <c:v>37078042.320725963</c:v>
                      </c:pt>
                      <c:pt idx="49">
                        <c:v>37978581.725077301</c:v>
                      </c:pt>
                      <c:pt idx="50">
                        <c:v>38915123.426787332</c:v>
                      </c:pt>
                      <c:pt idx="51">
                        <c:v>39888118.568847962</c:v>
                      </c:pt>
                      <c:pt idx="52">
                        <c:v>40884215.42888324</c:v>
                      </c:pt>
                      <c:pt idx="53">
                        <c:v>41900112.13759163</c:v>
                      </c:pt>
                      <c:pt idx="54">
                        <c:v>42939342.600074172</c:v>
                      </c:pt>
                      <c:pt idx="55">
                        <c:v>44018700.093320861</c:v>
                      </c:pt>
                      <c:pt idx="56">
                        <c:v>45122012.368690111</c:v>
                      </c:pt>
                      <c:pt idx="57">
                        <c:v>46253158.183148779</c:v>
                      </c:pt>
                      <c:pt idx="58">
                        <c:v>47378018.200584427</c:v>
                      </c:pt>
                      <c:pt idx="59">
                        <c:v>48532289.661205485</c:v>
                      </c:pt>
                      <c:pt idx="60">
                        <c:v>49717626.059621684</c:v>
                      </c:pt>
                    </c:numCache>
                  </c:numRef>
                </c:val>
                <c:extLst xmlns:c15="http://schemas.microsoft.com/office/drawing/2012/chart">
                  <c:ext xmlns:c16="http://schemas.microsoft.com/office/drawing/2014/chart" uri="{C3380CC4-5D6E-409C-BE32-E72D297353CC}">
                    <c16:uniqueId val="{00000010-3B16-45B8-89BE-5AE640BDA9C0}"/>
                  </c:ext>
                </c:extLst>
              </c15:ser>
            </c15:filteredAreaSeries>
            <c15:filteredAreaSeries>
              <c15:ser>
                <c:idx val="17"/>
                <c:order val="15"/>
                <c:tx>
                  <c:strRef>
                    <c:extLst xmlns:c15="http://schemas.microsoft.com/office/drawing/2012/chart">
                      <c:ext xmlns:c15="http://schemas.microsoft.com/office/drawing/2012/chart" uri="{02D57815-91ED-43cb-92C2-25804820EDAC}">
                        <c15:formulaRef>
                          <c15:sqref>'Activity data'!$D$20:$F$20</c15:sqref>
                        </c15:formulaRef>
                      </c:ext>
                    </c:extLst>
                    <c:strCache>
                      <c:ptCount val="3"/>
                      <c:pt idx="0">
                        <c:v>Commercial broilers</c:v>
                      </c:pt>
                      <c:pt idx="1">
                        <c:v>Population</c:v>
                      </c:pt>
                      <c:pt idx="2">
                        <c:v>Head</c:v>
                      </c:pt>
                    </c:strCache>
                  </c:strRef>
                </c:tx>
                <c:spPr>
                  <a:solidFill>
                    <a:schemeClr val="accent6">
                      <a:lumMod val="80000"/>
                      <a:lumOff val="2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c:ext xmlns:c15="http://schemas.microsoft.com/office/drawing/2012/chart" uri="{02D57815-91ED-43cb-92C2-25804820EDAC}">
                        <c15:formulaRef>
                          <c15:sqref>'Activity data'!$H$20:$BP$20</c15:sqref>
                        </c15:formulaRef>
                      </c:ext>
                    </c:extLst>
                    <c:numCache>
                      <c:formatCode>#,##0</c:formatCode>
                      <c:ptCount val="61"/>
                      <c:pt idx="0">
                        <c:v>40304488.125775687</c:v>
                      </c:pt>
                      <c:pt idx="1">
                        <c:v>37886218.887128815</c:v>
                      </c:pt>
                      <c:pt idx="2">
                        <c:v>35805187.036307976</c:v>
                      </c:pt>
                      <c:pt idx="3">
                        <c:v>40268107.368938237</c:v>
                      </c:pt>
                      <c:pt idx="4">
                        <c:v>39890443.299430735</c:v>
                      </c:pt>
                      <c:pt idx="5">
                        <c:v>45660443.796231762</c:v>
                      </c:pt>
                      <c:pt idx="6">
                        <c:v>53091326.838711366</c:v>
                      </c:pt>
                      <c:pt idx="7">
                        <c:v>54040901.985378392</c:v>
                      </c:pt>
                      <c:pt idx="8">
                        <c:v>59214394.697576575</c:v>
                      </c:pt>
                      <c:pt idx="9">
                        <c:v>61819163.842046939</c:v>
                      </c:pt>
                      <c:pt idx="10">
                        <c:v>66512864.907880791</c:v>
                      </c:pt>
                      <c:pt idx="11">
                        <c:v>64225159.968942329</c:v>
                      </c:pt>
                      <c:pt idx="12">
                        <c:v>71182309.580183759</c:v>
                      </c:pt>
                      <c:pt idx="13">
                        <c:v>67705122.244331256</c:v>
                      </c:pt>
                      <c:pt idx="14">
                        <c:v>69339582.95804137</c:v>
                      </c:pt>
                      <c:pt idx="15">
                        <c:v>76722494.212373629</c:v>
                      </c:pt>
                      <c:pt idx="16">
                        <c:v>82061878.307196394</c:v>
                      </c:pt>
                      <c:pt idx="17">
                        <c:v>85859218.536646262</c:v>
                      </c:pt>
                      <c:pt idx="18">
                        <c:v>91416754.470852047</c:v>
                      </c:pt>
                      <c:pt idx="19">
                        <c:v>86261715.79298</c:v>
                      </c:pt>
                      <c:pt idx="20">
                        <c:v>88431266.728296682</c:v>
                      </c:pt>
                      <c:pt idx="21">
                        <c:v>91461113.859690607</c:v>
                      </c:pt>
                      <c:pt idx="22">
                        <c:v>90277657.611242414</c:v>
                      </c:pt>
                      <c:pt idx="23">
                        <c:v>91863081.279785126</c:v>
                      </c:pt>
                      <c:pt idx="24">
                        <c:v>93025234.911084086</c:v>
                      </c:pt>
                      <c:pt idx="25">
                        <c:v>93745568.014604688</c:v>
                      </c:pt>
                      <c:pt idx="26">
                        <c:v>94089732.112393633</c:v>
                      </c:pt>
                      <c:pt idx="27">
                        <c:v>94740357.199084848</c:v>
                      </c:pt>
                      <c:pt idx="28">
                        <c:v>95266617.993053332</c:v>
                      </c:pt>
                      <c:pt idx="29">
                        <c:v>95676302.724897593</c:v>
                      </c:pt>
                      <c:pt idx="30">
                        <c:v>89316257.668933332</c:v>
                      </c:pt>
                      <c:pt idx="31">
                        <c:v>90763839.790286794</c:v>
                      </c:pt>
                      <c:pt idx="32">
                        <c:v>92128961.566588402</c:v>
                      </c:pt>
                      <c:pt idx="33">
                        <c:v>93499457.168824732</c:v>
                      </c:pt>
                      <c:pt idx="34">
                        <c:v>94800881.016134471</c:v>
                      </c:pt>
                      <c:pt idx="35">
                        <c:v>96161771.355007291</c:v>
                      </c:pt>
                      <c:pt idx="36">
                        <c:v>97795591.604615957</c:v>
                      </c:pt>
                      <c:pt idx="37">
                        <c:v>99397533.782424524</c:v>
                      </c:pt>
                      <c:pt idx="38">
                        <c:v>101074604.73352903</c:v>
                      </c:pt>
                      <c:pt idx="39">
                        <c:v>102801709.06941545</c:v>
                      </c:pt>
                      <c:pt idx="40">
                        <c:v>104582917.0942848</c:v>
                      </c:pt>
                      <c:pt idx="41">
                        <c:v>106758538.04878813</c:v>
                      </c:pt>
                      <c:pt idx="42">
                        <c:v>108795032.78133826</c:v>
                      </c:pt>
                      <c:pt idx="43">
                        <c:v>111053201.99015167</c:v>
                      </c:pt>
                      <c:pt idx="44">
                        <c:v>113449172.61847842</c:v>
                      </c:pt>
                      <c:pt idx="45">
                        <c:v>115984178.58449514</c:v>
                      </c:pt>
                      <c:pt idx="46">
                        <c:v>118551810.82927619</c:v>
                      </c:pt>
                      <c:pt idx="47">
                        <c:v>121195709.98843412</c:v>
                      </c:pt>
                      <c:pt idx="48">
                        <c:v>123841120.39006066</c:v>
                      </c:pt>
                      <c:pt idx="49">
                        <c:v>126558125.06965104</c:v>
                      </c:pt>
                      <c:pt idx="50">
                        <c:v>129403146.96514967</c:v>
                      </c:pt>
                      <c:pt idx="51">
                        <c:v>132309129.25882214</c:v>
                      </c:pt>
                      <c:pt idx="52">
                        <c:v>135297256.80796891</c:v>
                      </c:pt>
                      <c:pt idx="53">
                        <c:v>138355788.7866137</c:v>
                      </c:pt>
                      <c:pt idx="54">
                        <c:v>141497291.08698812</c:v>
                      </c:pt>
                      <c:pt idx="55">
                        <c:v>144781477.35860783</c:v>
                      </c:pt>
                      <c:pt idx="56">
                        <c:v>148170388.12900984</c:v>
                      </c:pt>
                      <c:pt idx="57">
                        <c:v>151658269.58863199</c:v>
                      </c:pt>
                      <c:pt idx="58">
                        <c:v>155123799.95984933</c:v>
                      </c:pt>
                      <c:pt idx="59">
                        <c:v>158693911.75072768</c:v>
                      </c:pt>
                      <c:pt idx="60">
                        <c:v>162374484.46051019</c:v>
                      </c:pt>
                    </c:numCache>
                  </c:numRef>
                </c:val>
                <c:extLst xmlns:c15="http://schemas.microsoft.com/office/drawing/2012/chart">
                  <c:ext xmlns:c16="http://schemas.microsoft.com/office/drawing/2014/chart" uri="{C3380CC4-5D6E-409C-BE32-E72D297353CC}">
                    <c16:uniqueId val="{00000011-3B16-45B8-89BE-5AE640BDA9C0}"/>
                  </c:ext>
                </c:extLst>
              </c15:ser>
            </c15:filteredAreaSeries>
            <c15:filteredAreaSeries>
              <c15:ser>
                <c:idx val="18"/>
                <c:order val="16"/>
                <c:tx>
                  <c:strRef>
                    <c:extLst xmlns:c15="http://schemas.microsoft.com/office/drawing/2012/chart">
                      <c:ext xmlns:c15="http://schemas.microsoft.com/office/drawing/2012/chart" uri="{02D57815-91ED-43cb-92C2-25804820EDAC}">
                        <c15:formulaRef>
                          <c15:sqref>'Activity data'!$D$21:$F$21</c15:sqref>
                        </c15:formulaRef>
                      </c:ext>
                    </c:extLst>
                    <c:strCache>
                      <c:ptCount val="3"/>
                      <c:pt idx="0">
                        <c:v>Subsistence layers</c:v>
                      </c:pt>
                      <c:pt idx="1">
                        <c:v>Population</c:v>
                      </c:pt>
                      <c:pt idx="2">
                        <c:v>Head</c:v>
                      </c:pt>
                    </c:strCache>
                  </c:strRef>
                </c:tx>
                <c:spPr>
                  <a:solidFill>
                    <a:schemeClr val="accent1">
                      <a:lumMod val="8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c:ext xmlns:c15="http://schemas.microsoft.com/office/drawing/2012/chart" uri="{02D57815-91ED-43cb-92C2-25804820EDAC}">
                        <c15:formulaRef>
                          <c15:sqref>'Activity data'!$H$21:$BP$21</c15:sqref>
                        </c15:formulaRef>
                      </c:ext>
                    </c:extLst>
                    <c:numCache>
                      <c:formatCode>#,##0</c:formatCode>
                      <c:ptCount val="61"/>
                      <c:pt idx="0">
                        <c:v>615034.34711325122</c:v>
                      </c:pt>
                      <c:pt idx="1">
                        <c:v>597496.65411778213</c:v>
                      </c:pt>
                      <c:pt idx="2">
                        <c:v>566684.0141391959</c:v>
                      </c:pt>
                      <c:pt idx="3">
                        <c:v>557773.90547206544</c:v>
                      </c:pt>
                      <c:pt idx="4">
                        <c:v>533512.74884758983</c:v>
                      </c:pt>
                      <c:pt idx="5">
                        <c:v>582128.81198434683</c:v>
                      </c:pt>
                      <c:pt idx="6">
                        <c:v>614905.68563772005</c:v>
                      </c:pt>
                      <c:pt idx="7">
                        <c:v>616927.72251988086</c:v>
                      </c:pt>
                      <c:pt idx="8">
                        <c:v>694608.55831127299</c:v>
                      </c:pt>
                      <c:pt idx="9">
                        <c:v>744690.07785922522</c:v>
                      </c:pt>
                      <c:pt idx="10">
                        <c:v>728911.290007259</c:v>
                      </c:pt>
                      <c:pt idx="11">
                        <c:v>748356.04304524744</c:v>
                      </c:pt>
                      <c:pt idx="12">
                        <c:v>742482.52210794913</c:v>
                      </c:pt>
                      <c:pt idx="13">
                        <c:v>712840.76237864071</c:v>
                      </c:pt>
                      <c:pt idx="14">
                        <c:v>738689.10740303784</c:v>
                      </c:pt>
                      <c:pt idx="15">
                        <c:v>783232.44807875762</c:v>
                      </c:pt>
                      <c:pt idx="16">
                        <c:v>864389.05584290659</c:v>
                      </c:pt>
                      <c:pt idx="17">
                        <c:v>956595.42960413289</c:v>
                      </c:pt>
                      <c:pt idx="18">
                        <c:v>969193.674259883</c:v>
                      </c:pt>
                      <c:pt idx="19">
                        <c:v>933462.96327852411</c:v>
                      </c:pt>
                      <c:pt idx="20">
                        <c:v>969824.57105648029</c:v>
                      </c:pt>
                      <c:pt idx="21">
                        <c:v>1014589.0728560057</c:v>
                      </c:pt>
                      <c:pt idx="22">
                        <c:v>972417.45766676322</c:v>
                      </c:pt>
                      <c:pt idx="23">
                        <c:v>994712.40598230949</c:v>
                      </c:pt>
                      <c:pt idx="24">
                        <c:v>1012286.4085667182</c:v>
                      </c:pt>
                      <c:pt idx="25">
                        <c:v>1024931.1550064968</c:v>
                      </c:pt>
                      <c:pt idx="26">
                        <c:v>1033752.5083628052</c:v>
                      </c:pt>
                      <c:pt idx="27">
                        <c:v>1046021.3041816028</c:v>
                      </c:pt>
                      <c:pt idx="28">
                        <c:v>1056891.1005875049</c:v>
                      </c:pt>
                      <c:pt idx="29">
                        <c:v>1066449.5089824351</c:v>
                      </c:pt>
                      <c:pt idx="30">
                        <c:v>999853.83977789688</c:v>
                      </c:pt>
                      <c:pt idx="31">
                        <c:v>1021155.124718154</c:v>
                      </c:pt>
                      <c:pt idx="32">
                        <c:v>1041528.796246989</c:v>
                      </c:pt>
                      <c:pt idx="33">
                        <c:v>1061962.9190449386</c:v>
                      </c:pt>
                      <c:pt idx="34">
                        <c:v>1081620.0395179056</c:v>
                      </c:pt>
                      <c:pt idx="35">
                        <c:v>1101946.1108326288</c:v>
                      </c:pt>
                      <c:pt idx="36">
                        <c:v>1125760.8192831147</c:v>
                      </c:pt>
                      <c:pt idx="37">
                        <c:v>1149216.9247716365</c:v>
                      </c:pt>
                      <c:pt idx="38">
                        <c:v>1173518.1692259493</c:v>
                      </c:pt>
                      <c:pt idx="39">
                        <c:v>1198382.2494782431</c:v>
                      </c:pt>
                      <c:pt idx="40">
                        <c:v>1223854.9532145411</c:v>
                      </c:pt>
                      <c:pt idx="41">
                        <c:v>1253579.9518453449</c:v>
                      </c:pt>
                      <c:pt idx="42">
                        <c:v>1281739.891003791</c:v>
                      </c:pt>
                      <c:pt idx="43">
                        <c:v>1312393.4918626712</c:v>
                      </c:pt>
                      <c:pt idx="44">
                        <c:v>1344597.2490345663</c:v>
                      </c:pt>
                      <c:pt idx="45">
                        <c:v>1378365.0432105064</c:v>
                      </c:pt>
                      <c:pt idx="46">
                        <c:v>1412706.2982568007</c:v>
                      </c:pt>
                      <c:pt idx="47">
                        <c:v>1447905.4954511216</c:v>
                      </c:pt>
                      <c:pt idx="48">
                        <c:v>1483121.6928290385</c:v>
                      </c:pt>
                      <c:pt idx="49">
                        <c:v>1519143.2690030921</c:v>
                      </c:pt>
                      <c:pt idx="50">
                        <c:v>1556604.9370714934</c:v>
                      </c:pt>
                      <c:pt idx="51">
                        <c:v>1595524.7427539185</c:v>
                      </c:pt>
                      <c:pt idx="52">
                        <c:v>1635368.6171553296</c:v>
                      </c:pt>
                      <c:pt idx="53">
                        <c:v>1676004.4855036652</c:v>
                      </c:pt>
                      <c:pt idx="54">
                        <c:v>1717573.7040029669</c:v>
                      </c:pt>
                      <c:pt idx="55">
                        <c:v>1760748.0037328345</c:v>
                      </c:pt>
                      <c:pt idx="56">
                        <c:v>1804880.4947476045</c:v>
                      </c:pt>
                      <c:pt idx="57">
                        <c:v>1850126.3273259513</c:v>
                      </c:pt>
                      <c:pt idx="58">
                        <c:v>1895120.728023377</c:v>
                      </c:pt>
                      <c:pt idx="59">
                        <c:v>1941291.5864482194</c:v>
                      </c:pt>
                      <c:pt idx="60">
                        <c:v>1988705.0423848673</c:v>
                      </c:pt>
                    </c:numCache>
                  </c:numRef>
                </c:val>
                <c:extLst xmlns:c15="http://schemas.microsoft.com/office/drawing/2012/chart">
                  <c:ext xmlns:c16="http://schemas.microsoft.com/office/drawing/2014/chart" uri="{C3380CC4-5D6E-409C-BE32-E72D297353CC}">
                    <c16:uniqueId val="{00000012-3B16-45B8-89BE-5AE640BDA9C0}"/>
                  </c:ext>
                </c:extLst>
              </c15:ser>
            </c15:filteredAreaSeries>
            <c15:filteredAreaSeries>
              <c15:ser>
                <c:idx val="19"/>
                <c:order val="17"/>
                <c:tx>
                  <c:strRef>
                    <c:extLst xmlns:c15="http://schemas.microsoft.com/office/drawing/2012/chart">
                      <c:ext xmlns:c15="http://schemas.microsoft.com/office/drawing/2012/chart" uri="{02D57815-91ED-43cb-92C2-25804820EDAC}">
                        <c15:formulaRef>
                          <c15:sqref>'Activity data'!$D$22:$F$22</c15:sqref>
                        </c15:formulaRef>
                      </c:ext>
                    </c:extLst>
                    <c:strCache>
                      <c:ptCount val="3"/>
                      <c:pt idx="0">
                        <c:v>Subsistence broilers</c:v>
                      </c:pt>
                      <c:pt idx="1">
                        <c:v>Population</c:v>
                      </c:pt>
                      <c:pt idx="2">
                        <c:v>Head</c:v>
                      </c:pt>
                    </c:strCache>
                  </c:strRef>
                </c:tx>
                <c:spPr>
                  <a:solidFill>
                    <a:schemeClr val="accent2">
                      <a:lumMod val="80000"/>
                    </a:schemeClr>
                  </a:solidFill>
                  <a:ln>
                    <a:noFill/>
                  </a:ln>
                  <a:effectLst/>
                </c:spPr>
                <c:cat>
                  <c:numRef>
                    <c:extLst xmlns:c15="http://schemas.microsoft.com/office/drawing/2012/chart">
                      <c:ext xmlns:c15="http://schemas.microsoft.com/office/drawing/2012/chart" uri="{02D57815-91ED-43cb-92C2-25804820EDAC}">
                        <c15:formulaRef>
                          <c15:sqref>'Activity data'!$H$3:$BP$3</c15:sqref>
                        </c15:formulaRef>
                      </c:ext>
                    </c:extLst>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extLst>
                      <c:ext xmlns:c15="http://schemas.microsoft.com/office/drawing/2012/chart" uri="{02D57815-91ED-43cb-92C2-25804820EDAC}">
                        <c15:formulaRef>
                          <c15:sqref>'Activity data'!$H$22:$BP$22</c15:sqref>
                        </c15:formulaRef>
                      </c:ext>
                    </c:extLst>
                    <c:numCache>
                      <c:formatCode>#,##0</c:formatCode>
                      <c:ptCount val="61"/>
                      <c:pt idx="0">
                        <c:v>1692788.501282579</c:v>
                      </c:pt>
                      <c:pt idx="1">
                        <c:v>1591221.1932594103</c:v>
                      </c:pt>
                      <c:pt idx="2">
                        <c:v>1503817.8555249351</c:v>
                      </c:pt>
                      <c:pt idx="3">
                        <c:v>1691260.5094954062</c:v>
                      </c:pt>
                      <c:pt idx="4">
                        <c:v>1675398.618576091</c:v>
                      </c:pt>
                      <c:pt idx="5">
                        <c:v>1917738.6394417342</c:v>
                      </c:pt>
                      <c:pt idx="6">
                        <c:v>2229835.7272258773</c:v>
                      </c:pt>
                      <c:pt idx="7">
                        <c:v>2269717.8833858925</c:v>
                      </c:pt>
                      <c:pt idx="8">
                        <c:v>2487004.5772982165</c:v>
                      </c:pt>
                      <c:pt idx="9">
                        <c:v>2596404.8813659716</c:v>
                      </c:pt>
                      <c:pt idx="10">
                        <c:v>2793540.3261309932</c:v>
                      </c:pt>
                      <c:pt idx="11">
                        <c:v>2697456.7186955782</c:v>
                      </c:pt>
                      <c:pt idx="12">
                        <c:v>2989657.0023677181</c:v>
                      </c:pt>
                      <c:pt idx="13">
                        <c:v>2843615.1342619131</c:v>
                      </c:pt>
                      <c:pt idx="14">
                        <c:v>2912262.4842377375</c:v>
                      </c:pt>
                      <c:pt idx="15">
                        <c:v>3222344.7569196927</c:v>
                      </c:pt>
                      <c:pt idx="16">
                        <c:v>3446598.8889022488</c:v>
                      </c:pt>
                      <c:pt idx="17">
                        <c:v>3606087.1785391434</c:v>
                      </c:pt>
                      <c:pt idx="18">
                        <c:v>3839503.687775786</c:v>
                      </c:pt>
                      <c:pt idx="19">
                        <c:v>3622992.06330516</c:v>
                      </c:pt>
                      <c:pt idx="20">
                        <c:v>3714113.2025884609</c:v>
                      </c:pt>
                      <c:pt idx="21">
                        <c:v>3841366.7821070058</c:v>
                      </c:pt>
                      <c:pt idx="22">
                        <c:v>3611106.3044496966</c:v>
                      </c:pt>
                      <c:pt idx="23">
                        <c:v>3674523.2511914051</c:v>
                      </c:pt>
                      <c:pt idx="24">
                        <c:v>3721009.3964433633</c:v>
                      </c:pt>
                      <c:pt idx="25">
                        <c:v>3749822.7205841877</c:v>
                      </c:pt>
                      <c:pt idx="26">
                        <c:v>3763589.2844957453</c:v>
                      </c:pt>
                      <c:pt idx="27">
                        <c:v>3789614.2879633941</c:v>
                      </c:pt>
                      <c:pt idx="28">
                        <c:v>3810664.7197221331</c:v>
                      </c:pt>
                      <c:pt idx="29">
                        <c:v>3827052.1089959037</c:v>
                      </c:pt>
                      <c:pt idx="30">
                        <c:v>3572650.3067573332</c:v>
                      </c:pt>
                      <c:pt idx="31">
                        <c:v>3630553.591611472</c:v>
                      </c:pt>
                      <c:pt idx="32">
                        <c:v>3685158.462663536</c:v>
                      </c:pt>
                      <c:pt idx="33">
                        <c:v>3739978.2867529895</c:v>
                      </c:pt>
                      <c:pt idx="34">
                        <c:v>3792035.2406453788</c:v>
                      </c:pt>
                      <c:pt idx="35">
                        <c:v>3846470.8542002919</c:v>
                      </c:pt>
                      <c:pt idx="36">
                        <c:v>3911823.6641846383</c:v>
                      </c:pt>
                      <c:pt idx="37">
                        <c:v>3975901.3512969809</c:v>
                      </c:pt>
                      <c:pt idx="38">
                        <c:v>4042984.1893411614</c:v>
                      </c:pt>
                      <c:pt idx="39">
                        <c:v>4112068.362776618</c:v>
                      </c:pt>
                      <c:pt idx="40">
                        <c:v>4183316.6837713923</c:v>
                      </c:pt>
                      <c:pt idx="41">
                        <c:v>4270341.5219515255</c:v>
                      </c:pt>
                      <c:pt idx="42">
                        <c:v>4351801.3112535309</c:v>
                      </c:pt>
                      <c:pt idx="43">
                        <c:v>4442128.0796060674</c:v>
                      </c:pt>
                      <c:pt idx="44">
                        <c:v>4537966.9047391368</c:v>
                      </c:pt>
                      <c:pt idx="45">
                        <c:v>4639367.1433798056</c:v>
                      </c:pt>
                      <c:pt idx="46">
                        <c:v>4742072.4331710478</c:v>
                      </c:pt>
                      <c:pt idx="47">
                        <c:v>4847828.399537365</c:v>
                      </c:pt>
                      <c:pt idx="48">
                        <c:v>4953644.8156024264</c:v>
                      </c:pt>
                      <c:pt idx="49">
                        <c:v>5062325.0027860412</c:v>
                      </c:pt>
                      <c:pt idx="50">
                        <c:v>5176125.8786059869</c:v>
                      </c:pt>
                      <c:pt idx="51">
                        <c:v>5292365.1703528855</c:v>
                      </c:pt>
                      <c:pt idx="52">
                        <c:v>5411890.2723187571</c:v>
                      </c:pt>
                      <c:pt idx="53">
                        <c:v>5534231.5514645483</c:v>
                      </c:pt>
                      <c:pt idx="54">
                        <c:v>5659891.6434795251</c:v>
                      </c:pt>
                      <c:pt idx="55">
                        <c:v>5791259.0943443133</c:v>
                      </c:pt>
                      <c:pt idx="56">
                        <c:v>5926815.5251603937</c:v>
                      </c:pt>
                      <c:pt idx="57">
                        <c:v>6066330.7835452799</c:v>
                      </c:pt>
                      <c:pt idx="58">
                        <c:v>6204951.9983939733</c:v>
                      </c:pt>
                      <c:pt idx="59">
                        <c:v>6347756.4700291073</c:v>
                      </c:pt>
                      <c:pt idx="60">
                        <c:v>6494979.3784204079</c:v>
                      </c:pt>
                    </c:numCache>
                  </c:numRef>
                </c:val>
                <c:extLst xmlns:c15="http://schemas.microsoft.com/office/drawing/2012/chart">
                  <c:ext xmlns:c16="http://schemas.microsoft.com/office/drawing/2014/chart" uri="{C3380CC4-5D6E-409C-BE32-E72D297353CC}">
                    <c16:uniqueId val="{00000013-3B16-45B8-89BE-5AE640BDA9C0}"/>
                  </c:ext>
                </c:extLst>
              </c15:ser>
            </c15:filteredAreaSeries>
          </c:ext>
        </c:extLst>
      </c:areaChart>
      <c:catAx>
        <c:axId val="789136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159823"/>
        <c:crosses val="autoZero"/>
        <c:auto val="1"/>
        <c:lblAlgn val="ctr"/>
        <c:lblOffset val="100"/>
        <c:noMultiLvlLbl val="0"/>
      </c:catAx>
      <c:valAx>
        <c:axId val="7891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136943"/>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tx>
            <c:strRef>
              <c:f>'Emissions summary'!$C$58</c:f>
              <c:strCache>
                <c:ptCount val="1"/>
                <c:pt idx="0">
                  <c:v>Enteric</c:v>
                </c:pt>
              </c:strCache>
            </c:strRef>
          </c:tx>
          <c:spPr>
            <a:solidFill>
              <a:schemeClr val="accent1"/>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summary'!$F$58:$BN$58</c15:sqref>
                  </c15:fullRef>
                </c:ext>
              </c:extLst>
              <c:f>'Emissions summary'!$P$58:$BN$58</c:f>
              <c:numCache>
                <c:formatCode>General</c:formatCode>
                <c:ptCount val="51"/>
                <c:pt idx="0">
                  <c:v>27554.219807136677</c:v>
                </c:pt>
                <c:pt idx="1">
                  <c:v>27355.95746628254</c:v>
                </c:pt>
                <c:pt idx="2">
                  <c:v>26716.740856961191</c:v>
                </c:pt>
                <c:pt idx="3">
                  <c:v>26637.476489992478</c:v>
                </c:pt>
                <c:pt idx="4">
                  <c:v>26374.852623436884</c:v>
                </c:pt>
                <c:pt idx="5">
                  <c:v>26533.412575204307</c:v>
                </c:pt>
                <c:pt idx="6">
                  <c:v>26410.698013112593</c:v>
                </c:pt>
                <c:pt idx="7">
                  <c:v>26955.917556178629</c:v>
                </c:pt>
                <c:pt idx="8">
                  <c:v>27407.444385583316</c:v>
                </c:pt>
                <c:pt idx="9">
                  <c:v>27291.288746937418</c:v>
                </c:pt>
                <c:pt idx="10">
                  <c:v>27077.0700941676</c:v>
                </c:pt>
                <c:pt idx="11">
                  <c:v>26920.982021071421</c:v>
                </c:pt>
                <c:pt idx="12">
                  <c:v>26891.802559138967</c:v>
                </c:pt>
                <c:pt idx="13">
                  <c:v>26895.058306222345</c:v>
                </c:pt>
                <c:pt idx="14">
                  <c:v>26907.709956497594</c:v>
                </c:pt>
                <c:pt idx="15">
                  <c:v>26928.784544529732</c:v>
                </c:pt>
                <c:pt idx="16">
                  <c:v>26957.672462989274</c:v>
                </c:pt>
                <c:pt idx="17">
                  <c:v>26982.968288156633</c:v>
                </c:pt>
                <c:pt idx="18">
                  <c:v>27011.044287316945</c:v>
                </c:pt>
                <c:pt idx="19">
                  <c:v>27041.664736826409</c:v>
                </c:pt>
                <c:pt idx="20">
                  <c:v>27181.50340804008</c:v>
                </c:pt>
                <c:pt idx="21">
                  <c:v>27193.238499989362</c:v>
                </c:pt>
                <c:pt idx="22">
                  <c:v>27208.976572862244</c:v>
                </c:pt>
                <c:pt idx="23">
                  <c:v>27226.988374133805</c:v>
                </c:pt>
                <c:pt idx="24">
                  <c:v>27248.27818415589</c:v>
                </c:pt>
                <c:pt idx="25">
                  <c:v>27270.857555495088</c:v>
                </c:pt>
                <c:pt idx="26">
                  <c:v>27293.567918871617</c:v>
                </c:pt>
                <c:pt idx="27">
                  <c:v>27319.256628107163</c:v>
                </c:pt>
                <c:pt idx="28">
                  <c:v>27346.631151661506</c:v>
                </c:pt>
                <c:pt idx="29">
                  <c:v>27376.056881683493</c:v>
                </c:pt>
                <c:pt idx="30">
                  <c:v>27409.633478649284</c:v>
                </c:pt>
                <c:pt idx="31">
                  <c:v>27585.982832304857</c:v>
                </c:pt>
                <c:pt idx="32">
                  <c:v>27725.813131737843</c:v>
                </c:pt>
                <c:pt idx="33">
                  <c:v>27884.636893154635</c:v>
                </c:pt>
                <c:pt idx="34">
                  <c:v>28044.487696411648</c:v>
                </c:pt>
                <c:pt idx="35">
                  <c:v>28203.423897265395</c:v>
                </c:pt>
                <c:pt idx="36">
                  <c:v>28343.227384301448</c:v>
                </c:pt>
                <c:pt idx="37">
                  <c:v>28469.052075185784</c:v>
                </c:pt>
                <c:pt idx="38">
                  <c:v>28536.480472247538</c:v>
                </c:pt>
                <c:pt idx="39">
                  <c:v>28581.524237927457</c:v>
                </c:pt>
                <c:pt idx="40">
                  <c:v>28616.073136714054</c:v>
                </c:pt>
                <c:pt idx="41">
                  <c:v>28740.893228151283</c:v>
                </c:pt>
                <c:pt idx="42">
                  <c:v>28853.746883576092</c:v>
                </c:pt>
                <c:pt idx="43">
                  <c:v>28952.142678263241</c:v>
                </c:pt>
                <c:pt idx="44">
                  <c:v>29036.823240401071</c:v>
                </c:pt>
                <c:pt idx="45">
                  <c:v>29114.061119013419</c:v>
                </c:pt>
                <c:pt idx="46">
                  <c:v>29176.410297423536</c:v>
                </c:pt>
                <c:pt idx="47">
                  <c:v>29223.275299934598</c:v>
                </c:pt>
                <c:pt idx="48">
                  <c:v>29240.18005664974</c:v>
                </c:pt>
                <c:pt idx="49">
                  <c:v>29240.80925419939</c:v>
                </c:pt>
                <c:pt idx="50">
                  <c:v>29224.525387194233</c:v>
                </c:pt>
              </c:numCache>
            </c:numRef>
          </c:val>
          <c:extLst>
            <c:ext xmlns:c16="http://schemas.microsoft.com/office/drawing/2014/chart" uri="{C3380CC4-5D6E-409C-BE32-E72D297353CC}">
              <c16:uniqueId val="{00000000-2D26-4177-8A16-4D1FE8C89A7C}"/>
            </c:ext>
          </c:extLst>
        </c:ser>
        <c:ser>
          <c:idx val="1"/>
          <c:order val="1"/>
          <c:tx>
            <c:strRef>
              <c:f>'Emissions summary'!$C$59</c:f>
              <c:strCache>
                <c:ptCount val="1"/>
                <c:pt idx="0">
                  <c:v>Manure CH4</c:v>
                </c:pt>
              </c:strCache>
            </c:strRef>
          </c:tx>
          <c:spPr>
            <a:solidFill>
              <a:schemeClr val="accent2"/>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summary'!$F$59:$BN$59</c15:sqref>
                  </c15:fullRef>
                </c:ext>
              </c:extLst>
              <c:f>'Emissions summary'!$P$59:$BN$59</c:f>
              <c:numCache>
                <c:formatCode>General</c:formatCode>
                <c:ptCount val="51"/>
                <c:pt idx="0">
                  <c:v>762.61798038874713</c:v>
                </c:pt>
                <c:pt idx="1">
                  <c:v>770.037342974083</c:v>
                </c:pt>
                <c:pt idx="2">
                  <c:v>755.58203891254311</c:v>
                </c:pt>
                <c:pt idx="3">
                  <c:v>721.75143456019089</c:v>
                </c:pt>
                <c:pt idx="4">
                  <c:v>716.67484725890722</c:v>
                </c:pt>
                <c:pt idx="5">
                  <c:v>729.32337712122808</c:v>
                </c:pt>
                <c:pt idx="6">
                  <c:v>720.68997500480248</c:v>
                </c:pt>
                <c:pt idx="7">
                  <c:v>731.3640552803688</c:v>
                </c:pt>
                <c:pt idx="8">
                  <c:v>761.56334487642721</c:v>
                </c:pt>
                <c:pt idx="9">
                  <c:v>763.39480303850974</c:v>
                </c:pt>
                <c:pt idx="10">
                  <c:v>759.25274923515042</c:v>
                </c:pt>
                <c:pt idx="11">
                  <c:v>751.41115031540085</c:v>
                </c:pt>
                <c:pt idx="12">
                  <c:v>745.27810094755455</c:v>
                </c:pt>
                <c:pt idx="13">
                  <c:v>746.70283875190376</c:v>
                </c:pt>
                <c:pt idx="14">
                  <c:v>747.9296291260498</c:v>
                </c:pt>
                <c:pt idx="15">
                  <c:v>748.91287036566155</c:v>
                </c:pt>
                <c:pt idx="16">
                  <c:v>749.6946695051796</c:v>
                </c:pt>
                <c:pt idx="17">
                  <c:v>750.68846270271354</c:v>
                </c:pt>
                <c:pt idx="18">
                  <c:v>751.61673684953962</c:v>
                </c:pt>
                <c:pt idx="19">
                  <c:v>752.4808973820974</c:v>
                </c:pt>
                <c:pt idx="20">
                  <c:v>749.18918275355156</c:v>
                </c:pt>
                <c:pt idx="21">
                  <c:v>750.60564373214697</c:v>
                </c:pt>
                <c:pt idx="22">
                  <c:v>752.03145332965312</c:v>
                </c:pt>
                <c:pt idx="23">
                  <c:v>753.51269055322484</c:v>
                </c:pt>
                <c:pt idx="24">
                  <c:v>754.99867042010908</c:v>
                </c:pt>
                <c:pt idx="25">
                  <c:v>756.57082988997797</c:v>
                </c:pt>
                <c:pt idx="26">
                  <c:v>758.40896836774129</c:v>
                </c:pt>
                <c:pt idx="27">
                  <c:v>760.28337477362481</c:v>
                </c:pt>
                <c:pt idx="28">
                  <c:v>762.27199876722329</c:v>
                </c:pt>
                <c:pt idx="29">
                  <c:v>764.35870715707836</c:v>
                </c:pt>
                <c:pt idx="30">
                  <c:v>766.55112993319688</c:v>
                </c:pt>
                <c:pt idx="31">
                  <c:v>774.57243022059583</c:v>
                </c:pt>
                <c:pt idx="32">
                  <c:v>780.70495637745034</c:v>
                </c:pt>
                <c:pt idx="33">
                  <c:v>787.94082099303796</c:v>
                </c:pt>
                <c:pt idx="34">
                  <c:v>795.50125314545414</c:v>
                </c:pt>
                <c:pt idx="35">
                  <c:v>803.32535663669</c:v>
                </c:pt>
                <c:pt idx="36">
                  <c:v>810.55277903415458</c:v>
                </c:pt>
                <c:pt idx="37">
                  <c:v>817.47240753229846</c:v>
                </c:pt>
                <c:pt idx="38">
                  <c:v>823.03269869632425</c:v>
                </c:pt>
                <c:pt idx="39">
                  <c:v>828.10922984723743</c:v>
                </c:pt>
                <c:pt idx="40">
                  <c:v>833.12921255984702</c:v>
                </c:pt>
                <c:pt idx="41">
                  <c:v>841.15883406695832</c:v>
                </c:pt>
                <c:pt idx="42">
                  <c:v>848.94761445455686</c:v>
                </c:pt>
                <c:pt idx="43">
                  <c:v>856.38623608122441</c:v>
                </c:pt>
                <c:pt idx="44">
                  <c:v>863.52639940616393</c:v>
                </c:pt>
                <c:pt idx="45">
                  <c:v>870.70688424805337</c:v>
                </c:pt>
                <c:pt idx="46">
                  <c:v>877.6210471244126</c:v>
                </c:pt>
                <c:pt idx="47">
                  <c:v>884.21059670808211</c:v>
                </c:pt>
                <c:pt idx="48">
                  <c:v>889.72847033304663</c:v>
                </c:pt>
                <c:pt idx="49">
                  <c:v>894.90665364563085</c:v>
                </c:pt>
                <c:pt idx="50">
                  <c:v>899.73582796657047</c:v>
                </c:pt>
              </c:numCache>
            </c:numRef>
          </c:val>
          <c:extLst>
            <c:ext xmlns:c16="http://schemas.microsoft.com/office/drawing/2014/chart" uri="{C3380CC4-5D6E-409C-BE32-E72D297353CC}">
              <c16:uniqueId val="{00000001-2D26-4177-8A16-4D1FE8C89A7C}"/>
            </c:ext>
          </c:extLst>
        </c:ser>
        <c:ser>
          <c:idx val="2"/>
          <c:order val="2"/>
          <c:tx>
            <c:strRef>
              <c:f>'Emissions summary'!$C$60</c:f>
              <c:strCache>
                <c:ptCount val="1"/>
                <c:pt idx="0">
                  <c:v>Manure N2O</c:v>
                </c:pt>
              </c:strCache>
            </c:strRef>
          </c:tx>
          <c:spPr>
            <a:solidFill>
              <a:schemeClr val="accent3"/>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summary'!$F$60:$BN$60</c15:sqref>
                  </c15:fullRef>
                </c:ext>
              </c:extLst>
              <c:f>'Emissions summary'!$P$60:$BN$60</c:f>
              <c:numCache>
                <c:formatCode>General</c:formatCode>
                <c:ptCount val="51"/>
                <c:pt idx="0">
                  <c:v>1437.1521613218097</c:v>
                </c:pt>
                <c:pt idx="1">
                  <c:v>1420.7532667016601</c:v>
                </c:pt>
                <c:pt idx="2">
                  <c:v>1453.9931240925632</c:v>
                </c:pt>
                <c:pt idx="3">
                  <c:v>1423.6012907024699</c:v>
                </c:pt>
                <c:pt idx="4">
                  <c:v>1426.753610882653</c:v>
                </c:pt>
                <c:pt idx="5">
                  <c:v>1477.1488035237094</c:v>
                </c:pt>
                <c:pt idx="6">
                  <c:v>1517.6310373242886</c:v>
                </c:pt>
                <c:pt idx="7">
                  <c:v>1563.8037591101804</c:v>
                </c:pt>
                <c:pt idx="8">
                  <c:v>1600.9778867790778</c:v>
                </c:pt>
                <c:pt idx="9">
                  <c:v>1570.3300471621321</c:v>
                </c:pt>
                <c:pt idx="10">
                  <c:v>1579.8471445717203</c:v>
                </c:pt>
                <c:pt idx="11">
                  <c:v>1630.4753358386679</c:v>
                </c:pt>
                <c:pt idx="12">
                  <c:v>1628.2700018260662</c:v>
                </c:pt>
                <c:pt idx="13">
                  <c:v>1648.3808089234237</c:v>
                </c:pt>
                <c:pt idx="14">
                  <c:v>1665.8348875840941</c:v>
                </c:pt>
                <c:pt idx="15">
                  <c:v>1680.4861695348657</c:v>
                </c:pt>
                <c:pt idx="16">
                  <c:v>1692.8786086782386</c:v>
                </c:pt>
                <c:pt idx="17">
                  <c:v>1707.6789601335902</c:v>
                </c:pt>
                <c:pt idx="18">
                  <c:v>1721.8878801727653</c:v>
                </c:pt>
                <c:pt idx="19">
                  <c:v>1735.5651317799736</c:v>
                </c:pt>
                <c:pt idx="20">
                  <c:v>1702.4272802638138</c:v>
                </c:pt>
                <c:pt idx="21">
                  <c:v>1723.8534158622163</c:v>
                </c:pt>
                <c:pt idx="22">
                  <c:v>1745.0477809182573</c:v>
                </c:pt>
                <c:pt idx="23">
                  <c:v>1766.6243107723235</c:v>
                </c:pt>
                <c:pt idx="24">
                  <c:v>1788.0704311857003</c:v>
                </c:pt>
                <c:pt idx="25">
                  <c:v>1810.2912617744114</c:v>
                </c:pt>
                <c:pt idx="26">
                  <c:v>1834.9064155589317</c:v>
                </c:pt>
                <c:pt idx="27">
                  <c:v>1859.6843780636766</c:v>
                </c:pt>
                <c:pt idx="28">
                  <c:v>1885.3879467974587</c:v>
                </c:pt>
                <c:pt idx="29">
                  <c:v>1911.8522665855126</c:v>
                </c:pt>
                <c:pt idx="30">
                  <c:v>1939.2756852511393</c:v>
                </c:pt>
                <c:pt idx="31">
                  <c:v>1972.7402616471004</c:v>
                </c:pt>
                <c:pt idx="32">
                  <c:v>2004.8419515665021</c:v>
                </c:pt>
                <c:pt idx="33">
                  <c:v>2039.3489265082437</c:v>
                </c:pt>
                <c:pt idx="34">
                  <c:v>2075.3058132533415</c:v>
                </c:pt>
                <c:pt idx="35">
                  <c:v>2112.6963521247967</c:v>
                </c:pt>
                <c:pt idx="36">
                  <c:v>2150.438542331281</c:v>
                </c:pt>
                <c:pt idx="37">
                  <c:v>2188.9238096249333</c:v>
                </c:pt>
                <c:pt idx="38">
                  <c:v>2212.911398106437</c:v>
                </c:pt>
                <c:pt idx="39">
                  <c:v>2234.7983552741348</c:v>
                </c:pt>
                <c:pt idx="40">
                  <c:v>2257.4240082106162</c:v>
                </c:pt>
                <c:pt idx="41">
                  <c:v>2282.4153026953645</c:v>
                </c:pt>
                <c:pt idx="42">
                  <c:v>2307.7760905190862</c:v>
                </c:pt>
                <c:pt idx="43">
                  <c:v>2333.3712987201388</c:v>
                </c:pt>
                <c:pt idx="44">
                  <c:v>2359.3077945246901</c:v>
                </c:pt>
                <c:pt idx="45">
                  <c:v>2386.1471633378451</c:v>
                </c:pt>
                <c:pt idx="46">
                  <c:v>2413.4183176499132</c:v>
                </c:pt>
                <c:pt idx="47">
                  <c:v>2441.1135571898476</c:v>
                </c:pt>
                <c:pt idx="48">
                  <c:v>2468.0579712316417</c:v>
                </c:pt>
                <c:pt idx="49">
                  <c:v>2495.4521561228953</c:v>
                </c:pt>
                <c:pt idx="50">
                  <c:v>2523.326771830647</c:v>
                </c:pt>
              </c:numCache>
            </c:numRef>
          </c:val>
          <c:extLst>
            <c:ext xmlns:c16="http://schemas.microsoft.com/office/drawing/2014/chart" uri="{C3380CC4-5D6E-409C-BE32-E72D297353CC}">
              <c16:uniqueId val="{00000002-2D26-4177-8A16-4D1FE8C89A7C}"/>
            </c:ext>
          </c:extLst>
        </c:ser>
        <c:ser>
          <c:idx val="3"/>
          <c:order val="3"/>
          <c:tx>
            <c:strRef>
              <c:f>'Emissions summary'!$C$61</c:f>
              <c:strCache>
                <c:ptCount val="1"/>
                <c:pt idx="0">
                  <c:v>Biomass burning CH4</c:v>
                </c:pt>
              </c:strCache>
            </c:strRef>
          </c:tx>
          <c:spPr>
            <a:solidFill>
              <a:schemeClr val="accent4"/>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summary'!$F$61:$BN$61</c15:sqref>
                  </c15:fullRef>
                </c:ext>
              </c:extLst>
              <c:f>'Emissions summary'!$P$61:$BN$61</c:f>
              <c:numCache>
                <c:formatCode>General</c:formatCode>
                <c:ptCount val="51"/>
                <c:pt idx="0">
                  <c:v>1103.4776992955053</c:v>
                </c:pt>
                <c:pt idx="1">
                  <c:v>1282.5517441798665</c:v>
                </c:pt>
                <c:pt idx="2">
                  <c:v>1288.9176046937982</c:v>
                </c:pt>
                <c:pt idx="3">
                  <c:v>1011.4345809085878</c:v>
                </c:pt>
                <c:pt idx="4">
                  <c:v>883.38003872679235</c:v>
                </c:pt>
                <c:pt idx="5">
                  <c:v>1412.334298727088</c:v>
                </c:pt>
                <c:pt idx="6">
                  <c:v>1236.8838978672777</c:v>
                </c:pt>
                <c:pt idx="7">
                  <c:v>1218.5771221263838</c:v>
                </c:pt>
                <c:pt idx="8">
                  <c:v>1139.8644942847</c:v>
                </c:pt>
                <c:pt idx="9">
                  <c:v>1078.8713756473658</c:v>
                </c:pt>
                <c:pt idx="10">
                  <c:v>1107.055106514</c:v>
                </c:pt>
                <c:pt idx="11">
                  <c:v>1093.3943713178221</c:v>
                </c:pt>
                <c:pt idx="12">
                  <c:v>920.63198550116749</c:v>
                </c:pt>
                <c:pt idx="13">
                  <c:v>958.89617652703839</c:v>
                </c:pt>
                <c:pt idx="14">
                  <c:v>942.41124067290946</c:v>
                </c:pt>
                <c:pt idx="15">
                  <c:v>927.33819518053326</c:v>
                </c:pt>
                <c:pt idx="16">
                  <c:v>934.76306456815712</c:v>
                </c:pt>
                <c:pt idx="17">
                  <c:v>941.07033411578141</c:v>
                </c:pt>
                <c:pt idx="18">
                  <c:v>941.00032030340537</c:v>
                </c:pt>
                <c:pt idx="19">
                  <c:v>940.94396707954434</c:v>
                </c:pt>
                <c:pt idx="20">
                  <c:v>940.88761385568318</c:v>
                </c:pt>
                <c:pt idx="21">
                  <c:v>940.83126063182181</c:v>
                </c:pt>
                <c:pt idx="22">
                  <c:v>940.77490740796088</c:v>
                </c:pt>
                <c:pt idx="23">
                  <c:v>940.71855418409973</c:v>
                </c:pt>
                <c:pt idx="24">
                  <c:v>940.66220096023858</c:v>
                </c:pt>
                <c:pt idx="25">
                  <c:v>940.60584773637754</c:v>
                </c:pt>
                <c:pt idx="26">
                  <c:v>940.54949451251628</c:v>
                </c:pt>
                <c:pt idx="27">
                  <c:v>940.49314128865512</c:v>
                </c:pt>
                <c:pt idx="28">
                  <c:v>940.43678806479409</c:v>
                </c:pt>
                <c:pt idx="29">
                  <c:v>940.38043484093294</c:v>
                </c:pt>
                <c:pt idx="30">
                  <c:v>940.32408161707156</c:v>
                </c:pt>
                <c:pt idx="31">
                  <c:v>939.98475988569771</c:v>
                </c:pt>
                <c:pt idx="32">
                  <c:v>939.64543815432364</c:v>
                </c:pt>
                <c:pt idx="33">
                  <c:v>939.30611642294946</c:v>
                </c:pt>
                <c:pt idx="34">
                  <c:v>938.96679469157527</c:v>
                </c:pt>
                <c:pt idx="35">
                  <c:v>938.62747296020143</c:v>
                </c:pt>
                <c:pt idx="36">
                  <c:v>938.28815122882713</c:v>
                </c:pt>
                <c:pt idx="37">
                  <c:v>937.94882949745306</c:v>
                </c:pt>
                <c:pt idx="38">
                  <c:v>937.60950776607922</c:v>
                </c:pt>
                <c:pt idx="39">
                  <c:v>937.1835886609515</c:v>
                </c:pt>
                <c:pt idx="40">
                  <c:v>936.7576695558239</c:v>
                </c:pt>
                <c:pt idx="41">
                  <c:v>936.33175045069629</c:v>
                </c:pt>
                <c:pt idx="42">
                  <c:v>935.90583134556834</c:v>
                </c:pt>
                <c:pt idx="43">
                  <c:v>935.47991224044074</c:v>
                </c:pt>
                <c:pt idx="44">
                  <c:v>935.05399313531291</c:v>
                </c:pt>
                <c:pt idx="45">
                  <c:v>934.62807403018519</c:v>
                </c:pt>
                <c:pt idx="46">
                  <c:v>934.20215492505747</c:v>
                </c:pt>
                <c:pt idx="47">
                  <c:v>933.77623581992998</c:v>
                </c:pt>
                <c:pt idx="48">
                  <c:v>933.35031671480237</c:v>
                </c:pt>
                <c:pt idx="49">
                  <c:v>932.92439760967443</c:v>
                </c:pt>
                <c:pt idx="50">
                  <c:v>932.49847850454682</c:v>
                </c:pt>
              </c:numCache>
            </c:numRef>
          </c:val>
          <c:extLst>
            <c:ext xmlns:c16="http://schemas.microsoft.com/office/drawing/2014/chart" uri="{C3380CC4-5D6E-409C-BE32-E72D297353CC}">
              <c16:uniqueId val="{00000003-2D26-4177-8A16-4D1FE8C89A7C}"/>
            </c:ext>
          </c:extLst>
        </c:ser>
        <c:ser>
          <c:idx val="4"/>
          <c:order val="4"/>
          <c:tx>
            <c:strRef>
              <c:f>'Emissions summary'!$C$62</c:f>
              <c:strCache>
                <c:ptCount val="1"/>
                <c:pt idx="0">
                  <c:v>Biomass burning N2O</c:v>
                </c:pt>
              </c:strCache>
            </c:strRef>
          </c:tx>
          <c:spPr>
            <a:solidFill>
              <a:schemeClr val="accent5"/>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summary'!$F$62:$BN$62</c15:sqref>
                  </c15:fullRef>
                </c:ext>
              </c:extLst>
              <c:f>'Emissions summary'!$P$62:$BN$62</c:f>
              <c:numCache>
                <c:formatCode>General</c:formatCode>
                <c:ptCount val="51"/>
                <c:pt idx="0">
                  <c:v>1138.2881924240246</c:v>
                </c:pt>
                <c:pt idx="1">
                  <c:v>1347.8625366593228</c:v>
                </c:pt>
                <c:pt idx="2">
                  <c:v>1328.3690110437451</c:v>
                </c:pt>
                <c:pt idx="3">
                  <c:v>1017.5651134275211</c:v>
                </c:pt>
                <c:pt idx="4">
                  <c:v>914.67644691903695</c:v>
                </c:pt>
                <c:pt idx="5">
                  <c:v>1447.9112474339306</c:v>
                </c:pt>
                <c:pt idx="6">
                  <c:v>1263.4019893034997</c:v>
                </c:pt>
                <c:pt idx="7">
                  <c:v>1217.4357899565925</c:v>
                </c:pt>
                <c:pt idx="8">
                  <c:v>1180.1818937292605</c:v>
                </c:pt>
                <c:pt idx="9">
                  <c:v>1108.1395844539597</c:v>
                </c:pt>
                <c:pt idx="10">
                  <c:v>1121.7567904983002</c:v>
                </c:pt>
                <c:pt idx="11">
                  <c:v>1111.0832034573957</c:v>
                </c:pt>
                <c:pt idx="12">
                  <c:v>964.38790587743847</c:v>
                </c:pt>
                <c:pt idx="13">
                  <c:v>995.11705333830332</c:v>
                </c:pt>
                <c:pt idx="14">
                  <c:v>981.13718735916825</c:v>
                </c:pt>
                <c:pt idx="15">
                  <c:v>968.87559608273943</c:v>
                </c:pt>
                <c:pt idx="16">
                  <c:v>974.98616224631087</c:v>
                </c:pt>
                <c:pt idx="17">
                  <c:v>980.18407848988204</c:v>
                </c:pt>
                <c:pt idx="18">
                  <c:v>980.17420305345331</c:v>
                </c:pt>
                <c:pt idx="19">
                  <c:v>980.04411744554989</c:v>
                </c:pt>
                <c:pt idx="20">
                  <c:v>979.91403183764669</c:v>
                </c:pt>
                <c:pt idx="21">
                  <c:v>979.78394622974326</c:v>
                </c:pt>
                <c:pt idx="22">
                  <c:v>979.65386062184007</c:v>
                </c:pt>
                <c:pt idx="23">
                  <c:v>979.52377501393664</c:v>
                </c:pt>
                <c:pt idx="24">
                  <c:v>979.39368940603345</c:v>
                </c:pt>
                <c:pt idx="25">
                  <c:v>979.26360379813013</c:v>
                </c:pt>
                <c:pt idx="26">
                  <c:v>979.1335181902266</c:v>
                </c:pt>
                <c:pt idx="27">
                  <c:v>979.00343258232351</c:v>
                </c:pt>
                <c:pt idx="28">
                  <c:v>978.87334697442031</c:v>
                </c:pt>
                <c:pt idx="29">
                  <c:v>978.74326136651689</c:v>
                </c:pt>
                <c:pt idx="30">
                  <c:v>978.61317575861358</c:v>
                </c:pt>
                <c:pt idx="31">
                  <c:v>978.30447191955875</c:v>
                </c:pt>
                <c:pt idx="32">
                  <c:v>977.99576808050392</c:v>
                </c:pt>
                <c:pt idx="33">
                  <c:v>977.68706424144898</c:v>
                </c:pt>
                <c:pt idx="34">
                  <c:v>977.37836040239404</c:v>
                </c:pt>
                <c:pt idx="35">
                  <c:v>977.06965656333921</c:v>
                </c:pt>
                <c:pt idx="36">
                  <c:v>976.76095272428449</c:v>
                </c:pt>
                <c:pt idx="37">
                  <c:v>976.45224888522955</c:v>
                </c:pt>
                <c:pt idx="38">
                  <c:v>976.14354504617461</c:v>
                </c:pt>
                <c:pt idx="39">
                  <c:v>975.76412440545255</c:v>
                </c:pt>
                <c:pt idx="40">
                  <c:v>975.38470376473083</c:v>
                </c:pt>
                <c:pt idx="41">
                  <c:v>975.005283124009</c:v>
                </c:pt>
                <c:pt idx="42">
                  <c:v>974.62586248328682</c:v>
                </c:pt>
                <c:pt idx="43">
                  <c:v>974.24644184256499</c:v>
                </c:pt>
                <c:pt idx="44">
                  <c:v>973.86702120184316</c:v>
                </c:pt>
                <c:pt idx="45">
                  <c:v>973.4876005611211</c:v>
                </c:pt>
                <c:pt idx="46">
                  <c:v>973.10817992039927</c:v>
                </c:pt>
                <c:pt idx="47">
                  <c:v>972.72875927967709</c:v>
                </c:pt>
                <c:pt idx="48">
                  <c:v>972.34933863895526</c:v>
                </c:pt>
                <c:pt idx="49">
                  <c:v>971.9699179982332</c:v>
                </c:pt>
                <c:pt idx="50">
                  <c:v>971.59049735751148</c:v>
                </c:pt>
              </c:numCache>
            </c:numRef>
          </c:val>
          <c:extLst>
            <c:ext xmlns:c16="http://schemas.microsoft.com/office/drawing/2014/chart" uri="{C3380CC4-5D6E-409C-BE32-E72D297353CC}">
              <c16:uniqueId val="{00000004-2D26-4177-8A16-4D1FE8C89A7C}"/>
            </c:ext>
          </c:extLst>
        </c:ser>
        <c:ser>
          <c:idx val="5"/>
          <c:order val="5"/>
          <c:tx>
            <c:strRef>
              <c:f>'Emissions summary'!$C$63</c:f>
              <c:strCache>
                <c:ptCount val="1"/>
                <c:pt idx="0">
                  <c:v>Liming</c:v>
                </c:pt>
              </c:strCache>
            </c:strRef>
          </c:tx>
          <c:spPr>
            <a:solidFill>
              <a:schemeClr val="accent6"/>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summary'!$F$63:$BN$63</c15:sqref>
                  </c15:fullRef>
                </c:ext>
              </c:extLst>
              <c:f>'Emissions summary'!$P$63:$BN$63</c:f>
              <c:numCache>
                <c:formatCode>General</c:formatCode>
                <c:ptCount val="51"/>
                <c:pt idx="0">
                  <c:v>378.2405</c:v>
                </c:pt>
                <c:pt idx="1">
                  <c:v>489.66362500000002</c:v>
                </c:pt>
                <c:pt idx="2">
                  <c:v>672.79437500000006</c:v>
                </c:pt>
                <c:pt idx="3">
                  <c:v>580.13175000000001</c:v>
                </c:pt>
                <c:pt idx="4">
                  <c:v>579.7403333333333</c:v>
                </c:pt>
                <c:pt idx="5">
                  <c:v>266.03683333333333</c:v>
                </c:pt>
                <c:pt idx="6">
                  <c:v>441.42908333333332</c:v>
                </c:pt>
                <c:pt idx="7">
                  <c:v>521.42108333333329</c:v>
                </c:pt>
                <c:pt idx="8">
                  <c:v>655.32637499999998</c:v>
                </c:pt>
                <c:pt idx="9">
                  <c:v>695.56775237855516</c:v>
                </c:pt>
                <c:pt idx="10">
                  <c:v>653.23730656422072</c:v>
                </c:pt>
                <c:pt idx="11">
                  <c:v>722.61220387104663</c:v>
                </c:pt>
                <c:pt idx="12">
                  <c:v>686.82166737777982</c:v>
                </c:pt>
                <c:pt idx="13">
                  <c:v>690.46807135714243</c:v>
                </c:pt>
                <c:pt idx="14">
                  <c:v>694.14759049189047</c:v>
                </c:pt>
                <c:pt idx="15">
                  <c:v>697.86052552034892</c:v>
                </c:pt>
                <c:pt idx="16">
                  <c:v>701.90718951194333</c:v>
                </c:pt>
                <c:pt idx="17">
                  <c:v>705.95385350353752</c:v>
                </c:pt>
                <c:pt idx="18">
                  <c:v>710.0005174951317</c:v>
                </c:pt>
                <c:pt idx="19">
                  <c:v>714.047181486726</c:v>
                </c:pt>
                <c:pt idx="20">
                  <c:v>718.0938454783203</c:v>
                </c:pt>
                <c:pt idx="21">
                  <c:v>722.19557607453942</c:v>
                </c:pt>
                <c:pt idx="22">
                  <c:v>726.29730659504719</c:v>
                </c:pt>
                <c:pt idx="23">
                  <c:v>730.39903711555496</c:v>
                </c:pt>
                <c:pt idx="24">
                  <c:v>730.39903711555496</c:v>
                </c:pt>
                <c:pt idx="25">
                  <c:v>730.39903711555496</c:v>
                </c:pt>
                <c:pt idx="26">
                  <c:v>730.39903711555496</c:v>
                </c:pt>
                <c:pt idx="27">
                  <c:v>730.39903711555496</c:v>
                </c:pt>
                <c:pt idx="28">
                  <c:v>730.39903711555496</c:v>
                </c:pt>
                <c:pt idx="29">
                  <c:v>730.39903711555496</c:v>
                </c:pt>
                <c:pt idx="30">
                  <c:v>730.39903711555496</c:v>
                </c:pt>
                <c:pt idx="31">
                  <c:v>730.39903711555496</c:v>
                </c:pt>
                <c:pt idx="32">
                  <c:v>730.39903711555496</c:v>
                </c:pt>
                <c:pt idx="33">
                  <c:v>730.39903711555496</c:v>
                </c:pt>
                <c:pt idx="34">
                  <c:v>730.39903711555496</c:v>
                </c:pt>
                <c:pt idx="35">
                  <c:v>730.39903711555496</c:v>
                </c:pt>
                <c:pt idx="36">
                  <c:v>730.39903711555496</c:v>
                </c:pt>
                <c:pt idx="37">
                  <c:v>730.39903711555496</c:v>
                </c:pt>
                <c:pt idx="38">
                  <c:v>730.39903711555496</c:v>
                </c:pt>
                <c:pt idx="39">
                  <c:v>730.39903711555496</c:v>
                </c:pt>
                <c:pt idx="40">
                  <c:v>730.39903711555496</c:v>
                </c:pt>
                <c:pt idx="41">
                  <c:v>730.39903711555496</c:v>
                </c:pt>
                <c:pt idx="42">
                  <c:v>730.39903711555496</c:v>
                </c:pt>
                <c:pt idx="43">
                  <c:v>730.39903711555496</c:v>
                </c:pt>
                <c:pt idx="44">
                  <c:v>730.39903711555496</c:v>
                </c:pt>
                <c:pt idx="45">
                  <c:v>730.39903711555496</c:v>
                </c:pt>
                <c:pt idx="46">
                  <c:v>730.39903711555496</c:v>
                </c:pt>
                <c:pt idx="47">
                  <c:v>730.39903711555496</c:v>
                </c:pt>
                <c:pt idx="48">
                  <c:v>730.39903711555496</c:v>
                </c:pt>
                <c:pt idx="49">
                  <c:v>730.39903711555496</c:v>
                </c:pt>
                <c:pt idx="50">
                  <c:v>730.39903711555496</c:v>
                </c:pt>
              </c:numCache>
            </c:numRef>
          </c:val>
          <c:extLst>
            <c:ext xmlns:c16="http://schemas.microsoft.com/office/drawing/2014/chart" uri="{C3380CC4-5D6E-409C-BE32-E72D297353CC}">
              <c16:uniqueId val="{00000005-2D26-4177-8A16-4D1FE8C89A7C}"/>
            </c:ext>
          </c:extLst>
        </c:ser>
        <c:ser>
          <c:idx val="6"/>
          <c:order val="6"/>
          <c:tx>
            <c:strRef>
              <c:f>'Emissions summary'!$C$64</c:f>
              <c:strCache>
                <c:ptCount val="1"/>
                <c:pt idx="0">
                  <c:v>Urea</c:v>
                </c:pt>
              </c:strCache>
            </c:strRef>
          </c:tx>
          <c:spPr>
            <a:solidFill>
              <a:schemeClr val="accent1">
                <a:lumMod val="60000"/>
              </a:schemeClr>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summary'!$F$64:$BN$64</c15:sqref>
                  </c15:fullRef>
                </c:ext>
              </c:extLst>
              <c:f>'Emissions summary'!$P$64:$BN$64</c:f>
              <c:numCache>
                <c:formatCode>General</c:formatCode>
                <c:ptCount val="51"/>
                <c:pt idx="0">
                  <c:v>297.31791253242642</c:v>
                </c:pt>
                <c:pt idx="1">
                  <c:v>317.95024703732088</c:v>
                </c:pt>
                <c:pt idx="2">
                  <c:v>338.58258154220977</c:v>
                </c:pt>
                <c:pt idx="3">
                  <c:v>359.21491604710423</c:v>
                </c:pt>
                <c:pt idx="4">
                  <c:v>435.89846666666671</c:v>
                </c:pt>
                <c:pt idx="5">
                  <c:v>355.08659999999998</c:v>
                </c:pt>
                <c:pt idx="6">
                  <c:v>393.08573333333334</c:v>
                </c:pt>
                <c:pt idx="7">
                  <c:v>484.55366666666663</c:v>
                </c:pt>
                <c:pt idx="8">
                  <c:v>480.19253333333336</c:v>
                </c:pt>
                <c:pt idx="9">
                  <c:v>380.54426666666666</c:v>
                </c:pt>
                <c:pt idx="10">
                  <c:v>501.48046666666664</c:v>
                </c:pt>
                <c:pt idx="11">
                  <c:v>571.19113333333337</c:v>
                </c:pt>
                <c:pt idx="12">
                  <c:v>473.70201342711152</c:v>
                </c:pt>
                <c:pt idx="13">
                  <c:v>473.87950816779028</c:v>
                </c:pt>
                <c:pt idx="14">
                  <c:v>474.05861484339204</c:v>
                </c:pt>
                <c:pt idx="15">
                  <c:v>474.2393480928518</c:v>
                </c:pt>
                <c:pt idx="16">
                  <c:v>474.43632615119856</c:v>
                </c:pt>
                <c:pt idx="17">
                  <c:v>474.63330420954514</c:v>
                </c:pt>
                <c:pt idx="18">
                  <c:v>474.83028226789162</c:v>
                </c:pt>
                <c:pt idx="19">
                  <c:v>475.02726032623832</c:v>
                </c:pt>
                <c:pt idx="20">
                  <c:v>475.22423838458496</c:v>
                </c:pt>
                <c:pt idx="21">
                  <c:v>475.42389690092881</c:v>
                </c:pt>
                <c:pt idx="22">
                  <c:v>475.62355541358733</c:v>
                </c:pt>
                <c:pt idx="23">
                  <c:v>475.82321392624596</c:v>
                </c:pt>
                <c:pt idx="24">
                  <c:v>475.82321392624596</c:v>
                </c:pt>
                <c:pt idx="25">
                  <c:v>475.82321392624596</c:v>
                </c:pt>
                <c:pt idx="26">
                  <c:v>475.82321392624596</c:v>
                </c:pt>
                <c:pt idx="27">
                  <c:v>475.82321392624596</c:v>
                </c:pt>
                <c:pt idx="28">
                  <c:v>475.82321392624596</c:v>
                </c:pt>
                <c:pt idx="29">
                  <c:v>475.82321392624596</c:v>
                </c:pt>
                <c:pt idx="30">
                  <c:v>475.82321392624596</c:v>
                </c:pt>
                <c:pt idx="31">
                  <c:v>475.82321392624596</c:v>
                </c:pt>
                <c:pt idx="32">
                  <c:v>475.82321392624596</c:v>
                </c:pt>
                <c:pt idx="33">
                  <c:v>475.82321392624596</c:v>
                </c:pt>
                <c:pt idx="34">
                  <c:v>475.82321392624596</c:v>
                </c:pt>
                <c:pt idx="35">
                  <c:v>475.82321392624596</c:v>
                </c:pt>
                <c:pt idx="36">
                  <c:v>475.82321392624596</c:v>
                </c:pt>
                <c:pt idx="37">
                  <c:v>475.82321392624596</c:v>
                </c:pt>
                <c:pt idx="38">
                  <c:v>475.82321392624596</c:v>
                </c:pt>
                <c:pt idx="39">
                  <c:v>475.82321392624596</c:v>
                </c:pt>
                <c:pt idx="40">
                  <c:v>475.82321392624596</c:v>
                </c:pt>
                <c:pt idx="41">
                  <c:v>475.82321392624596</c:v>
                </c:pt>
                <c:pt idx="42">
                  <c:v>475.82321392624596</c:v>
                </c:pt>
                <c:pt idx="43">
                  <c:v>475.82321392624596</c:v>
                </c:pt>
                <c:pt idx="44">
                  <c:v>475.82321392624596</c:v>
                </c:pt>
                <c:pt idx="45">
                  <c:v>475.82321392624596</c:v>
                </c:pt>
                <c:pt idx="46">
                  <c:v>475.82321392624596</c:v>
                </c:pt>
                <c:pt idx="47">
                  <c:v>475.82321392624596</c:v>
                </c:pt>
                <c:pt idx="48">
                  <c:v>475.82321392624596</c:v>
                </c:pt>
                <c:pt idx="49">
                  <c:v>475.82321392624596</c:v>
                </c:pt>
                <c:pt idx="50">
                  <c:v>475.82321392624596</c:v>
                </c:pt>
              </c:numCache>
            </c:numRef>
          </c:val>
          <c:extLst>
            <c:ext xmlns:c16="http://schemas.microsoft.com/office/drawing/2014/chart" uri="{C3380CC4-5D6E-409C-BE32-E72D297353CC}">
              <c16:uniqueId val="{00000006-2D26-4177-8A16-4D1FE8C89A7C}"/>
            </c:ext>
          </c:extLst>
        </c:ser>
        <c:ser>
          <c:idx val="7"/>
          <c:order val="7"/>
          <c:tx>
            <c:strRef>
              <c:f>'Emissions summary'!$C$65</c:f>
              <c:strCache>
                <c:ptCount val="1"/>
                <c:pt idx="0">
                  <c:v>Direct N2O</c:v>
                </c:pt>
              </c:strCache>
            </c:strRef>
          </c:tx>
          <c:spPr>
            <a:solidFill>
              <a:schemeClr val="accent2">
                <a:lumMod val="60000"/>
              </a:schemeClr>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summary'!$F$65:$BN$65</c15:sqref>
                  </c15:fullRef>
                </c:ext>
              </c:extLst>
              <c:f>'Emissions summary'!$P$65:$BN$65</c:f>
              <c:numCache>
                <c:formatCode>General</c:formatCode>
                <c:ptCount val="51"/>
                <c:pt idx="0">
                  <c:v>19327.015119058116</c:v>
                </c:pt>
                <c:pt idx="1">
                  <c:v>18602.913592780023</c:v>
                </c:pt>
                <c:pt idx="2">
                  <c:v>18996.200132064732</c:v>
                </c:pt>
                <c:pt idx="3">
                  <c:v>18690.572709169541</c:v>
                </c:pt>
                <c:pt idx="4">
                  <c:v>18340.319361353846</c:v>
                </c:pt>
                <c:pt idx="5">
                  <c:v>18032.244904032526</c:v>
                </c:pt>
                <c:pt idx="6">
                  <c:v>17683.190185022595</c:v>
                </c:pt>
                <c:pt idx="7">
                  <c:v>18565.416324630911</c:v>
                </c:pt>
                <c:pt idx="8">
                  <c:v>18914.683594619022</c:v>
                </c:pt>
                <c:pt idx="9">
                  <c:v>18700.377993558752</c:v>
                </c:pt>
                <c:pt idx="10">
                  <c:v>18480.993443645988</c:v>
                </c:pt>
                <c:pt idx="11">
                  <c:v>18357.347352101453</c:v>
                </c:pt>
                <c:pt idx="12">
                  <c:v>18377.721222047017</c:v>
                </c:pt>
                <c:pt idx="13">
                  <c:v>18355.122376439245</c:v>
                </c:pt>
                <c:pt idx="14">
                  <c:v>18337.321101581299</c:v>
                </c:pt>
                <c:pt idx="15">
                  <c:v>18323.814906515061</c:v>
                </c:pt>
                <c:pt idx="16">
                  <c:v>18312.852049522098</c:v>
                </c:pt>
                <c:pt idx="17">
                  <c:v>18299.651624902894</c:v>
                </c:pt>
                <c:pt idx="18">
                  <c:v>18287.774421176226</c:v>
                </c:pt>
                <c:pt idx="19">
                  <c:v>18277.08912487976</c:v>
                </c:pt>
                <c:pt idx="20">
                  <c:v>18327.756446602791</c:v>
                </c:pt>
                <c:pt idx="21">
                  <c:v>18305.833855970308</c:v>
                </c:pt>
                <c:pt idx="22">
                  <c:v>18285.837154721663</c:v>
                </c:pt>
                <c:pt idx="23">
                  <c:v>18266.789148005169</c:v>
                </c:pt>
                <c:pt idx="24">
                  <c:v>18266.449130558911</c:v>
                </c:pt>
                <c:pt idx="25">
                  <c:v>18266.489315132785</c:v>
                </c:pt>
                <c:pt idx="26">
                  <c:v>18266.013439353777</c:v>
                </c:pt>
                <c:pt idx="27">
                  <c:v>18266.853837637802</c:v>
                </c:pt>
                <c:pt idx="28">
                  <c:v>18268.254465446844</c:v>
                </c:pt>
                <c:pt idx="29">
                  <c:v>18270.415104324344</c:v>
                </c:pt>
                <c:pt idx="30">
                  <c:v>18275.082494004932</c:v>
                </c:pt>
                <c:pt idx="31">
                  <c:v>18351.777136799908</c:v>
                </c:pt>
                <c:pt idx="32">
                  <c:v>18411.498751709096</c:v>
                </c:pt>
                <c:pt idx="33">
                  <c:v>18480.370530893932</c:v>
                </c:pt>
                <c:pt idx="34">
                  <c:v>18549.365557989153</c:v>
                </c:pt>
                <c:pt idx="35">
                  <c:v>18617.495485797735</c:v>
                </c:pt>
                <c:pt idx="36">
                  <c:v>18675.668981865507</c:v>
                </c:pt>
                <c:pt idx="37">
                  <c:v>18726.400026940137</c:v>
                </c:pt>
                <c:pt idx="38">
                  <c:v>18758.328917288622</c:v>
                </c:pt>
                <c:pt idx="39">
                  <c:v>18780.685138030491</c:v>
                </c:pt>
                <c:pt idx="40">
                  <c:v>18797.694025108551</c:v>
                </c:pt>
                <c:pt idx="41">
                  <c:v>18860.494109769643</c:v>
                </c:pt>
                <c:pt idx="42">
                  <c:v>18917.223623039652</c:v>
                </c:pt>
                <c:pt idx="43">
                  <c:v>18966.632114743272</c:v>
                </c:pt>
                <c:pt idx="44">
                  <c:v>19009.088786674409</c:v>
                </c:pt>
                <c:pt idx="45">
                  <c:v>19047.730156454105</c:v>
                </c:pt>
                <c:pt idx="46">
                  <c:v>19078.76447184497</c:v>
                </c:pt>
                <c:pt idx="47">
                  <c:v>19101.9501488184</c:v>
                </c:pt>
                <c:pt idx="48">
                  <c:v>19110.04213309952</c:v>
                </c:pt>
                <c:pt idx="49">
                  <c:v>19109.884665187757</c:v>
                </c:pt>
                <c:pt idx="50">
                  <c:v>19101.154387818868</c:v>
                </c:pt>
              </c:numCache>
            </c:numRef>
          </c:val>
          <c:extLst>
            <c:ext xmlns:c16="http://schemas.microsoft.com/office/drawing/2014/chart" uri="{C3380CC4-5D6E-409C-BE32-E72D297353CC}">
              <c16:uniqueId val="{00000007-2D26-4177-8A16-4D1FE8C89A7C}"/>
            </c:ext>
          </c:extLst>
        </c:ser>
        <c:ser>
          <c:idx val="8"/>
          <c:order val="8"/>
          <c:tx>
            <c:strRef>
              <c:f>'Emissions summary'!$C$66</c:f>
              <c:strCache>
                <c:ptCount val="1"/>
                <c:pt idx="0">
                  <c:v>Indirect N2O from MS</c:v>
                </c:pt>
              </c:strCache>
            </c:strRef>
          </c:tx>
          <c:spPr>
            <a:solidFill>
              <a:schemeClr val="accent3">
                <a:lumMod val="60000"/>
              </a:schemeClr>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summary'!$F$66:$BN$66</c15:sqref>
                  </c15:fullRef>
                </c:ext>
              </c:extLst>
              <c:f>'Emissions summary'!$P$66:$BN$66</c:f>
              <c:numCache>
                <c:formatCode>General</c:formatCode>
                <c:ptCount val="51"/>
                <c:pt idx="0">
                  <c:v>2338.0116326614102</c:v>
                </c:pt>
                <c:pt idx="1">
                  <c:v>2291.3538782912919</c:v>
                </c:pt>
                <c:pt idx="2">
                  <c:v>2311.3813291877032</c:v>
                </c:pt>
                <c:pt idx="3">
                  <c:v>2275.9303933061774</c:v>
                </c:pt>
                <c:pt idx="4">
                  <c:v>2249.9786194437957</c:v>
                </c:pt>
                <c:pt idx="5">
                  <c:v>2219.5948553673597</c:v>
                </c:pt>
                <c:pt idx="6">
                  <c:v>2234.9785834035056</c:v>
                </c:pt>
                <c:pt idx="7">
                  <c:v>2293.4233205043074</c:v>
                </c:pt>
                <c:pt idx="8">
                  <c:v>2323.7183210353014</c:v>
                </c:pt>
                <c:pt idx="9">
                  <c:v>2316.1868881070077</c:v>
                </c:pt>
                <c:pt idx="10">
                  <c:v>2275.6117938255893</c:v>
                </c:pt>
                <c:pt idx="11">
                  <c:v>2272.2696681466509</c:v>
                </c:pt>
                <c:pt idx="12">
                  <c:v>2290.8114453749204</c:v>
                </c:pt>
                <c:pt idx="13">
                  <c:v>2290.548328834755</c:v>
                </c:pt>
                <c:pt idx="14">
                  <c:v>2290.5136434932692</c:v>
                </c:pt>
                <c:pt idx="15">
                  <c:v>2290.6439174549982</c:v>
                </c:pt>
                <c:pt idx="16">
                  <c:v>2290.8556740696963</c:v>
                </c:pt>
                <c:pt idx="17">
                  <c:v>2291.0705550540479</c:v>
                </c:pt>
                <c:pt idx="18">
                  <c:v>2291.3589123552169</c:v>
                </c:pt>
                <c:pt idx="19">
                  <c:v>2291.712532044925</c:v>
                </c:pt>
                <c:pt idx="20">
                  <c:v>2293.6897377231298</c:v>
                </c:pt>
                <c:pt idx="21">
                  <c:v>2293.6681618882881</c:v>
                </c:pt>
                <c:pt idx="22">
                  <c:v>2293.8093698749076</c:v>
                </c:pt>
                <c:pt idx="23">
                  <c:v>2294.0748792632926</c:v>
                </c:pt>
                <c:pt idx="24">
                  <c:v>2294.9996168441126</c:v>
                </c:pt>
                <c:pt idx="25">
                  <c:v>2296.0284774017405</c:v>
                </c:pt>
                <c:pt idx="26">
                  <c:v>2297.1803383625384</c:v>
                </c:pt>
                <c:pt idx="27">
                  <c:v>2298.4703758668584</c:v>
                </c:pt>
                <c:pt idx="28">
                  <c:v>2299.8952969672428</c:v>
                </c:pt>
                <c:pt idx="29">
                  <c:v>2301.4583795828639</c:v>
                </c:pt>
                <c:pt idx="30">
                  <c:v>2303.5162964855544</c:v>
                </c:pt>
                <c:pt idx="31">
                  <c:v>2313.4871630511839</c:v>
                </c:pt>
                <c:pt idx="32">
                  <c:v>2322.2939745941862</c:v>
                </c:pt>
                <c:pt idx="33">
                  <c:v>2332.2360854949793</c:v>
                </c:pt>
                <c:pt idx="34">
                  <c:v>2342.3106438896161</c:v>
                </c:pt>
                <c:pt idx="35">
                  <c:v>2352.4163706817044</c:v>
                </c:pt>
                <c:pt idx="36">
                  <c:v>2361.5504679993355</c:v>
                </c:pt>
                <c:pt idx="37">
                  <c:v>2369.9843559086535</c:v>
                </c:pt>
                <c:pt idx="38">
                  <c:v>2375.8176319084137</c:v>
                </c:pt>
                <c:pt idx="39">
                  <c:v>2380.5989409865379</c:v>
                </c:pt>
                <c:pt idx="40">
                  <c:v>2384.9160321358609</c:v>
                </c:pt>
                <c:pt idx="41">
                  <c:v>2394.1874005700306</c:v>
                </c:pt>
                <c:pt idx="42">
                  <c:v>2402.8847373224944</c:v>
                </c:pt>
                <c:pt idx="43">
                  <c:v>2410.8689629852006</c:v>
                </c:pt>
                <c:pt idx="44">
                  <c:v>2418.1881742168903</c:v>
                </c:pt>
                <c:pt idx="45">
                  <c:v>2425.2146533443629</c:v>
                </c:pt>
                <c:pt idx="46">
                  <c:v>2431.5005660086822</c:v>
                </c:pt>
                <c:pt idx="47">
                  <c:v>2437.0410137762365</c:v>
                </c:pt>
                <c:pt idx="48">
                  <c:v>2440.9888584034015</c:v>
                </c:pt>
                <c:pt idx="49">
                  <c:v>2444.1539720224646</c:v>
                </c:pt>
                <c:pt idx="50">
                  <c:v>2446.5073992893895</c:v>
                </c:pt>
              </c:numCache>
            </c:numRef>
          </c:val>
          <c:extLst>
            <c:ext xmlns:c16="http://schemas.microsoft.com/office/drawing/2014/chart" uri="{C3380CC4-5D6E-409C-BE32-E72D297353CC}">
              <c16:uniqueId val="{00000008-2D26-4177-8A16-4D1FE8C89A7C}"/>
            </c:ext>
          </c:extLst>
        </c:ser>
        <c:ser>
          <c:idx val="9"/>
          <c:order val="9"/>
          <c:tx>
            <c:strRef>
              <c:f>'Emissions summary'!$C$67</c:f>
              <c:strCache>
                <c:ptCount val="1"/>
                <c:pt idx="0">
                  <c:v>Indirect N2O from MM</c:v>
                </c:pt>
              </c:strCache>
            </c:strRef>
          </c:tx>
          <c:spPr>
            <a:solidFill>
              <a:schemeClr val="accent4">
                <a:lumMod val="60000"/>
              </a:schemeClr>
            </a:solidFill>
            <a:ln>
              <a:noFill/>
            </a:ln>
            <a:effectLst/>
          </c:spPr>
          <c:cat>
            <c:numRef>
              <c:extLst>
                <c:ext xmlns:c15="http://schemas.microsoft.com/office/drawing/2012/chart" uri="{02D57815-91ED-43cb-92C2-25804820EDAC}">
                  <c15:fullRef>
                    <c15:sqref>'Emissions summary'!$F$57:$BN$57</c15:sqref>
                  </c15:fullRef>
                </c:ext>
              </c:extLst>
              <c:f>'Emissions summary'!$P$57:$BN$57</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extLst>
                <c:ext xmlns:c15="http://schemas.microsoft.com/office/drawing/2012/chart" uri="{02D57815-91ED-43cb-92C2-25804820EDAC}">
                  <c15:fullRef>
                    <c15:sqref>'Emissions summary'!$F$67:$BN$67</c15:sqref>
                  </c15:fullRef>
                </c:ext>
              </c:extLst>
              <c:f>'Emissions summary'!$P$67:$BN$67</c:f>
              <c:numCache>
                <c:formatCode>General</c:formatCode>
                <c:ptCount val="51"/>
                <c:pt idx="0">
                  <c:v>420.72277135231604</c:v>
                </c:pt>
                <c:pt idx="1">
                  <c:v>418.37207720994593</c:v>
                </c:pt>
                <c:pt idx="2">
                  <c:v>406.12517665445523</c:v>
                </c:pt>
                <c:pt idx="3">
                  <c:v>385.62180744131297</c:v>
                </c:pt>
                <c:pt idx="4">
                  <c:v>383.11027791084422</c:v>
                </c:pt>
                <c:pt idx="5">
                  <c:v>402.62502084090437</c:v>
                </c:pt>
                <c:pt idx="6">
                  <c:v>407.68948429226828</c:v>
                </c:pt>
                <c:pt idx="7">
                  <c:v>415.77221135959962</c:v>
                </c:pt>
                <c:pt idx="8">
                  <c:v>450.38785912632164</c:v>
                </c:pt>
                <c:pt idx="9">
                  <c:v>447.90280780802436</c:v>
                </c:pt>
                <c:pt idx="10">
                  <c:v>450.47531382738657</c:v>
                </c:pt>
                <c:pt idx="11">
                  <c:v>455.70252815125627</c:v>
                </c:pt>
                <c:pt idx="12">
                  <c:v>454.43922946313114</c:v>
                </c:pt>
                <c:pt idx="13">
                  <c:v>460.06920294166753</c:v>
                </c:pt>
                <c:pt idx="14">
                  <c:v>464.77926586090297</c:v>
                </c:pt>
                <c:pt idx="15">
                  <c:v>468.52285725457358</c:v>
                </c:pt>
                <c:pt idx="16">
                  <c:v>471.4780386143853</c:v>
                </c:pt>
                <c:pt idx="17">
                  <c:v>475.1986585491685</c:v>
                </c:pt>
                <c:pt idx="18">
                  <c:v>478.68706568261393</c:v>
                </c:pt>
                <c:pt idx="19">
                  <c:v>481.96240888756523</c:v>
                </c:pt>
                <c:pt idx="20">
                  <c:v>469.62492113876834</c:v>
                </c:pt>
                <c:pt idx="21">
                  <c:v>475.41102451775311</c:v>
                </c:pt>
                <c:pt idx="22">
                  <c:v>481.07601190265859</c:v>
                </c:pt>
                <c:pt idx="23">
                  <c:v>486.82382180020829</c:v>
                </c:pt>
                <c:pt idx="24">
                  <c:v>492.48324915165898</c:v>
                </c:pt>
                <c:pt idx="25">
                  <c:v>498.3541129110136</c:v>
                </c:pt>
                <c:pt idx="26">
                  <c:v>504.96750729279682</c:v>
                </c:pt>
                <c:pt idx="27">
                  <c:v>511.58581920716318</c:v>
                </c:pt>
                <c:pt idx="28">
                  <c:v>518.46063671697289</c:v>
                </c:pt>
                <c:pt idx="29">
                  <c:v>525.53591415048493</c:v>
                </c:pt>
                <c:pt idx="30">
                  <c:v>532.83490078312138</c:v>
                </c:pt>
                <c:pt idx="31">
                  <c:v>541.88147955438967</c:v>
                </c:pt>
                <c:pt idx="32">
                  <c:v>550.44665236003732</c:v>
                </c:pt>
                <c:pt idx="33">
                  <c:v>559.73833896567544</c:v>
                </c:pt>
                <c:pt idx="34">
                  <c:v>569.46489040909535</c:v>
                </c:pt>
                <c:pt idx="35">
                  <c:v>579.62296733257642</c:v>
                </c:pt>
                <c:pt idx="36">
                  <c:v>589.87443734306476</c:v>
                </c:pt>
                <c:pt idx="37">
                  <c:v>600.34434298793622</c:v>
                </c:pt>
                <c:pt idx="38">
                  <c:v>607.8313441016453</c:v>
                </c:pt>
                <c:pt idx="39">
                  <c:v>614.94884650858035</c:v>
                </c:pt>
                <c:pt idx="40">
                  <c:v>622.33904726393575</c:v>
                </c:pt>
                <c:pt idx="41">
                  <c:v>630.34238679615714</c:v>
                </c:pt>
                <c:pt idx="42">
                  <c:v>638.49279875369223</c:v>
                </c:pt>
                <c:pt idx="43">
                  <c:v>646.74909689231481</c:v>
                </c:pt>
                <c:pt idx="44">
                  <c:v>655.14617863763453</c:v>
                </c:pt>
                <c:pt idx="45">
                  <c:v>663.86297042161129</c:v>
                </c:pt>
                <c:pt idx="46">
                  <c:v>672.75758259615554</c:v>
                </c:pt>
                <c:pt idx="47">
                  <c:v>681.82446549530175</c:v>
                </c:pt>
                <c:pt idx="48">
                  <c:v>690.69182682206133</c:v>
                </c:pt>
                <c:pt idx="49">
                  <c:v>699.74167390557272</c:v>
                </c:pt>
                <c:pt idx="50">
                  <c:v>708.9856225040354</c:v>
                </c:pt>
              </c:numCache>
            </c:numRef>
          </c:val>
          <c:extLst>
            <c:ext xmlns:c16="http://schemas.microsoft.com/office/drawing/2014/chart" uri="{C3380CC4-5D6E-409C-BE32-E72D297353CC}">
              <c16:uniqueId val="{00000009-2D26-4177-8A16-4D1FE8C89A7C}"/>
            </c:ext>
          </c:extLst>
        </c:ser>
        <c:dLbls>
          <c:showLegendKey val="0"/>
          <c:showVal val="0"/>
          <c:showCatName val="0"/>
          <c:showSerName val="0"/>
          <c:showPercent val="0"/>
          <c:showBubbleSize val="0"/>
        </c:dLbls>
        <c:axId val="1213528255"/>
        <c:axId val="1213537823"/>
      </c:areaChart>
      <c:catAx>
        <c:axId val="12135282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crossAx val="1213537823"/>
        <c:crosses val="autoZero"/>
        <c:auto val="1"/>
        <c:lblAlgn val="ctr"/>
        <c:lblOffset val="100"/>
        <c:noMultiLvlLbl val="0"/>
      </c:catAx>
      <c:valAx>
        <c:axId val="121353782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Emissions (GgCO</a:t>
                </a:r>
                <a:r>
                  <a:rPr lang="en-US" sz="1200" b="1" baseline="-25000">
                    <a:solidFill>
                      <a:sysClr val="windowText" lastClr="000000"/>
                    </a:solidFill>
                  </a:rPr>
                  <a:t>2</a:t>
                </a:r>
                <a:r>
                  <a:rPr lang="en-US" sz="1200" b="1">
                    <a:solidFill>
                      <a:sysClr val="windowText" lastClr="000000"/>
                    </a:solidFill>
                  </a:rPr>
                  <a:t>e)</a:t>
                </a:r>
              </a:p>
            </c:rich>
          </c:tx>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crossAx val="1213528255"/>
        <c:crosses val="autoZero"/>
        <c:crossBetween val="midCat"/>
      </c:valAx>
      <c:spPr>
        <a:noFill/>
        <a:ln>
          <a:solidFill>
            <a:schemeClr val="bg1">
              <a:lumMod val="50000"/>
            </a:schemeClr>
          </a:solidFill>
        </a:ln>
        <a:effectLst/>
      </c:spPr>
    </c:plotArea>
    <c:legend>
      <c:legendPos val="b"/>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'Emissions summary'!$E$72</c:f>
              <c:strCache>
                <c:ptCount val="1"/>
                <c:pt idx="0">
                  <c:v>Aggregated non-CO2 emissions (modelled)</c:v>
                </c:pt>
              </c:strCache>
              <c:extLst xmlns:c15="http://schemas.microsoft.com/office/drawing/2012/chart"/>
            </c:strRef>
          </c:tx>
          <c:spPr>
            <a:ln w="28575" cap="rnd">
              <a:solidFill>
                <a:srgbClr val="00B0F0"/>
              </a:solidFill>
              <a:round/>
            </a:ln>
            <a:effectLst/>
          </c:spPr>
          <c:marker>
            <c:symbol val="none"/>
          </c:marker>
          <c:cat>
            <c:numRef>
              <c:extLst>
                <c:ext xmlns:c15="http://schemas.microsoft.com/office/drawing/2012/chart" uri="{02D57815-91ED-43cb-92C2-25804820EDAC}">
                  <c15:fullRef>
                    <c15:sqref>'Emissions summary'!$F$70:$AG$70</c15:sqref>
                  </c15:fullRef>
                </c:ext>
              </c:extLst>
              <c:f>'Emissions summary'!$P$70:$AG$70</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extLst>
                <c:ext xmlns:c15="http://schemas.microsoft.com/office/drawing/2012/chart" uri="{02D57815-91ED-43cb-92C2-25804820EDAC}">
                  <c15:fullRef>
                    <c15:sqref>'Emissions summary'!$F$72:$AG$72</c15:sqref>
                  </c15:fullRef>
                </c:ext>
              </c:extLst>
              <c:f>'Emissions summary'!$P$72:$AG$72</c:f>
              <c:numCache>
                <c:formatCode>General</c:formatCode>
                <c:ptCount val="18"/>
                <c:pt idx="0">
                  <c:v>25003.073827323802</c:v>
                </c:pt>
                <c:pt idx="1">
                  <c:v>24750.66770115777</c:v>
                </c:pt>
                <c:pt idx="2">
                  <c:v>25342.370210186647</c:v>
                </c:pt>
                <c:pt idx="3">
                  <c:v>24320.471270300244</c:v>
                </c:pt>
                <c:pt idx="4">
                  <c:v>23787.103544354315</c:v>
                </c:pt>
                <c:pt idx="5">
                  <c:v>24135.833759735142</c:v>
                </c:pt>
                <c:pt idx="6">
                  <c:v>23660.658956555813</c:v>
                </c:pt>
                <c:pt idx="7">
                  <c:v>24716.59951857779</c:v>
                </c:pt>
                <c:pt idx="8">
                  <c:v>25144.355071127939</c:v>
                </c:pt>
                <c:pt idx="9">
                  <c:v>24727.590668620331</c:v>
                </c:pt>
                <c:pt idx="10">
                  <c:v>24590.610221542152</c:v>
                </c:pt>
                <c:pt idx="11">
                  <c:v>24583.600460378959</c:v>
                </c:pt>
                <c:pt idx="12">
                  <c:v>24168.515469068567</c:v>
                </c:pt>
                <c:pt idx="13">
                  <c:v>24224.100717605943</c:v>
                </c:pt>
                <c:pt idx="14">
                  <c:v>24184.368644302831</c:v>
                </c:pt>
                <c:pt idx="15">
                  <c:v>24151.295346101109</c:v>
                </c:pt>
                <c:pt idx="16">
                  <c:v>24161.278504683789</c:v>
                </c:pt>
                <c:pt idx="17">
                  <c:v>24167.762408824856</c:v>
                </c:pt>
              </c:numCache>
            </c:numRef>
          </c:val>
          <c:smooth val="0"/>
          <c:extLst xmlns:c15="http://schemas.microsoft.com/office/drawing/2012/chart">
            <c:ext xmlns:c16="http://schemas.microsoft.com/office/drawing/2014/chart" uri="{C3380CC4-5D6E-409C-BE32-E72D297353CC}">
              <c16:uniqueId val="{00000001-CC99-489C-98D5-1E78AF22B1ED}"/>
            </c:ext>
          </c:extLst>
        </c:ser>
        <c:ser>
          <c:idx val="4"/>
          <c:order val="4"/>
          <c:tx>
            <c:strRef>
              <c:f>'Emissions summary'!$E$75</c:f>
              <c:strCache>
                <c:ptCount val="1"/>
                <c:pt idx="0">
                  <c:v>Aggregated non-CO2 emissions (2017 inventory)</c:v>
                </c:pt>
              </c:strCache>
              <c:extLst xmlns:c15="http://schemas.microsoft.com/office/drawing/2012/chart"/>
            </c:strRef>
          </c:tx>
          <c:spPr>
            <a:ln w="28575" cap="rnd">
              <a:solidFill>
                <a:schemeClr val="accent2"/>
              </a:solidFill>
              <a:round/>
            </a:ln>
            <a:effectLst/>
          </c:spPr>
          <c:marker>
            <c:symbol val="none"/>
          </c:marker>
          <c:cat>
            <c:numRef>
              <c:extLst>
                <c:ext xmlns:c15="http://schemas.microsoft.com/office/drawing/2012/chart" uri="{02D57815-91ED-43cb-92C2-25804820EDAC}">
                  <c15:fullRef>
                    <c15:sqref>'Emissions summary'!$F$70:$AG$70</c15:sqref>
                  </c15:fullRef>
                </c:ext>
              </c:extLst>
              <c:f>'Emissions summary'!$P$70:$AG$70</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extLst>
                <c:ext xmlns:c15="http://schemas.microsoft.com/office/drawing/2012/chart" uri="{02D57815-91ED-43cb-92C2-25804820EDAC}">
                  <c15:fullRef>
                    <c15:sqref>'Emissions summary'!$F$75:$AG$75</c15:sqref>
                  </c15:fullRef>
                </c:ext>
              </c:extLst>
              <c:f>'Emissions summary'!$P$75:$AG$75</c:f>
              <c:numCache>
                <c:formatCode>General</c:formatCode>
                <c:ptCount val="18"/>
                <c:pt idx="0">
                  <c:v>25868.394067579684</c:v>
                </c:pt>
                <c:pt idx="1">
                  <c:v>26002.535902574971</c:v>
                </c:pt>
                <c:pt idx="2">
                  <c:v>26531.007410409438</c:v>
                </c:pt>
                <c:pt idx="3">
                  <c:v>24775.301428664814</c:v>
                </c:pt>
                <c:pt idx="4">
                  <c:v>24381.007267856174</c:v>
                </c:pt>
                <c:pt idx="5">
                  <c:v>24606.540158008142</c:v>
                </c:pt>
                <c:pt idx="6">
                  <c:v>24681.528992201023</c:v>
                </c:pt>
                <c:pt idx="7">
                  <c:v>24370.637912824339</c:v>
                </c:pt>
                <c:pt idx="8">
                  <c:v>25360.261324110521</c:v>
                </c:pt>
                <c:pt idx="9">
                  <c:v>24580.116845224002</c:v>
                </c:pt>
                <c:pt idx="10">
                  <c:v>25130.517014652847</c:v>
                </c:pt>
                <c:pt idx="11">
                  <c:v>25304.85592670933</c:v>
                </c:pt>
                <c:pt idx="12">
                  <c:v>24407.03698205229</c:v>
                </c:pt>
                <c:pt idx="13">
                  <c:v>25679.803908205235</c:v>
                </c:pt>
                <c:pt idx="14">
                  <c:v>25935.14594405461</c:v>
                </c:pt>
                <c:pt idx="15">
                  <c:v>24944.276967369409</c:v>
                </c:pt>
                <c:pt idx="16">
                  <c:v>23249.801068831042</c:v>
                </c:pt>
                <c:pt idx="17">
                  <c:v>23515.861940250066</c:v>
                </c:pt>
              </c:numCache>
            </c:numRef>
          </c:val>
          <c:smooth val="0"/>
          <c:extLst xmlns:c15="http://schemas.microsoft.com/office/drawing/2012/chart">
            <c:ext xmlns:c16="http://schemas.microsoft.com/office/drawing/2014/chart" uri="{C3380CC4-5D6E-409C-BE32-E72D297353CC}">
              <c16:uniqueId val="{00000004-CC99-489C-98D5-1E78AF22B1ED}"/>
            </c:ext>
          </c:extLst>
        </c:ser>
        <c:dLbls>
          <c:showLegendKey val="0"/>
          <c:showVal val="0"/>
          <c:showCatName val="0"/>
          <c:showSerName val="0"/>
          <c:showPercent val="0"/>
          <c:showBubbleSize val="0"/>
        </c:dLbls>
        <c:smooth val="0"/>
        <c:axId val="453903840"/>
        <c:axId val="453912160"/>
        <c:extLst>
          <c:ext xmlns:c15="http://schemas.microsoft.com/office/drawing/2012/chart" uri="{02D57815-91ED-43cb-92C2-25804820EDAC}">
            <c15:filteredLineSeries>
              <c15:ser>
                <c:idx val="0"/>
                <c:order val="0"/>
                <c:tx>
                  <c:strRef>
                    <c:extLst>
                      <c:ext uri="{02D57815-91ED-43cb-92C2-25804820EDAC}">
                        <c15:formulaRef>
                          <c15:sqref>'Emissions summary'!$E$71</c15:sqref>
                        </c15:formulaRef>
                      </c:ext>
                    </c:extLst>
                    <c:strCache>
                      <c:ptCount val="1"/>
                      <c:pt idx="0">
                        <c:v>Livestock emissions (modelled)</c:v>
                      </c:pt>
                    </c:strCache>
                  </c:strRef>
                </c:tx>
                <c:spPr>
                  <a:ln w="28575" cap="rnd">
                    <a:solidFill>
                      <a:srgbClr val="00B0F0"/>
                    </a:solidFill>
                    <a:round/>
                  </a:ln>
                  <a:effectLst/>
                </c:spPr>
                <c:marker>
                  <c:symbol val="none"/>
                </c:marker>
                <c:cat>
                  <c:numRef>
                    <c:extLst>
                      <c:ext uri="{02D57815-91ED-43cb-92C2-25804820EDAC}">
                        <c15:fullRef>
                          <c15:sqref>'Emissions summary'!$F$70:$AG$70</c15:sqref>
                        </c15:fullRef>
                        <c15:formulaRef>
                          <c15:sqref>'Emissions summary'!$P$70:$AG$70</c15:sqref>
                        </c15:formulaRef>
                      </c:ext>
                    </c:extLst>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extLst>
                      <c:ext uri="{02D57815-91ED-43cb-92C2-25804820EDAC}">
                        <c15:fullRef>
                          <c15:sqref>'Emissions summary'!$F$71:$AG$71</c15:sqref>
                        </c15:fullRef>
                        <c15:formulaRef>
                          <c15:sqref>'Emissions summary'!$P$71:$AG$71</c15:sqref>
                        </c15:formulaRef>
                      </c:ext>
                    </c:extLst>
                    <c:numCache>
                      <c:formatCode>General</c:formatCode>
                      <c:ptCount val="18"/>
                      <c:pt idx="0">
                        <c:v>29753.989948847233</c:v>
                      </c:pt>
                      <c:pt idx="1">
                        <c:v>29546.748075958283</c:v>
                      </c:pt>
                      <c:pt idx="2">
                        <c:v>28926.316019966296</c:v>
                      </c:pt>
                      <c:pt idx="3">
                        <c:v>28782.82921525514</c:v>
                      </c:pt>
                      <c:pt idx="4">
                        <c:v>28518.281081578443</c:v>
                      </c:pt>
                      <c:pt idx="5">
                        <c:v>28739.884755849245</c:v>
                      </c:pt>
                      <c:pt idx="6">
                        <c:v>28649.019025441685</c:v>
                      </c:pt>
                      <c:pt idx="7">
                        <c:v>29251.085370569181</c:v>
                      </c:pt>
                      <c:pt idx="8">
                        <c:v>29769.985617238821</c:v>
                      </c:pt>
                      <c:pt idx="9">
                        <c:v>29625.013597138062</c:v>
                      </c:pt>
                      <c:pt idx="10">
                        <c:v>29416.16998797447</c:v>
                      </c:pt>
                      <c:pt idx="11">
                        <c:v>29302.868507225488</c:v>
                      </c:pt>
                      <c:pt idx="12">
                        <c:v>29265.350661912587</c:v>
                      </c:pt>
                      <c:pt idx="13">
                        <c:v>29290.14195389767</c:v>
                      </c:pt>
                      <c:pt idx="14">
                        <c:v>29321.474473207738</c:v>
                      </c:pt>
                      <c:pt idx="15">
                        <c:v>29358.183584430259</c:v>
                      </c:pt>
                      <c:pt idx="16">
                        <c:v>29400.245741172694</c:v>
                      </c:pt>
                      <c:pt idx="17">
                        <c:v>29441.335710992938</c:v>
                      </c:pt>
                    </c:numCache>
                  </c:numRef>
                </c:val>
                <c:smooth val="0"/>
                <c:extLst>
                  <c:ext xmlns:c16="http://schemas.microsoft.com/office/drawing/2014/chart" uri="{C3380CC4-5D6E-409C-BE32-E72D297353CC}">
                    <c16:uniqueId val="{00000000-CC99-489C-98D5-1E78AF22B1ED}"/>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'Emissions summary'!$E$73</c15:sqref>
                        </c15:formulaRef>
                      </c:ext>
                    </c:extLst>
                    <c:strCache>
                      <c:ptCount val="1"/>
                      <c:pt idx="0">
                        <c:v>Total agriculture (model)</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'Emissions summary'!$F$70:$AG$70</c15:sqref>
                        </c15:fullRef>
                        <c15:formulaRef>
                          <c15:sqref>'Emissions summary'!$P$70:$AG$70</c15:sqref>
                        </c15:formulaRef>
                      </c:ext>
                    </c:extLst>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extLst>
                      <c:ext xmlns:c15="http://schemas.microsoft.com/office/drawing/2012/chart" uri="{02D57815-91ED-43cb-92C2-25804820EDAC}">
                        <c15:fullRef>
                          <c15:sqref>'Emissions summary'!$F$73:$AG$73</c15:sqref>
                        </c15:fullRef>
                        <c15:formulaRef>
                          <c15:sqref>'Emissions summary'!$P$73:$AG$73</c15:sqref>
                        </c15:formulaRef>
                      </c:ext>
                    </c:extLst>
                    <c:numCache>
                      <c:formatCode>General</c:formatCode>
                      <c:ptCount val="18"/>
                      <c:pt idx="0">
                        <c:v>54757.063776171039</c:v>
                      </c:pt>
                      <c:pt idx="1">
                        <c:v>54297.415777116054</c:v>
                      </c:pt>
                      <c:pt idx="2">
                        <c:v>54268.686230152947</c:v>
                      </c:pt>
                      <c:pt idx="3">
                        <c:v>53103.300485555388</c:v>
                      </c:pt>
                      <c:pt idx="4">
                        <c:v>52305.384625932755</c:v>
                      </c:pt>
                      <c:pt idx="5">
                        <c:v>52875.718515584391</c:v>
                      </c:pt>
                      <c:pt idx="6">
                        <c:v>52309.677981997498</c:v>
                      </c:pt>
                      <c:pt idx="7">
                        <c:v>53967.684889146971</c:v>
                      </c:pt>
                      <c:pt idx="8">
                        <c:v>54914.340688366763</c:v>
                      </c:pt>
                      <c:pt idx="9">
                        <c:v>54352.604265758389</c:v>
                      </c:pt>
                      <c:pt idx="10">
                        <c:v>54006.780209516626</c:v>
                      </c:pt>
                      <c:pt idx="11">
                        <c:v>53886.468967604451</c:v>
                      </c:pt>
                      <c:pt idx="12">
                        <c:v>53433.866130981158</c:v>
                      </c:pt>
                      <c:pt idx="13">
                        <c:v>53514.242671503613</c:v>
                      </c:pt>
                      <c:pt idx="14">
                        <c:v>53505.843117510565</c:v>
                      </c:pt>
                      <c:pt idx="15">
                        <c:v>53509.478930531368</c:v>
                      </c:pt>
                      <c:pt idx="16">
                        <c:v>53561.524245856483</c:v>
                      </c:pt>
                      <c:pt idx="17">
                        <c:v>53609.098119817791</c:v>
                      </c:pt>
                    </c:numCache>
                  </c:numRef>
                </c:val>
                <c:smooth val="0"/>
                <c:extLst xmlns:c15="http://schemas.microsoft.com/office/drawing/2012/chart">
                  <c:ext xmlns:c16="http://schemas.microsoft.com/office/drawing/2014/chart" uri="{C3380CC4-5D6E-409C-BE32-E72D297353CC}">
                    <c16:uniqueId val="{00000002-CC99-489C-98D5-1E78AF22B1ED}"/>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'Emissions summary'!$E$74</c15:sqref>
                        </c15:formulaRef>
                      </c:ext>
                    </c:extLst>
                    <c:strCache>
                      <c:ptCount val="1"/>
                      <c:pt idx="0">
                        <c:v>Livestock emissions (2017 inventory)</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'Emissions summary'!$F$70:$AG$70</c15:sqref>
                        </c15:fullRef>
                        <c15:formulaRef>
                          <c15:sqref>'Emissions summary'!$P$70:$AG$70</c15:sqref>
                        </c15:formulaRef>
                      </c:ext>
                    </c:extLst>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extLst>
                      <c:ext xmlns:c15="http://schemas.microsoft.com/office/drawing/2012/chart" uri="{02D57815-91ED-43cb-92C2-25804820EDAC}">
                        <c15:fullRef>
                          <c15:sqref>'Emissions summary'!$F$74:$AG$74</c15:sqref>
                        </c15:fullRef>
                        <c15:formulaRef>
                          <c15:sqref>'Emissions summary'!$P$74:$AG$74</c15:sqref>
                        </c15:formulaRef>
                      </c:ext>
                    </c:extLst>
                    <c:numCache>
                      <c:formatCode>General</c:formatCode>
                      <c:ptCount val="18"/>
                      <c:pt idx="0">
                        <c:v>30515.456515029604</c:v>
                      </c:pt>
                      <c:pt idx="1">
                        <c:v>30340.133527107813</c:v>
                      </c:pt>
                      <c:pt idx="2">
                        <c:v>29862.347205058868</c:v>
                      </c:pt>
                      <c:pt idx="3">
                        <c:v>28988.455674699828</c:v>
                      </c:pt>
                      <c:pt idx="4">
                        <c:v>28771.73121104404</c:v>
                      </c:pt>
                      <c:pt idx="5">
                        <c:v>28806.676410294196</c:v>
                      </c:pt>
                      <c:pt idx="6">
                        <c:v>28710.685662648946</c:v>
                      </c:pt>
                      <c:pt idx="7">
                        <c:v>27953.813125583809</c:v>
                      </c:pt>
                      <c:pt idx="8">
                        <c:v>29128.465653077492</c:v>
                      </c:pt>
                      <c:pt idx="9">
                        <c:v>28566.814632287216</c:v>
                      </c:pt>
                      <c:pt idx="10">
                        <c:v>29466.291233402069</c:v>
                      </c:pt>
                      <c:pt idx="11">
                        <c:v>29540.386989025857</c:v>
                      </c:pt>
                      <c:pt idx="12">
                        <c:v>28765.723679034749</c:v>
                      </c:pt>
                      <c:pt idx="13">
                        <c:v>29976.162007053368</c:v>
                      </c:pt>
                      <c:pt idx="14">
                        <c:v>29854.259774176113</c:v>
                      </c:pt>
                      <c:pt idx="15">
                        <c:v>29764.794009191111</c:v>
                      </c:pt>
                      <c:pt idx="16">
                        <c:v>28493.468307353363</c:v>
                      </c:pt>
                      <c:pt idx="17">
                        <c:v>28161.291437902692</c:v>
                      </c:pt>
                    </c:numCache>
                  </c:numRef>
                </c:val>
                <c:smooth val="0"/>
                <c:extLst xmlns:c15="http://schemas.microsoft.com/office/drawing/2012/chart">
                  <c:ext xmlns:c16="http://schemas.microsoft.com/office/drawing/2014/chart" uri="{C3380CC4-5D6E-409C-BE32-E72D297353CC}">
                    <c16:uniqueId val="{00000003-CC99-489C-98D5-1E78AF22B1ED}"/>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'Emissions summary'!$E$76</c15:sqref>
                        </c15:formulaRef>
                      </c:ext>
                    </c:extLst>
                    <c:strCache>
                      <c:ptCount val="1"/>
                      <c:pt idx="0">
                        <c:v>Total agricuture (inventory)</c:v>
                      </c:pt>
                    </c:strCache>
                  </c:strRef>
                </c:tx>
                <c:spPr>
                  <a:ln w="28575" cap="rnd">
                    <a:solidFill>
                      <a:schemeClr val="accent6"/>
                    </a:solidFill>
                    <a:round/>
                  </a:ln>
                  <a:effectLst/>
                </c:spPr>
                <c:marker>
                  <c:symbol val="none"/>
                </c:marker>
                <c:cat>
                  <c:numRef>
                    <c:extLst>
                      <c:ext xmlns:c15="http://schemas.microsoft.com/office/drawing/2012/chart" uri="{02D57815-91ED-43cb-92C2-25804820EDAC}">
                        <c15:fullRef>
                          <c15:sqref>'Emissions summary'!$F$70:$AG$70</c15:sqref>
                        </c15:fullRef>
                        <c15:formulaRef>
                          <c15:sqref>'Emissions summary'!$P$70:$AG$70</c15:sqref>
                        </c15:formulaRef>
                      </c:ext>
                    </c:extLst>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extLst>
                      <c:ext xmlns:c15="http://schemas.microsoft.com/office/drawing/2012/chart" uri="{02D57815-91ED-43cb-92C2-25804820EDAC}">
                        <c15:fullRef>
                          <c15:sqref>'Emissions summary'!$F$76:$AG$76</c15:sqref>
                        </c15:fullRef>
                        <c15:formulaRef>
                          <c15:sqref>'Emissions summary'!$P$76:$AG$76</c15:sqref>
                        </c15:formulaRef>
                      </c:ext>
                    </c:extLst>
                    <c:numCache>
                      <c:formatCode>General</c:formatCode>
                      <c:ptCount val="18"/>
                      <c:pt idx="0">
                        <c:v>56383.850582609288</c:v>
                      </c:pt>
                      <c:pt idx="1">
                        <c:v>56342.669429682785</c:v>
                      </c:pt>
                      <c:pt idx="2">
                        <c:v>56393.354615468306</c:v>
                      </c:pt>
                      <c:pt idx="3">
                        <c:v>53763.757103364638</c:v>
                      </c:pt>
                      <c:pt idx="4">
                        <c:v>53152.73847890021</c:v>
                      </c:pt>
                      <c:pt idx="5">
                        <c:v>53413.216568302334</c:v>
                      </c:pt>
                      <c:pt idx="6">
                        <c:v>53392.214654849973</c:v>
                      </c:pt>
                      <c:pt idx="7">
                        <c:v>52324.451038408151</c:v>
                      </c:pt>
                      <c:pt idx="8">
                        <c:v>54488.726977188009</c:v>
                      </c:pt>
                      <c:pt idx="9">
                        <c:v>53146.931477511214</c:v>
                      </c:pt>
                      <c:pt idx="10">
                        <c:v>54596.80824805492</c:v>
                      </c:pt>
                      <c:pt idx="11">
                        <c:v>54845.242915735187</c:v>
                      </c:pt>
                      <c:pt idx="12">
                        <c:v>53172.760661087043</c:v>
                      </c:pt>
                      <c:pt idx="13">
                        <c:v>55655.965915258603</c:v>
                      </c:pt>
                      <c:pt idx="14">
                        <c:v>55789.405718230722</c:v>
                      </c:pt>
                      <c:pt idx="15">
                        <c:v>54709.070976560521</c:v>
                      </c:pt>
                      <c:pt idx="16">
                        <c:v>51743.269376184406</c:v>
                      </c:pt>
                      <c:pt idx="17">
                        <c:v>51677.153378152754</c:v>
                      </c:pt>
                    </c:numCache>
                  </c:numRef>
                </c:val>
                <c:smooth val="0"/>
                <c:extLst xmlns:c15="http://schemas.microsoft.com/office/drawing/2012/chart">
                  <c:ext xmlns:c16="http://schemas.microsoft.com/office/drawing/2014/chart" uri="{C3380CC4-5D6E-409C-BE32-E72D297353CC}">
                    <c16:uniqueId val="{00000005-CC99-489C-98D5-1E78AF22B1ED}"/>
                  </c:ext>
                </c:extLst>
              </c15:ser>
            </c15:filteredLineSeries>
          </c:ext>
        </c:extLst>
      </c:lineChart>
      <c:catAx>
        <c:axId val="45390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crossAx val="453912160"/>
        <c:crosses val="autoZero"/>
        <c:auto val="1"/>
        <c:lblAlgn val="ctr"/>
        <c:lblOffset val="100"/>
        <c:noMultiLvlLbl val="0"/>
      </c:catAx>
      <c:valAx>
        <c:axId val="45391216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Emissions (GgCo2e)</a:t>
                </a:r>
              </a:p>
            </c:rich>
          </c:tx>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crossAx val="453903840"/>
        <c:crosses val="autoZero"/>
        <c:crossBetween val="between"/>
      </c:valAx>
      <c:spPr>
        <a:noFill/>
        <a:ln>
          <a:solidFill>
            <a:schemeClr val="bg1">
              <a:lumMod val="50000"/>
            </a:schemeClr>
          </a:solidFill>
        </a:ln>
        <a:effectLst/>
      </c:spPr>
    </c:plotArea>
    <c:legend>
      <c:legendPos val="b"/>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'Emissions summary'!$E$115</c:f>
              <c:strCache>
                <c:ptCount val="1"/>
                <c:pt idx="0">
                  <c:v>Direct N2O</c:v>
                </c:pt>
              </c:strCache>
            </c:strRef>
          </c:tx>
          <c:spPr>
            <a:ln w="28575" cap="rnd">
              <a:solidFill>
                <a:schemeClr val="accent5"/>
              </a:solidFill>
              <a:round/>
            </a:ln>
            <a:effectLst/>
          </c:spPr>
          <c:marker>
            <c:symbol val="none"/>
          </c:marker>
          <c:cat>
            <c:numRef>
              <c:f>'Emissions summary'!$F$110:$AG$110</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'Emissions summary'!$F$115:$AG$115</c:f>
              <c:numCache>
                <c:formatCode>General</c:formatCode>
                <c:ptCount val="28"/>
                <c:pt idx="0">
                  <c:v>19504.904423790304</c:v>
                </c:pt>
                <c:pt idx="1">
                  <c:v>20660.917389673377</c:v>
                </c:pt>
                <c:pt idx="2">
                  <c:v>20413.635505827424</c:v>
                </c:pt>
                <c:pt idx="3">
                  <c:v>20401.840953256564</c:v>
                </c:pt>
                <c:pt idx="4">
                  <c:v>20005.189321068094</c:v>
                </c:pt>
                <c:pt idx="5">
                  <c:v>19413.178172066404</c:v>
                </c:pt>
                <c:pt idx="6">
                  <c:v>20236.165839433314</c:v>
                </c:pt>
                <c:pt idx="7">
                  <c:v>20567.076909773743</c:v>
                </c:pt>
                <c:pt idx="8">
                  <c:v>20477.475675482336</c:v>
                </c:pt>
                <c:pt idx="9">
                  <c:v>20440.765105122711</c:v>
                </c:pt>
                <c:pt idx="10">
                  <c:v>20694.986539568359</c:v>
                </c:pt>
                <c:pt idx="11">
                  <c:v>19970.885013290266</c:v>
                </c:pt>
                <c:pt idx="12">
                  <c:v>20364.171552574975</c:v>
                </c:pt>
                <c:pt idx="13">
                  <c:v>20058.54412967978</c:v>
                </c:pt>
                <c:pt idx="14">
                  <c:v>19708.290781864089</c:v>
                </c:pt>
                <c:pt idx="15">
                  <c:v>19400.216324542769</c:v>
                </c:pt>
                <c:pt idx="16">
                  <c:v>19051.161605532838</c:v>
                </c:pt>
                <c:pt idx="17">
                  <c:v>19933.38774514115</c:v>
                </c:pt>
                <c:pt idx="18">
                  <c:v>20282.655015129261</c:v>
                </c:pt>
                <c:pt idx="19">
                  <c:v>20068.349414068991</c:v>
                </c:pt>
                <c:pt idx="20">
                  <c:v>19848.964864156231</c:v>
                </c:pt>
                <c:pt idx="21">
                  <c:v>19725.318772611696</c:v>
                </c:pt>
                <c:pt idx="22">
                  <c:v>20225.965895215482</c:v>
                </c:pt>
                <c:pt idx="23">
                  <c:v>20168.260387452727</c:v>
                </c:pt>
                <c:pt idx="24">
                  <c:v>20134.219305294246</c:v>
                </c:pt>
                <c:pt idx="25">
                  <c:v>19667.183224832243</c:v>
                </c:pt>
                <c:pt idx="26">
                  <c:v>18969.40439195502</c:v>
                </c:pt>
                <c:pt idx="27">
                  <c:v>19186.386775060691</c:v>
                </c:pt>
              </c:numCache>
            </c:numRef>
          </c:val>
          <c:smooth val="0"/>
          <c:extLst>
            <c:ext xmlns:c16="http://schemas.microsoft.com/office/drawing/2014/chart" uri="{C3380CC4-5D6E-409C-BE32-E72D297353CC}">
              <c16:uniqueId val="{00000004-521A-4052-915B-F059FD434B62}"/>
            </c:ext>
          </c:extLst>
        </c:ser>
        <c:ser>
          <c:idx val="11"/>
          <c:order val="11"/>
          <c:tx>
            <c:strRef>
              <c:f>'Emissions summary'!$E$122</c:f>
              <c:strCache>
                <c:ptCount val="1"/>
                <c:pt idx="0">
                  <c:v>Direct N2O (inventory)</c:v>
                </c:pt>
              </c:strCache>
            </c:strRef>
          </c:tx>
          <c:spPr>
            <a:ln w="28575" cap="rnd">
              <a:solidFill>
                <a:schemeClr val="accent6">
                  <a:lumMod val="60000"/>
                </a:schemeClr>
              </a:solidFill>
              <a:round/>
            </a:ln>
            <a:effectLst/>
          </c:spPr>
          <c:marker>
            <c:symbol val="none"/>
          </c:marker>
          <c:cat>
            <c:numRef>
              <c:f>'Emissions summary'!$F$110:$AG$110</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'Emissions summary'!$F$122:$AG$122</c:f>
              <c:numCache>
                <c:formatCode>General</c:formatCode>
                <c:ptCount val="28"/>
                <c:pt idx="0">
                  <c:v>18467.2344176074</c:v>
                </c:pt>
                <c:pt idx="1">
                  <c:v>19894.379979012047</c:v>
                </c:pt>
                <c:pt idx="2">
                  <c:v>19508.057170250366</c:v>
                </c:pt>
                <c:pt idx="3">
                  <c:v>19296.286149483876</c:v>
                </c:pt>
                <c:pt idx="4">
                  <c:v>18829.799299341739</c:v>
                </c:pt>
                <c:pt idx="5">
                  <c:v>18816.693751205934</c:v>
                </c:pt>
                <c:pt idx="6">
                  <c:v>19386.372113208152</c:v>
                </c:pt>
                <c:pt idx="7">
                  <c:v>19675.368284891847</c:v>
                </c:pt>
                <c:pt idx="8">
                  <c:v>19967.155293555603</c:v>
                </c:pt>
                <c:pt idx="9">
                  <c:v>20038.391547786159</c:v>
                </c:pt>
                <c:pt idx="10">
                  <c:v>20072.524975980316</c:v>
                </c:pt>
                <c:pt idx="11">
                  <c:v>19701.088061992123</c:v>
                </c:pt>
                <c:pt idx="12">
                  <c:v>20023.216099759749</c:v>
                </c:pt>
                <c:pt idx="13">
                  <c:v>19072.340993484708</c:v>
                </c:pt>
                <c:pt idx="14">
                  <c:v>18849.389549512067</c:v>
                </c:pt>
                <c:pt idx="15">
                  <c:v>18446.259485586925</c:v>
                </c:pt>
                <c:pt idx="16">
                  <c:v>18589.571736189206</c:v>
                </c:pt>
                <c:pt idx="17">
                  <c:v>18224.734436942501</c:v>
                </c:pt>
                <c:pt idx="18">
                  <c:v>19088.198147813157</c:v>
                </c:pt>
                <c:pt idx="19">
                  <c:v>18553.028011451712</c:v>
                </c:pt>
                <c:pt idx="20">
                  <c:v>18939.805460502525</c:v>
                </c:pt>
                <c:pt idx="21">
                  <c:v>18994.993526805851</c:v>
                </c:pt>
                <c:pt idx="22">
                  <c:v>18278.302953548075</c:v>
                </c:pt>
                <c:pt idx="23">
                  <c:v>19582.342769355033</c:v>
                </c:pt>
                <c:pt idx="24">
                  <c:v>19570.475186144038</c:v>
                </c:pt>
                <c:pt idx="25">
                  <c:v>19327.673861761683</c:v>
                </c:pt>
                <c:pt idx="26">
                  <c:v>18029.075027657447</c:v>
                </c:pt>
                <c:pt idx="27">
                  <c:v>18081.049004423898</c:v>
                </c:pt>
              </c:numCache>
            </c:numRef>
          </c:val>
          <c:smooth val="0"/>
          <c:extLst>
            <c:ext xmlns:c16="http://schemas.microsoft.com/office/drawing/2014/chart" uri="{C3380CC4-5D6E-409C-BE32-E72D297353CC}">
              <c16:uniqueId val="{0000000B-521A-4052-915B-F059FD434B62}"/>
            </c:ext>
          </c:extLst>
        </c:ser>
        <c:dLbls>
          <c:showLegendKey val="0"/>
          <c:showVal val="0"/>
          <c:showCatName val="0"/>
          <c:showSerName val="0"/>
          <c:showPercent val="0"/>
          <c:showBubbleSize val="0"/>
        </c:dLbls>
        <c:smooth val="0"/>
        <c:axId val="1363460784"/>
        <c:axId val="1363463696"/>
        <c:extLst>
          <c:ext xmlns:c15="http://schemas.microsoft.com/office/drawing/2012/chart" uri="{02D57815-91ED-43cb-92C2-25804820EDAC}">
            <c15:filteredLineSeries>
              <c15:ser>
                <c:idx val="0"/>
                <c:order val="0"/>
                <c:tx>
                  <c:strRef>
                    <c:extLst>
                      <c:ext uri="{02D57815-91ED-43cb-92C2-25804820EDAC}">
                        <c15:formulaRef>
                          <c15:sqref>'Emissions summary'!$E$111</c15:sqref>
                        </c15:formulaRef>
                      </c:ext>
                    </c:extLst>
                    <c:strCache>
                      <c:ptCount val="1"/>
                      <c:pt idx="0">
                        <c:v>Biomass burning CH4</c:v>
                      </c:pt>
                    </c:strCache>
                  </c:strRef>
                </c:tx>
                <c:spPr>
                  <a:ln w="28575" cap="rnd">
                    <a:solidFill>
                      <a:schemeClr val="accent1"/>
                    </a:solidFill>
                    <a:round/>
                  </a:ln>
                  <a:effectLst/>
                </c:spPr>
                <c:marker>
                  <c:symbol val="none"/>
                </c:marker>
                <c:cat>
                  <c:numRef>
                    <c:extLst>
                      <c:ext uri="{02D57815-91ED-43cb-92C2-25804820EDAC}">
                        <c15:formulaRef>
                          <c15:sqref>'Emissions summary'!$F$110:$AG$110</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c:ext uri="{02D57815-91ED-43cb-92C2-25804820EDAC}">
                        <c15:formulaRef>
                          <c15:sqref>'Emissions summary'!$F$111:$AG$111</c15:sqref>
                        </c15:formulaRef>
                      </c:ext>
                    </c:extLst>
                    <c:numCache>
                      <c:formatCode>General</c:formatCode>
                      <c:ptCount val="28"/>
                      <c:pt idx="0">
                        <c:v>1113.9523335609101</c:v>
                      </c:pt>
                      <c:pt idx="1">
                        <c:v>1113.9523335609101</c:v>
                      </c:pt>
                      <c:pt idx="2">
                        <c:v>1113.9523335609101</c:v>
                      </c:pt>
                      <c:pt idx="3">
                        <c:v>1113.9523335609101</c:v>
                      </c:pt>
                      <c:pt idx="4">
                        <c:v>1113.9523335609101</c:v>
                      </c:pt>
                      <c:pt idx="5">
                        <c:v>1113.9523335609101</c:v>
                      </c:pt>
                      <c:pt idx="6">
                        <c:v>1113.9523335609101</c:v>
                      </c:pt>
                      <c:pt idx="7">
                        <c:v>1113.9523335609101</c:v>
                      </c:pt>
                      <c:pt idx="8">
                        <c:v>1113.9523335609101</c:v>
                      </c:pt>
                      <c:pt idx="9">
                        <c:v>1113.9523335609101</c:v>
                      </c:pt>
                      <c:pt idx="10">
                        <c:v>1103.4776992955053</c:v>
                      </c:pt>
                      <c:pt idx="11">
                        <c:v>1282.5517441798665</c:v>
                      </c:pt>
                      <c:pt idx="12">
                        <c:v>1288.9176046937982</c:v>
                      </c:pt>
                      <c:pt idx="13">
                        <c:v>1011.4345809085878</c:v>
                      </c:pt>
                      <c:pt idx="14">
                        <c:v>883.38003872679235</c:v>
                      </c:pt>
                      <c:pt idx="15">
                        <c:v>1412.334298727088</c:v>
                      </c:pt>
                      <c:pt idx="16">
                        <c:v>1236.8838978672777</c:v>
                      </c:pt>
                      <c:pt idx="17">
                        <c:v>1218.5771221263838</c:v>
                      </c:pt>
                      <c:pt idx="18">
                        <c:v>1139.8644942847</c:v>
                      </c:pt>
                      <c:pt idx="19">
                        <c:v>1078.8713756473658</c:v>
                      </c:pt>
                      <c:pt idx="20">
                        <c:v>1107.055106514</c:v>
                      </c:pt>
                      <c:pt idx="21">
                        <c:v>1093.3943713178221</c:v>
                      </c:pt>
                      <c:pt idx="22">
                        <c:v>1003.5637069444559</c:v>
                      </c:pt>
                      <c:pt idx="23">
                        <c:v>949.58031288518987</c:v>
                      </c:pt>
                      <c:pt idx="24">
                        <c:v>1016.956735075512</c:v>
                      </c:pt>
                      <c:pt idx="25">
                        <c:v>737.86776841461585</c:v>
                      </c:pt>
                      <c:pt idx="26">
                        <c:v>446.18919850209591</c:v>
                      </c:pt>
                      <c:pt idx="27">
                        <c:v>416.70692080806589</c:v>
                      </c:pt>
                    </c:numCache>
                  </c:numRef>
                </c:val>
                <c:smooth val="0"/>
                <c:extLst>
                  <c:ext xmlns:c16="http://schemas.microsoft.com/office/drawing/2014/chart" uri="{C3380CC4-5D6E-409C-BE32-E72D297353CC}">
                    <c16:uniqueId val="{00000000-521A-4052-915B-F059FD434B62}"/>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'Emissions summary'!$E$112</c15:sqref>
                        </c15:formulaRef>
                      </c:ext>
                    </c:extLst>
                    <c:strCache>
                      <c:ptCount val="1"/>
                      <c:pt idx="0">
                        <c:v>Biomass burning N2O</c:v>
                      </c:pt>
                    </c:strCache>
                  </c:strRef>
                </c:tx>
                <c:spPr>
                  <a:ln w="2857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summary'!$F$110:$AG$110</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summary'!$F$112:$AG$112</c15:sqref>
                        </c15:formulaRef>
                      </c:ext>
                    </c:extLst>
                    <c:numCache>
                      <c:formatCode>General</c:formatCode>
                      <c:ptCount val="28"/>
                      <c:pt idx="0">
                        <c:v>1149.3522600947301</c:v>
                      </c:pt>
                      <c:pt idx="1">
                        <c:v>1149.3522600947301</c:v>
                      </c:pt>
                      <c:pt idx="2">
                        <c:v>1149.3522600947301</c:v>
                      </c:pt>
                      <c:pt idx="3">
                        <c:v>1149.3522600947301</c:v>
                      </c:pt>
                      <c:pt idx="4">
                        <c:v>1149.3522600947301</c:v>
                      </c:pt>
                      <c:pt idx="5">
                        <c:v>1149.3522600947301</c:v>
                      </c:pt>
                      <c:pt idx="6">
                        <c:v>1149.3522600947301</c:v>
                      </c:pt>
                      <c:pt idx="7">
                        <c:v>1149.3522600947301</c:v>
                      </c:pt>
                      <c:pt idx="8">
                        <c:v>1149.3522600947301</c:v>
                      </c:pt>
                      <c:pt idx="9">
                        <c:v>1149.3522600947301</c:v>
                      </c:pt>
                      <c:pt idx="10">
                        <c:v>1138.2881924240246</c:v>
                      </c:pt>
                      <c:pt idx="11">
                        <c:v>1347.8625366593228</c:v>
                      </c:pt>
                      <c:pt idx="12">
                        <c:v>1328.3690110437451</c:v>
                      </c:pt>
                      <c:pt idx="13">
                        <c:v>1017.5651134275211</c:v>
                      </c:pt>
                      <c:pt idx="14">
                        <c:v>914.67644691903695</c:v>
                      </c:pt>
                      <c:pt idx="15">
                        <c:v>1447.9112474339306</c:v>
                      </c:pt>
                      <c:pt idx="16">
                        <c:v>1263.4019893034997</c:v>
                      </c:pt>
                      <c:pt idx="17">
                        <c:v>1217.4357899565925</c:v>
                      </c:pt>
                      <c:pt idx="18">
                        <c:v>1180.1818937292605</c:v>
                      </c:pt>
                      <c:pt idx="19">
                        <c:v>1108.1395844539597</c:v>
                      </c:pt>
                      <c:pt idx="20">
                        <c:v>1121.7567904983002</c:v>
                      </c:pt>
                      <c:pt idx="21">
                        <c:v>1111.0832034573957</c:v>
                      </c:pt>
                      <c:pt idx="22">
                        <c:v>1002.2217969563279</c:v>
                      </c:pt>
                      <c:pt idx="23">
                        <c:v>980.55948658247996</c:v>
                      </c:pt>
                      <c:pt idx="24">
                        <c:v>1029.1314860411758</c:v>
                      </c:pt>
                      <c:pt idx="25">
                        <c:v>747.9095108761079</c:v>
                      </c:pt>
                      <c:pt idx="26">
                        <c:v>434.96704823788798</c:v>
                      </c:pt>
                      <c:pt idx="27">
                        <c:v>408.31943255002801</c:v>
                      </c:pt>
                    </c:numCache>
                  </c:numRef>
                </c:val>
                <c:smooth val="0"/>
                <c:extLst xmlns:c15="http://schemas.microsoft.com/office/drawing/2012/chart">
                  <c:ext xmlns:c16="http://schemas.microsoft.com/office/drawing/2014/chart" uri="{C3380CC4-5D6E-409C-BE32-E72D297353CC}">
                    <c16:uniqueId val="{00000001-521A-4052-915B-F059FD434B62}"/>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'Emissions summary'!$E$113</c15:sqref>
                        </c15:formulaRef>
                      </c:ext>
                    </c:extLst>
                    <c:strCache>
                      <c:ptCount val="1"/>
                      <c:pt idx="0">
                        <c:v>Liming</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summary'!$F$110:$AG$110</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summary'!$F$113:$AG$113</c15:sqref>
                        </c15:formulaRef>
                      </c:ext>
                    </c:extLst>
                    <c:numCache>
                      <c:formatCode>General</c:formatCode>
                      <c:ptCount val="28"/>
                      <c:pt idx="0">
                        <c:v>357.5</c:v>
                      </c:pt>
                      <c:pt idx="1">
                        <c:v>378.125</c:v>
                      </c:pt>
                      <c:pt idx="2">
                        <c:v>261.25</c:v>
                      </c:pt>
                      <c:pt idx="3">
                        <c:v>412.5</c:v>
                      </c:pt>
                      <c:pt idx="4">
                        <c:v>595.58170833333327</c:v>
                      </c:pt>
                      <c:pt idx="5">
                        <c:v>473.34145833333332</c:v>
                      </c:pt>
                      <c:pt idx="6">
                        <c:v>579.13625000000002</c:v>
                      </c:pt>
                      <c:pt idx="7">
                        <c:v>547.24312499999996</c:v>
                      </c:pt>
                      <c:pt idx="8">
                        <c:v>570.31379166666659</c:v>
                      </c:pt>
                      <c:pt idx="9">
                        <c:v>567.03808333333325</c:v>
                      </c:pt>
                      <c:pt idx="10">
                        <c:v>378.2405</c:v>
                      </c:pt>
                      <c:pt idx="11">
                        <c:v>489.66362500000002</c:v>
                      </c:pt>
                      <c:pt idx="12">
                        <c:v>672.79437500000006</c:v>
                      </c:pt>
                      <c:pt idx="13">
                        <c:v>580.13175000000001</c:v>
                      </c:pt>
                      <c:pt idx="14">
                        <c:v>579.7403333333333</c:v>
                      </c:pt>
                      <c:pt idx="15">
                        <c:v>266.03683333333333</c:v>
                      </c:pt>
                      <c:pt idx="16">
                        <c:v>441.42908333333332</c:v>
                      </c:pt>
                      <c:pt idx="17">
                        <c:v>521.42108333333329</c:v>
                      </c:pt>
                      <c:pt idx="18">
                        <c:v>655.32637499999998</c:v>
                      </c:pt>
                      <c:pt idx="19">
                        <c:v>695.56775237855516</c:v>
                      </c:pt>
                      <c:pt idx="20">
                        <c:v>653.23730656422072</c:v>
                      </c:pt>
                      <c:pt idx="21">
                        <c:v>722.61220387104663</c:v>
                      </c:pt>
                      <c:pt idx="22">
                        <c:v>829.6141641239476</c:v>
                      </c:pt>
                      <c:pt idx="23">
                        <c:v>749.65665536353811</c:v>
                      </c:pt>
                      <c:pt idx="24">
                        <c:v>773.17356970483502</c:v>
                      </c:pt>
                      <c:pt idx="25">
                        <c:v>780.22864400722403</c:v>
                      </c:pt>
                      <c:pt idx="26">
                        <c:v>982.47410734237747</c:v>
                      </c:pt>
                      <c:pt idx="27">
                        <c:v>1218.2311736138793</c:v>
                      </c:pt>
                    </c:numCache>
                  </c:numRef>
                </c:val>
                <c:smooth val="0"/>
                <c:extLst xmlns:c15="http://schemas.microsoft.com/office/drawing/2012/chart">
                  <c:ext xmlns:c16="http://schemas.microsoft.com/office/drawing/2014/chart" uri="{C3380CC4-5D6E-409C-BE32-E72D297353CC}">
                    <c16:uniqueId val="{00000002-521A-4052-915B-F059FD434B62}"/>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'Emissions summary'!$E$114</c15:sqref>
                        </c15:formulaRef>
                      </c:ext>
                    </c:extLst>
                    <c:strCache>
                      <c:ptCount val="1"/>
                      <c:pt idx="0">
                        <c:v>Urea</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summary'!$F$110:$AG$110</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summary'!$F$114:$AG$114</c15:sqref>
                        </c15:formulaRef>
                      </c:ext>
                    </c:extLst>
                    <c:numCache>
                      <c:formatCode>General</c:formatCode>
                      <c:ptCount val="28"/>
                      <c:pt idx="0">
                        <c:v>90.994567483487728</c:v>
                      </c:pt>
                      <c:pt idx="1">
                        <c:v>111.62690198838213</c:v>
                      </c:pt>
                      <c:pt idx="2">
                        <c:v>132.25923649327655</c:v>
                      </c:pt>
                      <c:pt idx="3">
                        <c:v>152.89157099816552</c:v>
                      </c:pt>
                      <c:pt idx="4">
                        <c:v>173.52390550305992</c:v>
                      </c:pt>
                      <c:pt idx="5">
                        <c:v>194.15624000795432</c:v>
                      </c:pt>
                      <c:pt idx="6">
                        <c:v>214.78857451284878</c:v>
                      </c:pt>
                      <c:pt idx="7">
                        <c:v>235.42090901774316</c:v>
                      </c:pt>
                      <c:pt idx="8">
                        <c:v>256.05324352263762</c:v>
                      </c:pt>
                      <c:pt idx="9">
                        <c:v>276.68557802753202</c:v>
                      </c:pt>
                      <c:pt idx="10">
                        <c:v>297.31791253242642</c:v>
                      </c:pt>
                      <c:pt idx="11">
                        <c:v>317.95024703732088</c:v>
                      </c:pt>
                      <c:pt idx="12">
                        <c:v>338.58258154220977</c:v>
                      </c:pt>
                      <c:pt idx="13">
                        <c:v>359.21491604710423</c:v>
                      </c:pt>
                      <c:pt idx="14">
                        <c:v>435.89846666666671</c:v>
                      </c:pt>
                      <c:pt idx="15">
                        <c:v>355.08659999999998</c:v>
                      </c:pt>
                      <c:pt idx="16">
                        <c:v>393.08573333333334</c:v>
                      </c:pt>
                      <c:pt idx="17">
                        <c:v>484.55366666666663</c:v>
                      </c:pt>
                      <c:pt idx="18">
                        <c:v>480.19253333333336</c:v>
                      </c:pt>
                      <c:pt idx="19">
                        <c:v>380.54426666666666</c:v>
                      </c:pt>
                      <c:pt idx="20">
                        <c:v>501.48046666666664</c:v>
                      </c:pt>
                      <c:pt idx="21">
                        <c:v>571.19113333333337</c:v>
                      </c:pt>
                      <c:pt idx="22">
                        <c:v>587.22106666666662</c:v>
                      </c:pt>
                      <c:pt idx="23">
                        <c:v>533.06336966666674</c:v>
                      </c:pt>
                      <c:pt idx="24">
                        <c:v>663.77159200000006</c:v>
                      </c:pt>
                      <c:pt idx="25">
                        <c:v>486.09938600666663</c:v>
                      </c:pt>
                      <c:pt idx="26">
                        <c:v>643.60119999999995</c:v>
                      </c:pt>
                      <c:pt idx="27">
                        <c:v>679.61446666666666</c:v>
                      </c:pt>
                    </c:numCache>
                  </c:numRef>
                </c:val>
                <c:smooth val="0"/>
                <c:extLst xmlns:c15="http://schemas.microsoft.com/office/drawing/2012/chart">
                  <c:ext xmlns:c16="http://schemas.microsoft.com/office/drawing/2014/chart" uri="{C3380CC4-5D6E-409C-BE32-E72D297353CC}">
                    <c16:uniqueId val="{00000003-521A-4052-915B-F059FD434B62}"/>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'Emissions summary'!$E$116</c15:sqref>
                        </c15:formulaRef>
                      </c:ext>
                    </c:extLst>
                    <c:strCache>
                      <c:ptCount val="1"/>
                      <c:pt idx="0">
                        <c:v>Indirect N2O from MS</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summary'!$F$110:$AG$110</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summary'!$F$116:$AG$116</c15:sqref>
                        </c15:formulaRef>
                      </c:ext>
                    </c:extLst>
                    <c:numCache>
                      <c:formatCode>General</c:formatCode>
                      <c:ptCount val="28"/>
                      <c:pt idx="0">
                        <c:v>2388.0102035123605</c:v>
                      </c:pt>
                      <c:pt idx="1">
                        <c:v>2422.3649563517615</c:v>
                      </c:pt>
                      <c:pt idx="2">
                        <c:v>2366.0160295258652</c:v>
                      </c:pt>
                      <c:pt idx="3">
                        <c:v>2332.024314033295</c:v>
                      </c:pt>
                      <c:pt idx="4">
                        <c:v>2269.8856393890724</c:v>
                      </c:pt>
                      <c:pt idx="5">
                        <c:v>2257.3551747657566</c:v>
                      </c:pt>
                      <c:pt idx="6">
                        <c:v>2332.8794219128258</c:v>
                      </c:pt>
                      <c:pt idx="7">
                        <c:v>2353.4608848045295</c:v>
                      </c:pt>
                      <c:pt idx="8">
                        <c:v>2375.1086873788704</c:v>
                      </c:pt>
                      <c:pt idx="9">
                        <c:v>2369.8122167060246</c:v>
                      </c:pt>
                      <c:pt idx="10">
                        <c:v>2379.1334621159244</c:v>
                      </c:pt>
                      <c:pt idx="11">
                        <c:v>2332.4757077458062</c:v>
                      </c:pt>
                      <c:pt idx="12">
                        <c:v>2352.5031586422174</c:v>
                      </c:pt>
                      <c:pt idx="13">
                        <c:v>2317.0522227606916</c:v>
                      </c:pt>
                      <c:pt idx="14">
                        <c:v>2291.1004488983099</c:v>
                      </c:pt>
                      <c:pt idx="15">
                        <c:v>2260.716684821874</c:v>
                      </c:pt>
                      <c:pt idx="16">
                        <c:v>2276.1004128580194</c:v>
                      </c:pt>
                      <c:pt idx="17">
                        <c:v>2334.5451499588221</c:v>
                      </c:pt>
                      <c:pt idx="18">
                        <c:v>2364.8401504898161</c:v>
                      </c:pt>
                      <c:pt idx="19">
                        <c:v>2357.3087175615215</c:v>
                      </c:pt>
                      <c:pt idx="20">
                        <c:v>2316.7336232801035</c:v>
                      </c:pt>
                      <c:pt idx="21">
                        <c:v>2313.3914976011652</c:v>
                      </c:pt>
                      <c:pt idx="22">
                        <c:v>2334.0985551108756</c:v>
                      </c:pt>
                      <c:pt idx="23">
                        <c:v>2348.8400209329502</c:v>
                      </c:pt>
                      <c:pt idx="24">
                        <c:v>2344.4692750460258</c:v>
                      </c:pt>
                      <c:pt idx="25">
                        <c:v>2299.7650755104332</c:v>
                      </c:pt>
                      <c:pt idx="26">
                        <c:v>2252.6390591444524</c:v>
                      </c:pt>
                      <c:pt idx="27">
                        <c:v>2235.452591217253</c:v>
                      </c:pt>
                    </c:numCache>
                  </c:numRef>
                </c:val>
                <c:smooth val="0"/>
                <c:extLst xmlns:c15="http://schemas.microsoft.com/office/drawing/2012/chart">
                  <c:ext xmlns:c16="http://schemas.microsoft.com/office/drawing/2014/chart" uri="{C3380CC4-5D6E-409C-BE32-E72D297353CC}">
                    <c16:uniqueId val="{00000005-521A-4052-915B-F059FD434B62}"/>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'Emissions summary'!$E$117</c15:sqref>
                        </c15:formulaRef>
                      </c:ext>
                    </c:extLst>
                    <c:strCache>
                      <c:ptCount val="1"/>
                      <c:pt idx="0">
                        <c:v>Indirect N2O from MM</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summary'!$F$110:$AG$110</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summary'!$F$117:$AG$117</c15:sqref>
                        </c15:formulaRef>
                      </c:ext>
                    </c:extLst>
                    <c:numCache>
                      <c:formatCode>General</c:formatCode>
                      <c:ptCount val="28"/>
                      <c:pt idx="0">
                        <c:v>343.10330161578099</c:v>
                      </c:pt>
                      <c:pt idx="1">
                        <c:v>365.58614133033353</c:v>
                      </c:pt>
                      <c:pt idx="2">
                        <c:v>339.91114682728761</c:v>
                      </c:pt>
                      <c:pt idx="3">
                        <c:v>352.62601984444137</c:v>
                      </c:pt>
                      <c:pt idx="4">
                        <c:v>336.24824053022888</c:v>
                      </c:pt>
                      <c:pt idx="5">
                        <c:v>354.90652971327108</c:v>
                      </c:pt>
                      <c:pt idx="6">
                        <c:v>370.7282945162878</c:v>
                      </c:pt>
                      <c:pt idx="7">
                        <c:v>367.33263044382841</c:v>
                      </c:pt>
                      <c:pt idx="8">
                        <c:v>376.31467332854538</c:v>
                      </c:pt>
                      <c:pt idx="9">
                        <c:v>380.26274683162796</c:v>
                      </c:pt>
                      <c:pt idx="10">
                        <c:v>420.72277135231604</c:v>
                      </c:pt>
                      <c:pt idx="11">
                        <c:v>418.37207720994593</c:v>
                      </c:pt>
                      <c:pt idx="12">
                        <c:v>406.12517665445523</c:v>
                      </c:pt>
                      <c:pt idx="13">
                        <c:v>385.62180744131297</c:v>
                      </c:pt>
                      <c:pt idx="14">
                        <c:v>383.11027791084422</c:v>
                      </c:pt>
                      <c:pt idx="15">
                        <c:v>402.62502084090437</c:v>
                      </c:pt>
                      <c:pt idx="16">
                        <c:v>407.68948429226828</c:v>
                      </c:pt>
                      <c:pt idx="17">
                        <c:v>415.77221135959962</c:v>
                      </c:pt>
                      <c:pt idx="18">
                        <c:v>450.38785912632164</c:v>
                      </c:pt>
                      <c:pt idx="19">
                        <c:v>447.90280780802436</c:v>
                      </c:pt>
                      <c:pt idx="20">
                        <c:v>450.47531382738657</c:v>
                      </c:pt>
                      <c:pt idx="21">
                        <c:v>455.70252815125627</c:v>
                      </c:pt>
                      <c:pt idx="22">
                        <c:v>454.2990120208886</c:v>
                      </c:pt>
                      <c:pt idx="23">
                        <c:v>467.1027930484243</c:v>
                      </c:pt>
                      <c:pt idx="24">
                        <c:v>463.97224881283108</c:v>
                      </c:pt>
                      <c:pt idx="25">
                        <c:v>471.70799949786652</c:v>
                      </c:pt>
                      <c:pt idx="26">
                        <c:v>471.14622162385422</c:v>
                      </c:pt>
                      <c:pt idx="27">
                        <c:v>483.13167606001025</c:v>
                      </c:pt>
                    </c:numCache>
                  </c:numRef>
                </c:val>
                <c:smooth val="0"/>
                <c:extLst xmlns:c15="http://schemas.microsoft.com/office/drawing/2012/chart">
                  <c:ext xmlns:c16="http://schemas.microsoft.com/office/drawing/2014/chart" uri="{C3380CC4-5D6E-409C-BE32-E72D297353CC}">
                    <c16:uniqueId val="{00000006-521A-4052-915B-F059FD434B62}"/>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'Emissions summary'!$E$118</c15:sqref>
                        </c15:formulaRef>
                      </c:ext>
                    </c:extLst>
                    <c:strCache>
                      <c:ptCount val="1"/>
                      <c:pt idx="0">
                        <c:v>Biomass burning CH4 (inventory)</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summary'!$F$110:$AG$110</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summary'!$F$118:$AG$118</c15:sqref>
                        </c15:formulaRef>
                      </c:ext>
                    </c:extLst>
                    <c:numCache>
                      <c:formatCode>General</c:formatCode>
                      <c:ptCount val="28"/>
                      <c:pt idx="0">
                        <c:v>1114.2730572677472</c:v>
                      </c:pt>
                      <c:pt idx="1">
                        <c:v>1114.2730572677472</c:v>
                      </c:pt>
                      <c:pt idx="2">
                        <c:v>1114.2730572677472</c:v>
                      </c:pt>
                      <c:pt idx="3">
                        <c:v>1114.2730572677472</c:v>
                      </c:pt>
                      <c:pt idx="4">
                        <c:v>1114.2730572677472</c:v>
                      </c:pt>
                      <c:pt idx="5">
                        <c:v>1114.2730572677472</c:v>
                      </c:pt>
                      <c:pt idx="6">
                        <c:v>1114.2730572677472</c:v>
                      </c:pt>
                      <c:pt idx="7">
                        <c:v>1114.2730572677472</c:v>
                      </c:pt>
                      <c:pt idx="8">
                        <c:v>1114.2730572677472</c:v>
                      </c:pt>
                      <c:pt idx="9">
                        <c:v>1114.2730572677472</c:v>
                      </c:pt>
                      <c:pt idx="10">
                        <c:v>1103.7473247333526</c:v>
                      </c:pt>
                      <c:pt idx="11">
                        <c:v>1295.1615779672622</c:v>
                      </c:pt>
                      <c:pt idx="12">
                        <c:v>1300.4179901779976</c:v>
                      </c:pt>
                      <c:pt idx="13">
                        <c:v>1021.2239026078485</c:v>
                      </c:pt>
                      <c:pt idx="14">
                        <c:v>890.95637702591955</c:v>
                      </c:pt>
                      <c:pt idx="15">
                        <c:v>1429.3697355873492</c:v>
                      </c:pt>
                      <c:pt idx="16">
                        <c:v>1251.7694565972624</c:v>
                      </c:pt>
                      <c:pt idx="17">
                        <c:v>1234.9730242836924</c:v>
                      </c:pt>
                      <c:pt idx="18">
                        <c:v>1150.1284038185643</c:v>
                      </c:pt>
                      <c:pt idx="19">
                        <c:v>1091.261696265384</c:v>
                      </c:pt>
                      <c:pt idx="20">
                        <c:v>1116.957250242162</c:v>
                      </c:pt>
                      <c:pt idx="21">
                        <c:v>1100.5811063069254</c:v>
                      </c:pt>
                      <c:pt idx="22">
                        <c:v>1010.9312887182766</c:v>
                      </c:pt>
                      <c:pt idx="23">
                        <c:v>956.65662263461502</c:v>
                      </c:pt>
                      <c:pt idx="24">
                        <c:v>1024.1532025090505</c:v>
                      </c:pt>
                      <c:pt idx="25">
                        <c:v>742.78507159014475</c:v>
                      </c:pt>
                      <c:pt idx="26">
                        <c:v>448.47103409650083</c:v>
                      </c:pt>
                      <c:pt idx="27">
                        <c:v>418.78097085765791</c:v>
                      </c:pt>
                    </c:numCache>
                  </c:numRef>
                </c:val>
                <c:smooth val="0"/>
                <c:extLst xmlns:c15="http://schemas.microsoft.com/office/drawing/2012/chart">
                  <c:ext xmlns:c16="http://schemas.microsoft.com/office/drawing/2014/chart" uri="{C3380CC4-5D6E-409C-BE32-E72D297353CC}">
                    <c16:uniqueId val="{00000007-521A-4052-915B-F059FD434B62}"/>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'Emissions summary'!$E$119</c15:sqref>
                        </c15:formulaRef>
                      </c:ext>
                    </c:extLst>
                    <c:strCache>
                      <c:ptCount val="1"/>
                      <c:pt idx="0">
                        <c:v>Biomass burning N2O (inventory)</c:v>
                      </c:pt>
                    </c:strCache>
                  </c:strRef>
                </c:tx>
                <c:spPr>
                  <a:ln w="28575" cap="rnd">
                    <a:solidFill>
                      <a:schemeClr val="accent3">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summary'!$F$110:$AG$110</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summary'!$F$119:$AG$119</c15:sqref>
                        </c15:formulaRef>
                      </c:ext>
                    </c:extLst>
                    <c:numCache>
                      <c:formatCode>General</c:formatCode>
                      <c:ptCount val="28"/>
                      <c:pt idx="0">
                        <c:v>1149.6141682079121</c:v>
                      </c:pt>
                      <c:pt idx="1">
                        <c:v>1149.6141682079121</c:v>
                      </c:pt>
                      <c:pt idx="2">
                        <c:v>1149.6141682079121</c:v>
                      </c:pt>
                      <c:pt idx="3">
                        <c:v>1149.6141682079121</c:v>
                      </c:pt>
                      <c:pt idx="4">
                        <c:v>1149.6141682079121</c:v>
                      </c:pt>
                      <c:pt idx="5">
                        <c:v>1149.6141682079121</c:v>
                      </c:pt>
                      <c:pt idx="6">
                        <c:v>1149.6141682079121</c:v>
                      </c:pt>
                      <c:pt idx="7">
                        <c:v>1149.6141682079121</c:v>
                      </c:pt>
                      <c:pt idx="8">
                        <c:v>1149.6141682079121</c:v>
                      </c:pt>
                      <c:pt idx="9">
                        <c:v>1149.6141682079121</c:v>
                      </c:pt>
                      <c:pt idx="10">
                        <c:v>1138.5083728727629</c:v>
                      </c:pt>
                      <c:pt idx="11">
                        <c:v>1348.0477860975932</c:v>
                      </c:pt>
                      <c:pt idx="12">
                        <c:v>1328.8199324792706</c:v>
                      </c:pt>
                      <c:pt idx="13">
                        <c:v>1017.846389296701</c:v>
                      </c:pt>
                      <c:pt idx="14">
                        <c:v>914.84836029323264</c:v>
                      </c:pt>
                      <c:pt idx="15">
                        <c:v>1448.2029822975244</c:v>
                      </c:pt>
                      <c:pt idx="16">
                        <c:v>1263.6284316097351</c:v>
                      </c:pt>
                      <c:pt idx="17">
                        <c:v>1217.6306521923173</c:v>
                      </c:pt>
                      <c:pt idx="18">
                        <c:v>1180.4178811371937</c:v>
                      </c:pt>
                      <c:pt idx="19">
                        <c:v>1108.455283615433</c:v>
                      </c:pt>
                      <c:pt idx="20">
                        <c:v>1122.512590663056</c:v>
                      </c:pt>
                      <c:pt idx="21">
                        <c:v>1111.8425729905728</c:v>
                      </c:pt>
                      <c:pt idx="22">
                        <c:v>1003.2623700366383</c:v>
                      </c:pt>
                      <c:pt idx="23">
                        <c:v>980.98785105992999</c:v>
                      </c:pt>
                      <c:pt idx="24">
                        <c:v>1029.413853897383</c:v>
                      </c:pt>
                      <c:pt idx="25">
                        <c:v>748.29527463252236</c:v>
                      </c:pt>
                      <c:pt idx="26">
                        <c:v>435.50232253439043</c:v>
                      </c:pt>
                      <c:pt idx="27">
                        <c:v>408.72643283393637</c:v>
                      </c:pt>
                    </c:numCache>
                  </c:numRef>
                </c:val>
                <c:smooth val="0"/>
                <c:extLst xmlns:c15="http://schemas.microsoft.com/office/drawing/2012/chart">
                  <c:ext xmlns:c16="http://schemas.microsoft.com/office/drawing/2014/chart" uri="{C3380CC4-5D6E-409C-BE32-E72D297353CC}">
                    <c16:uniqueId val="{00000008-521A-4052-915B-F059FD434B62}"/>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'Emissions summary'!$E$120</c15:sqref>
                        </c15:formulaRef>
                      </c:ext>
                    </c:extLst>
                    <c:strCache>
                      <c:ptCount val="1"/>
                      <c:pt idx="0">
                        <c:v>Liming (inventory)</c:v>
                      </c:pt>
                    </c:strCache>
                  </c:strRef>
                </c:tx>
                <c:spPr>
                  <a:ln w="28575" cap="rnd">
                    <a:solidFill>
                      <a:schemeClr val="accent4">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summary'!$F$110:$AG$110</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summary'!$F$120:$AG$120</c15:sqref>
                        </c15:formulaRef>
                      </c:ext>
                    </c:extLst>
                    <c:numCache>
                      <c:formatCode>General</c:formatCode>
                      <c:ptCount val="28"/>
                      <c:pt idx="0">
                        <c:v>363.73333333333335</c:v>
                      </c:pt>
                      <c:pt idx="1">
                        <c:v>386.1</c:v>
                      </c:pt>
                      <c:pt idx="2">
                        <c:v>266.2</c:v>
                      </c:pt>
                      <c:pt idx="3">
                        <c:v>413.6</c:v>
                      </c:pt>
                      <c:pt idx="4">
                        <c:v>603.75919999999996</c:v>
                      </c:pt>
                      <c:pt idx="5">
                        <c:v>481.52980333333335</c:v>
                      </c:pt>
                      <c:pt idx="6">
                        <c:v>588.48859666666669</c:v>
                      </c:pt>
                      <c:pt idx="7">
                        <c:v>556.65125999999998</c:v>
                      </c:pt>
                      <c:pt idx="8">
                        <c:v>581.37815999999998</c:v>
                      </c:pt>
                      <c:pt idx="9">
                        <c:v>577.08170666666672</c:v>
                      </c:pt>
                      <c:pt idx="10">
                        <c:v>384.05253333333332</c:v>
                      </c:pt>
                      <c:pt idx="11">
                        <c:v>497.15031666666664</c:v>
                      </c:pt>
                      <c:pt idx="12">
                        <c:v>683.69223999999997</c:v>
                      </c:pt>
                      <c:pt idx="13">
                        <c:v>585.99346666666668</c:v>
                      </c:pt>
                      <c:pt idx="14">
                        <c:v>585.5420633333332</c:v>
                      </c:pt>
                      <c:pt idx="15">
                        <c:v>267.37941999999998</c:v>
                      </c:pt>
                      <c:pt idx="16">
                        <c:v>445.96068000000002</c:v>
                      </c:pt>
                      <c:pt idx="17">
                        <c:v>524.87031666666667</c:v>
                      </c:pt>
                      <c:pt idx="18">
                        <c:v>658.9218166666667</c:v>
                      </c:pt>
                      <c:pt idx="19">
                        <c:v>701.39039489690549</c:v>
                      </c:pt>
                      <c:pt idx="20">
                        <c:v>659.21936851962221</c:v>
                      </c:pt>
                      <c:pt idx="21">
                        <c:v>728.33299508239213</c:v>
                      </c:pt>
                      <c:pt idx="22">
                        <c:v>834.93197842496943</c:v>
                      </c:pt>
                      <c:pt idx="23">
                        <c:v>755.27559526787866</c:v>
                      </c:pt>
                      <c:pt idx="24">
                        <c:v>778.70394325525831</c:v>
                      </c:pt>
                      <c:pt idx="25">
                        <c:v>785.73244765147194</c:v>
                      </c:pt>
                      <c:pt idx="26">
                        <c:v>987.21624034293666</c:v>
                      </c:pt>
                      <c:pt idx="27">
                        <c:v>1222.085428916417</c:v>
                      </c:pt>
                    </c:numCache>
                  </c:numRef>
                </c:val>
                <c:smooth val="0"/>
                <c:extLst xmlns:c15="http://schemas.microsoft.com/office/drawing/2012/chart">
                  <c:ext xmlns:c16="http://schemas.microsoft.com/office/drawing/2014/chart" uri="{C3380CC4-5D6E-409C-BE32-E72D297353CC}">
                    <c16:uniqueId val="{00000009-521A-4052-915B-F059FD434B62}"/>
                  </c:ext>
                </c:extLst>
              </c15:ser>
            </c15:filteredLineSeries>
            <c15:filteredLineSeries>
              <c15:ser>
                <c:idx val="10"/>
                <c:order val="10"/>
                <c:tx>
                  <c:strRef>
                    <c:extLst xmlns:c15="http://schemas.microsoft.com/office/drawing/2012/chart">
                      <c:ext xmlns:c15="http://schemas.microsoft.com/office/drawing/2012/chart" uri="{02D57815-91ED-43cb-92C2-25804820EDAC}">
                        <c15:formulaRef>
                          <c15:sqref>'Emissions summary'!$E$121</c15:sqref>
                        </c15:formulaRef>
                      </c:ext>
                    </c:extLst>
                    <c:strCache>
                      <c:ptCount val="1"/>
                      <c:pt idx="0">
                        <c:v>Urea (inventory)</c:v>
                      </c:pt>
                    </c:strCache>
                  </c:strRef>
                </c:tx>
                <c:spPr>
                  <a:ln w="28575" cap="rnd">
                    <a:solidFill>
                      <a:schemeClr val="accent5">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summary'!$F$110:$AG$110</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summary'!$F$121:$AG$121</c15:sqref>
                        </c15:formulaRef>
                      </c:ext>
                    </c:extLst>
                    <c:numCache>
                      <c:formatCode>General</c:formatCode>
                      <c:ptCount val="28"/>
                      <c:pt idx="0">
                        <c:v>90.994567483487728</c:v>
                      </c:pt>
                      <c:pt idx="1">
                        <c:v>111.62690198838213</c:v>
                      </c:pt>
                      <c:pt idx="2">
                        <c:v>132.25923649327655</c:v>
                      </c:pt>
                      <c:pt idx="3">
                        <c:v>152.89157099816552</c:v>
                      </c:pt>
                      <c:pt idx="4">
                        <c:v>173.52390550305992</c:v>
                      </c:pt>
                      <c:pt idx="5">
                        <c:v>194.15624000795432</c:v>
                      </c:pt>
                      <c:pt idx="6">
                        <c:v>214.78857451284878</c:v>
                      </c:pt>
                      <c:pt idx="7">
                        <c:v>235.42090901774316</c:v>
                      </c:pt>
                      <c:pt idx="8">
                        <c:v>256.05324352263756</c:v>
                      </c:pt>
                      <c:pt idx="9">
                        <c:v>276.68557802753202</c:v>
                      </c:pt>
                      <c:pt idx="10">
                        <c:v>297.31791253242642</c:v>
                      </c:pt>
                      <c:pt idx="11">
                        <c:v>317.95024703732088</c:v>
                      </c:pt>
                      <c:pt idx="12">
                        <c:v>338.58258154220977</c:v>
                      </c:pt>
                      <c:pt idx="13">
                        <c:v>359.21491604710423</c:v>
                      </c:pt>
                      <c:pt idx="14">
                        <c:v>435.89846666666665</c:v>
                      </c:pt>
                      <c:pt idx="15">
                        <c:v>355.08659999999998</c:v>
                      </c:pt>
                      <c:pt idx="16">
                        <c:v>393.08573333333334</c:v>
                      </c:pt>
                      <c:pt idx="17">
                        <c:v>484.55366666666663</c:v>
                      </c:pt>
                      <c:pt idx="18">
                        <c:v>480.1925333333333</c:v>
                      </c:pt>
                      <c:pt idx="19">
                        <c:v>380.54426666666666</c:v>
                      </c:pt>
                      <c:pt idx="20">
                        <c:v>501.48046666666664</c:v>
                      </c:pt>
                      <c:pt idx="21">
                        <c:v>571.19113333333325</c:v>
                      </c:pt>
                      <c:pt idx="22">
                        <c:v>587.22106666666662</c:v>
                      </c:pt>
                      <c:pt idx="23">
                        <c:v>533.06336966666674</c:v>
                      </c:pt>
                      <c:pt idx="24">
                        <c:v>663.77159200000006</c:v>
                      </c:pt>
                      <c:pt idx="25">
                        <c:v>486.09938600666663</c:v>
                      </c:pt>
                      <c:pt idx="26">
                        <c:v>643.60119999999995</c:v>
                      </c:pt>
                      <c:pt idx="27">
                        <c:v>679.61446666666666</c:v>
                      </c:pt>
                    </c:numCache>
                  </c:numRef>
                </c:val>
                <c:smooth val="0"/>
                <c:extLst xmlns:c15="http://schemas.microsoft.com/office/drawing/2012/chart">
                  <c:ext xmlns:c16="http://schemas.microsoft.com/office/drawing/2014/chart" uri="{C3380CC4-5D6E-409C-BE32-E72D297353CC}">
                    <c16:uniqueId val="{0000000A-521A-4052-915B-F059FD434B62}"/>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'Emissions summary'!$E$123</c15:sqref>
                        </c15:formulaRef>
                      </c:ext>
                    </c:extLst>
                    <c:strCache>
                      <c:ptCount val="1"/>
                      <c:pt idx="0">
                        <c:v>Indirect N2O from MS (inventory)</c:v>
                      </c:pt>
                    </c:strCache>
                  </c:strRef>
                </c:tx>
                <c:spPr>
                  <a:ln w="28575" cap="rnd">
                    <a:solidFill>
                      <a:schemeClr val="accent1">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summary'!$F$110:$AG$110</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summary'!$F$123:$AG$123</c15:sqref>
                        </c15:formulaRef>
                      </c:ext>
                    </c:extLst>
                    <c:numCache>
                      <c:formatCode>General</c:formatCode>
                      <c:ptCount val="28"/>
                      <c:pt idx="0">
                        <c:v>2447.8863951470803</c:v>
                      </c:pt>
                      <c:pt idx="1">
                        <c:v>2496.9018451868697</c:v>
                      </c:pt>
                      <c:pt idx="2">
                        <c:v>2435.3630625952328</c:v>
                      </c:pt>
                      <c:pt idx="3">
                        <c:v>2396.995208451192</c:v>
                      </c:pt>
                      <c:pt idx="4">
                        <c:v>2325.2582722477832</c:v>
                      </c:pt>
                      <c:pt idx="5">
                        <c:v>2349.1668279124592</c:v>
                      </c:pt>
                      <c:pt idx="6">
                        <c:v>2406.4403578126485</c:v>
                      </c:pt>
                      <c:pt idx="7">
                        <c:v>2433.097951693017</c:v>
                      </c:pt>
                      <c:pt idx="8">
                        <c:v>2471.2628832175142</c:v>
                      </c:pt>
                      <c:pt idx="9">
                        <c:v>2472.2132034057472</c:v>
                      </c:pt>
                      <c:pt idx="10">
                        <c:v>2480.4922407158388</c:v>
                      </c:pt>
                      <c:pt idx="11">
                        <c:v>2454.0922943343203</c:v>
                      </c:pt>
                      <c:pt idx="12">
                        <c:v>2476.3439129367157</c:v>
                      </c:pt>
                      <c:pt idx="13">
                        <c:v>2359.3324950161041</c:v>
                      </c:pt>
                      <c:pt idx="14">
                        <c:v>2347.4845744803165</c:v>
                      </c:pt>
                      <c:pt idx="15">
                        <c:v>2284.6952992295182</c:v>
                      </c:pt>
                      <c:pt idx="16">
                        <c:v>2357.5665947783837</c:v>
                      </c:pt>
                      <c:pt idx="17">
                        <c:v>2297.5662221729922</c:v>
                      </c:pt>
                      <c:pt idx="18">
                        <c:v>2380.9463845396517</c:v>
                      </c:pt>
                      <c:pt idx="19">
                        <c:v>2329.35287655092</c:v>
                      </c:pt>
                      <c:pt idx="20">
                        <c:v>2369.3465541862302</c:v>
                      </c:pt>
                      <c:pt idx="21">
                        <c:v>2370.4305491547971</c:v>
                      </c:pt>
                      <c:pt idx="22">
                        <c:v>2269.153208313021</c:v>
                      </c:pt>
                      <c:pt idx="23">
                        <c:v>2431.7524623901409</c:v>
                      </c:pt>
                      <c:pt idx="24">
                        <c:v>2430.5768400701409</c:v>
                      </c:pt>
                      <c:pt idx="25">
                        <c:v>2407.0023766672321</c:v>
                      </c:pt>
                      <c:pt idx="26">
                        <c:v>2265.174978621726</c:v>
                      </c:pt>
                      <c:pt idx="27">
                        <c:v>2253.2585636522972</c:v>
                      </c:pt>
                    </c:numCache>
                  </c:numRef>
                </c:val>
                <c:smooth val="0"/>
                <c:extLst xmlns:c15="http://schemas.microsoft.com/office/drawing/2012/chart">
                  <c:ext xmlns:c16="http://schemas.microsoft.com/office/drawing/2014/chart" uri="{C3380CC4-5D6E-409C-BE32-E72D297353CC}">
                    <c16:uniqueId val="{0000000C-521A-4052-915B-F059FD434B62}"/>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'Emissions summary'!$E$124</c15:sqref>
                        </c15:formulaRef>
                      </c:ext>
                    </c:extLst>
                    <c:strCache>
                      <c:ptCount val="1"/>
                      <c:pt idx="0">
                        <c:v>Indirect N2O from MM (inventory)</c:v>
                      </c:pt>
                    </c:strCache>
                  </c:strRef>
                </c:tx>
                <c:spPr>
                  <a:ln w="28575" cap="rnd">
                    <a:solidFill>
                      <a:schemeClr val="accent2">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'Emissions summary'!$F$110:$AG$110</c15:sqref>
                        </c15:formulaRef>
                      </c:ext>
                    </c:extLst>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extLst xmlns:c15="http://schemas.microsoft.com/office/drawing/2012/chart">
                      <c:ext xmlns:c15="http://schemas.microsoft.com/office/drawing/2012/chart" uri="{02D57815-91ED-43cb-92C2-25804820EDAC}">
                        <c15:formulaRef>
                          <c15:sqref>'Emissions summary'!$F$124:$AG$124</c15:sqref>
                        </c15:formulaRef>
                      </c:ext>
                    </c:extLst>
                    <c:numCache>
                      <c:formatCode>General</c:formatCode>
                      <c:ptCount val="28"/>
                      <c:pt idx="0">
                        <c:v>332.77730613860399</c:v>
                      </c:pt>
                      <c:pt idx="1">
                        <c:v>353.03457691007083</c:v>
                      </c:pt>
                      <c:pt idx="2">
                        <c:v>329.75336223257443</c:v>
                      </c:pt>
                      <c:pt idx="3">
                        <c:v>341.70939722274608</c:v>
                      </c:pt>
                      <c:pt idx="4">
                        <c:v>326.52853902593881</c:v>
                      </c:pt>
                      <c:pt idx="5">
                        <c:v>344.58323593662567</c:v>
                      </c:pt>
                      <c:pt idx="6">
                        <c:v>360.27670046049241</c:v>
                      </c:pt>
                      <c:pt idx="7">
                        <c:v>357.64284080532752</c:v>
                      </c:pt>
                      <c:pt idx="8">
                        <c:v>367.73848791261435</c:v>
                      </c:pt>
                      <c:pt idx="9">
                        <c:v>372.0452384281258</c:v>
                      </c:pt>
                      <c:pt idx="10">
                        <c:v>408.94308689508148</c:v>
                      </c:pt>
                      <c:pt idx="11">
                        <c:v>406.68937516322404</c:v>
                      </c:pt>
                      <c:pt idx="12">
                        <c:v>397.06973777083419</c:v>
                      </c:pt>
                      <c:pt idx="13">
                        <c:v>376.09010924780205</c:v>
                      </c:pt>
                      <c:pt idx="14">
                        <c:v>374.09743931517124</c:v>
                      </c:pt>
                      <c:pt idx="15">
                        <c:v>392.69820864834276</c:v>
                      </c:pt>
                      <c:pt idx="16">
                        <c:v>398.35557315486267</c:v>
                      </c:pt>
                      <c:pt idx="17">
                        <c:v>404.14478384272525</c:v>
                      </c:pt>
                      <c:pt idx="18">
                        <c:v>438.4751035531649</c:v>
                      </c:pt>
                      <c:pt idx="19">
                        <c:v>433.26067452840772</c:v>
                      </c:pt>
                      <c:pt idx="20">
                        <c:v>438.54251424027257</c:v>
                      </c:pt>
                      <c:pt idx="21">
                        <c:v>444.74604882624305</c:v>
                      </c:pt>
                      <c:pt idx="22">
                        <c:v>440.60780254144959</c:v>
                      </c:pt>
                      <c:pt idx="23">
                        <c:v>456.58226294187887</c:v>
                      </c:pt>
                      <c:pt idx="24">
                        <c:v>454.87268271519412</c:v>
                      </c:pt>
                      <c:pt idx="25">
                        <c:v>463.54275866618883</c:v>
                      </c:pt>
                      <c:pt idx="26">
                        <c:v>458.22071963845576</c:v>
                      </c:pt>
                      <c:pt idx="27">
                        <c:v>469.34598780544559</c:v>
                      </c:pt>
                    </c:numCache>
                  </c:numRef>
                </c:val>
                <c:smooth val="0"/>
                <c:extLst xmlns:c15="http://schemas.microsoft.com/office/drawing/2012/chart">
                  <c:ext xmlns:c16="http://schemas.microsoft.com/office/drawing/2014/chart" uri="{C3380CC4-5D6E-409C-BE32-E72D297353CC}">
                    <c16:uniqueId val="{0000000D-521A-4052-915B-F059FD434B62}"/>
                  </c:ext>
                </c:extLst>
              </c15:ser>
            </c15:filteredLineSeries>
          </c:ext>
        </c:extLst>
      </c:lineChart>
      <c:catAx>
        <c:axId val="136346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463696"/>
        <c:crosses val="autoZero"/>
        <c:auto val="1"/>
        <c:lblAlgn val="ctr"/>
        <c:lblOffset val="100"/>
        <c:noMultiLvlLbl val="0"/>
      </c:catAx>
      <c:valAx>
        <c:axId val="136346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46078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23</xdr:col>
      <xdr:colOff>200031</xdr:colOff>
      <xdr:row>17</xdr:row>
      <xdr:rowOff>57150</xdr:rowOff>
    </xdr:from>
    <xdr:to>
      <xdr:col>28</xdr:col>
      <xdr:colOff>533406</xdr:colOff>
      <xdr:row>32</xdr:row>
      <xdr:rowOff>133350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209556</xdr:colOff>
      <xdr:row>39</xdr:row>
      <xdr:rowOff>123825</xdr:rowOff>
    </xdr:from>
    <xdr:to>
      <xdr:col>13</xdr:col>
      <xdr:colOff>542931</xdr:colOff>
      <xdr:row>54</xdr:row>
      <xdr:rowOff>9525</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371481</xdr:colOff>
      <xdr:row>17</xdr:row>
      <xdr:rowOff>161925</xdr:rowOff>
    </xdr:from>
    <xdr:to>
      <xdr:col>10</xdr:col>
      <xdr:colOff>704856</xdr:colOff>
      <xdr:row>32</xdr:row>
      <xdr:rowOff>47625</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704856</xdr:colOff>
      <xdr:row>38</xdr:row>
      <xdr:rowOff>85725</xdr:rowOff>
    </xdr:from>
    <xdr:to>
      <xdr:col>25</xdr:col>
      <xdr:colOff>190506</xdr:colOff>
      <xdr:row>52</xdr:row>
      <xdr:rowOff>161925</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1752600</xdr:colOff>
      <xdr:row>27</xdr:row>
      <xdr:rowOff>0</xdr:rowOff>
    </xdr:from>
    <xdr:to>
      <xdr:col>4</xdr:col>
      <xdr:colOff>247650</xdr:colOff>
      <xdr:row>27</xdr:row>
      <xdr:rowOff>0</xdr:rowOff>
    </xdr:to>
    <xdr:graphicFrame macro="">
      <xdr:nvGraphicFramePr>
        <xdr:cNvPr id="2"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66675</xdr:colOff>
      <xdr:row>27</xdr:row>
      <xdr:rowOff>0</xdr:rowOff>
    </xdr:from>
    <xdr:to>
      <xdr:col>4</xdr:col>
      <xdr:colOff>561975</xdr:colOff>
      <xdr:row>27</xdr:row>
      <xdr:rowOff>0</xdr:rowOff>
    </xdr:to>
    <xdr:graphicFrame macro="">
      <xdr:nvGraphicFramePr>
        <xdr:cNvPr id="3"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1171575</xdr:colOff>
      <xdr:row>27</xdr:row>
      <xdr:rowOff>0</xdr:rowOff>
    </xdr:from>
    <xdr:to>
      <xdr:col>2</xdr:col>
      <xdr:colOff>0</xdr:colOff>
      <xdr:row>27</xdr:row>
      <xdr:rowOff>0</xdr:rowOff>
    </xdr:to>
    <xdr:graphicFrame macro="">
      <xdr:nvGraphicFramePr>
        <xdr:cNvPr id="4"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27</xdr:row>
      <xdr:rowOff>0</xdr:rowOff>
    </xdr:from>
    <xdr:to>
      <xdr:col>2</xdr:col>
      <xdr:colOff>0</xdr:colOff>
      <xdr:row>27</xdr:row>
      <xdr:rowOff>0</xdr:rowOff>
    </xdr:to>
    <xdr:graphicFrame macro="">
      <xdr:nvGraphicFramePr>
        <xdr:cNvPr id="5"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37</xdr:col>
      <xdr:colOff>519112</xdr:colOff>
      <xdr:row>13</xdr:row>
      <xdr:rowOff>23812</xdr:rowOff>
    </xdr:from>
    <xdr:to>
      <xdr:col>45</xdr:col>
      <xdr:colOff>214312</xdr:colOff>
      <xdr:row>36</xdr:row>
      <xdr:rowOff>100012</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45</xdr:col>
      <xdr:colOff>328612</xdr:colOff>
      <xdr:row>13</xdr:row>
      <xdr:rowOff>61912</xdr:rowOff>
    </xdr:from>
    <xdr:to>
      <xdr:col>53</xdr:col>
      <xdr:colOff>23812</xdr:colOff>
      <xdr:row>36</xdr:row>
      <xdr:rowOff>138112</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29</xdr:col>
      <xdr:colOff>433387</xdr:colOff>
      <xdr:row>21</xdr:row>
      <xdr:rowOff>42862</xdr:rowOff>
    </xdr:from>
    <xdr:to>
      <xdr:col>37</xdr:col>
      <xdr:colOff>128587</xdr:colOff>
      <xdr:row>41</xdr:row>
      <xdr:rowOff>119062</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37</xdr:col>
      <xdr:colOff>566737</xdr:colOff>
      <xdr:row>37</xdr:row>
      <xdr:rowOff>147637</xdr:rowOff>
    </xdr:from>
    <xdr:to>
      <xdr:col>45</xdr:col>
      <xdr:colOff>261937</xdr:colOff>
      <xdr:row>52</xdr:row>
      <xdr:rowOff>33337</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30</xdr:col>
      <xdr:colOff>80962</xdr:colOff>
      <xdr:row>42</xdr:row>
      <xdr:rowOff>52387</xdr:rowOff>
    </xdr:from>
    <xdr:to>
      <xdr:col>37</xdr:col>
      <xdr:colOff>385762</xdr:colOff>
      <xdr:row>56</xdr:row>
      <xdr:rowOff>128587</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45</xdr:col>
      <xdr:colOff>519112</xdr:colOff>
      <xdr:row>39</xdr:row>
      <xdr:rowOff>80962</xdr:rowOff>
    </xdr:from>
    <xdr:to>
      <xdr:col>53</xdr:col>
      <xdr:colOff>214312</xdr:colOff>
      <xdr:row>53</xdr:row>
      <xdr:rowOff>157162</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485775</xdr:colOff>
      <xdr:row>11</xdr:row>
      <xdr:rowOff>114300</xdr:rowOff>
    </xdr:from>
    <xdr:to>
      <xdr:col>18</xdr:col>
      <xdr:colOff>219075</xdr:colOff>
      <xdr:row>37</xdr:row>
      <xdr:rowOff>9526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361949</xdr:colOff>
      <xdr:row>78</xdr:row>
      <xdr:rowOff>33337</xdr:rowOff>
    </xdr:from>
    <xdr:to>
      <xdr:col>15</xdr:col>
      <xdr:colOff>219074</xdr:colOff>
      <xdr:row>103</xdr:row>
      <xdr:rowOff>171450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619125</xdr:colOff>
      <xdr:row>77</xdr:row>
      <xdr:rowOff>176211</xdr:rowOff>
    </xdr:from>
    <xdr:to>
      <xdr:col>25</xdr:col>
      <xdr:colOff>438150</xdr:colOff>
      <xdr:row>97</xdr:row>
      <xdr:rowOff>47624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276224</xdr:colOff>
      <xdr:row>117</xdr:row>
      <xdr:rowOff>14286</xdr:rowOff>
    </xdr:from>
    <xdr:to>
      <xdr:col>35</xdr:col>
      <xdr:colOff>447674</xdr:colOff>
      <xdr:row>142</xdr:row>
      <xdr:rowOff>152399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y%20Drive/Consulting/2020Projects/AFOLU%20NDC/Land%20modelling/Land%20model_v1.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y%20Drive/Consulting/2020Projects/AFOLU%20NDC/Land%20modelling/Land%20model_v1.12_b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IPCC Categories"/>
      <sheetName val="Drivers"/>
      <sheetName val="Annual land change driver"/>
      <sheetName val="Land areas"/>
      <sheetName val="Summary land areas"/>
      <sheetName val="Constants"/>
      <sheetName val="Mitigation scenarios"/>
      <sheetName val="Activity data"/>
      <sheetName val="Carbon stock data"/>
      <sheetName val="Relationships"/>
      <sheetName val="Aggregated stock data"/>
      <sheetName val="Baseline Emissions &amp; Removals"/>
      <sheetName val="Baseline emission summary"/>
      <sheetName val="Case 1 Emissions &amp; Removals"/>
      <sheetName val="Case 2 Emissions &amp; Removals"/>
      <sheetName val="Case 3 Emissions &amp; Removals"/>
      <sheetName val="Case 1 summary"/>
      <sheetName val="Inventory comparison"/>
      <sheetName val="1990-2014 corrected"/>
      <sheetName val="1990-2014"/>
      <sheetName val="1990-2018"/>
      <sheetName val="2014-2018"/>
      <sheetName val="Inventory"/>
    </sheetNames>
    <sheetDataSet>
      <sheetData sheetId="0"/>
      <sheetData sheetId="1"/>
      <sheetData sheetId="2"/>
      <sheetData sheetId="3"/>
      <sheetData sheetId="4"/>
      <sheetData sheetId="5"/>
      <sheetData sheetId="6"/>
      <sheetData sheetId="7"/>
      <sheetData sheetId="8">
        <row r="544">
          <cell r="AE544">
            <v>13744.528315512031</v>
          </cell>
        </row>
      </sheetData>
      <sheetData sheetId="9"/>
      <sheetData sheetId="10"/>
      <sheetData sheetId="11"/>
      <sheetData sheetId="12"/>
      <sheetData sheetId="13">
        <row r="11">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cell r="BC11">
            <v>0</v>
          </cell>
          <cell r="BD11">
            <v>0</v>
          </cell>
          <cell r="BE11">
            <v>0</v>
          </cell>
          <cell r="BF11">
            <v>0</v>
          </cell>
          <cell r="BG11">
            <v>0</v>
          </cell>
          <cell r="BH11">
            <v>0</v>
          </cell>
          <cell r="BI11">
            <v>0</v>
          </cell>
          <cell r="BJ11">
            <v>0</v>
          </cell>
          <cell r="BK11">
            <v>0</v>
          </cell>
          <cell r="BL11">
            <v>0</v>
          </cell>
          <cell r="BM11">
            <v>0</v>
          </cell>
          <cell r="BN11">
            <v>0</v>
          </cell>
          <cell r="BO11">
            <v>0</v>
          </cell>
        </row>
        <row r="16">
          <cell r="AC16">
            <v>-1057.8306876692382</v>
          </cell>
          <cell r="AD16">
            <v>-1057.8306876692382</v>
          </cell>
          <cell r="AE16">
            <v>-1057.8306876692382</v>
          </cell>
          <cell r="AF16">
            <v>-1057.8306876692382</v>
          </cell>
          <cell r="AG16">
            <v>-1057.8306876692382</v>
          </cell>
          <cell r="AH16">
            <v>-1057.8306876692382</v>
          </cell>
          <cell r="AI16">
            <v>-1057.8306876692382</v>
          </cell>
          <cell r="AJ16">
            <v>-1057.8306876692382</v>
          </cell>
          <cell r="AK16">
            <v>-1057.8306876692382</v>
          </cell>
          <cell r="AL16">
            <v>-1057.8306876692382</v>
          </cell>
          <cell r="AM16">
            <v>-1057.8306876692382</v>
          </cell>
          <cell r="AN16">
            <v>-1057.8306876692382</v>
          </cell>
          <cell r="AO16">
            <v>-1057.8306876692382</v>
          </cell>
          <cell r="AP16">
            <v>-1057.8306876692382</v>
          </cell>
          <cell r="AQ16">
            <v>-1057.8306876692382</v>
          </cell>
          <cell r="AR16">
            <v>-1057.8306876692382</v>
          </cell>
          <cell r="AS16">
            <v>-1057.8306876692382</v>
          </cell>
          <cell r="AT16">
            <v>-1057.8306876692382</v>
          </cell>
          <cell r="AU16">
            <v>-1057.8306876692382</v>
          </cell>
          <cell r="AV16">
            <v>-1057.8306876692382</v>
          </cell>
          <cell r="AW16">
            <v>-1057.8306876692382</v>
          </cell>
          <cell r="AX16">
            <v>-1057.8306876692382</v>
          </cell>
          <cell r="AY16">
            <v>-1057.8306876692382</v>
          </cell>
          <cell r="AZ16">
            <v>-1057.8306876692382</v>
          </cell>
          <cell r="BA16">
            <v>-1057.8306876692382</v>
          </cell>
          <cell r="BB16">
            <v>-1057.8306876692382</v>
          </cell>
          <cell r="BC16">
            <v>-1057.8306876692382</v>
          </cell>
          <cell r="BD16">
            <v>-1057.8306876692382</v>
          </cell>
          <cell r="BE16">
            <v>-1057.8306876692382</v>
          </cell>
          <cell r="BF16">
            <v>-1057.8306876692382</v>
          </cell>
          <cell r="BG16">
            <v>-1057.8306876692382</v>
          </cell>
          <cell r="BH16">
            <v>-1057.8306876692382</v>
          </cell>
          <cell r="BI16">
            <v>-1057.8306876692382</v>
          </cell>
          <cell r="BJ16">
            <v>-1057.8306876692382</v>
          </cell>
          <cell r="BK16">
            <v>-1057.8306876692382</v>
          </cell>
          <cell r="BL16">
            <v>-1057.8306876692382</v>
          </cell>
          <cell r="BM16">
            <v>-1057.8306876692382</v>
          </cell>
          <cell r="BN16">
            <v>-1057.8306876692382</v>
          </cell>
          <cell r="BO16">
            <v>-1057.8306876692382</v>
          </cell>
        </row>
        <row r="24">
          <cell r="AC24">
            <v>-3.5148376259499399</v>
          </cell>
          <cell r="AD24">
            <v>-3.532718741142987</v>
          </cell>
          <cell r="AE24">
            <v>-3.5505998563360346</v>
          </cell>
          <cell r="AF24">
            <v>-3.5684809715290822</v>
          </cell>
          <cell r="AG24">
            <v>-3.5863620867221289</v>
          </cell>
          <cell r="AH24">
            <v>-3.6042432019151769</v>
          </cell>
          <cell r="AI24">
            <v>-3.6221243171082249</v>
          </cell>
          <cell r="AJ24">
            <v>-3.6400054323012712</v>
          </cell>
          <cell r="AK24">
            <v>-3.6578865474943192</v>
          </cell>
          <cell r="AL24">
            <v>-3.6757676626873668</v>
          </cell>
          <cell r="AM24">
            <v>-3.6936487778804148</v>
          </cell>
          <cell r="AN24">
            <v>-3.7115298930734615</v>
          </cell>
          <cell r="AO24">
            <v>-3.7294110082665095</v>
          </cell>
          <cell r="AP24">
            <v>-3.7472921234595562</v>
          </cell>
          <cell r="AQ24">
            <v>-3.7651732386526033</v>
          </cell>
          <cell r="AR24">
            <v>-3.7830543538456518</v>
          </cell>
          <cell r="AS24">
            <v>-3.8009354690386998</v>
          </cell>
          <cell r="AT24">
            <v>-3.818816584231747</v>
          </cell>
          <cell r="AU24">
            <v>-3.8366976994247937</v>
          </cell>
          <cell r="AV24">
            <v>-3.8545788146178408</v>
          </cell>
          <cell r="AW24">
            <v>-3.8724599298108884</v>
          </cell>
          <cell r="AX24">
            <v>-3.8903410450039364</v>
          </cell>
          <cell r="AY24">
            <v>-3.9082221601969835</v>
          </cell>
          <cell r="AZ24">
            <v>-3.9261032753900311</v>
          </cell>
          <cell r="BA24">
            <v>-3.9439843905830791</v>
          </cell>
          <cell r="BB24">
            <v>-3.9618655057761267</v>
          </cell>
          <cell r="BC24">
            <v>-3.9797466209691748</v>
          </cell>
          <cell r="BD24">
            <v>-3.9976277361622214</v>
          </cell>
          <cell r="BE24">
            <v>-4.0155088513552686</v>
          </cell>
          <cell r="BF24">
            <v>-4.0333899665483166</v>
          </cell>
          <cell r="BG24">
            <v>-4.0512710817413637</v>
          </cell>
          <cell r="BH24">
            <v>-4.0691521969344127</v>
          </cell>
          <cell r="BI24">
            <v>-4.0870333121274589</v>
          </cell>
          <cell r="BJ24">
            <v>-4.1049144273205069</v>
          </cell>
          <cell r="BK24">
            <v>-4.122795542513555</v>
          </cell>
          <cell r="BL24">
            <v>-4.1406766577066021</v>
          </cell>
          <cell r="BM24">
            <v>-4.158557772899651</v>
          </cell>
          <cell r="BN24">
            <v>-4.1764388880926973</v>
          </cell>
          <cell r="BO24">
            <v>-4.1943200032857444</v>
          </cell>
        </row>
        <row r="29">
          <cell r="AC29">
            <v>1216.5725330073537</v>
          </cell>
          <cell r="AD29">
            <v>1220.6125153152373</v>
          </cell>
          <cell r="AE29">
            <v>1224.6524976231206</v>
          </cell>
          <cell r="AF29">
            <v>1228.6924799310034</v>
          </cell>
          <cell r="AG29">
            <v>1232.7324622388869</v>
          </cell>
          <cell r="AH29">
            <v>1236.77244454677</v>
          </cell>
          <cell r="AI29">
            <v>1240.8124268546533</v>
          </cell>
          <cell r="AJ29">
            <v>1244.8524091625366</v>
          </cell>
          <cell r="AK29">
            <v>1248.8923914704199</v>
          </cell>
          <cell r="AL29">
            <v>1252.9323737783034</v>
          </cell>
          <cell r="AM29">
            <v>1256.9723560861864</v>
          </cell>
          <cell r="AN29">
            <v>1261.0123383940697</v>
          </cell>
          <cell r="AO29">
            <v>1265.052320701953</v>
          </cell>
          <cell r="AP29">
            <v>1269.0923030098356</v>
          </cell>
          <cell r="AQ29">
            <v>1273.1322853177196</v>
          </cell>
          <cell r="AR29">
            <v>1277.1722676256031</v>
          </cell>
          <cell r="AS29">
            <v>1281.2122499334862</v>
          </cell>
          <cell r="AT29">
            <v>1285.2522322413693</v>
          </cell>
          <cell r="AU29">
            <v>1289.2922145492525</v>
          </cell>
          <cell r="AV29">
            <v>1293.3321968571361</v>
          </cell>
          <cell r="AW29">
            <v>1297.3721791650191</v>
          </cell>
          <cell r="AX29">
            <v>1301.4121614729024</v>
          </cell>
          <cell r="AY29">
            <v>1305.4521437807855</v>
          </cell>
          <cell r="AZ29">
            <v>1309.4921260886688</v>
          </cell>
          <cell r="BA29">
            <v>1313.5321083965523</v>
          </cell>
          <cell r="BB29">
            <v>1317.5720907044354</v>
          </cell>
          <cell r="BC29">
            <v>1321.6120730123191</v>
          </cell>
          <cell r="BD29">
            <v>1325.6520553202022</v>
          </cell>
          <cell r="BE29">
            <v>1329.6920376280857</v>
          </cell>
          <cell r="BF29">
            <v>1333.7320199359688</v>
          </cell>
          <cell r="BG29">
            <v>1337.7720022438518</v>
          </cell>
          <cell r="BH29">
            <v>1341.8119845517351</v>
          </cell>
          <cell r="BI29">
            <v>1345.8519668596182</v>
          </cell>
          <cell r="BJ29">
            <v>1349.8919491675019</v>
          </cell>
          <cell r="BK29">
            <v>1353.931931475385</v>
          </cell>
          <cell r="BL29">
            <v>1357.9719137832683</v>
          </cell>
          <cell r="BM29">
            <v>1362.0118960911516</v>
          </cell>
          <cell r="BN29">
            <v>1366.0518783990351</v>
          </cell>
          <cell r="BO29">
            <v>1370.0918607069184</v>
          </cell>
        </row>
        <row r="37">
          <cell r="AC37">
            <v>4846.6213946536764</v>
          </cell>
          <cell r="AD37">
            <v>4846.6213946536764</v>
          </cell>
          <cell r="AE37">
            <v>4846.6213946536764</v>
          </cell>
          <cell r="AF37">
            <v>4846.6213946536764</v>
          </cell>
          <cell r="AG37">
            <v>4846.6213946536764</v>
          </cell>
          <cell r="AH37">
            <v>4846.6213946536764</v>
          </cell>
          <cell r="AI37">
            <v>4846.6213946536764</v>
          </cell>
          <cell r="AJ37">
            <v>4846.6213946536764</v>
          </cell>
          <cell r="AK37">
            <v>4846.6213946536764</v>
          </cell>
          <cell r="AL37">
            <v>4846.6213946536764</v>
          </cell>
          <cell r="AM37">
            <v>4846.6213946536764</v>
          </cell>
          <cell r="AN37">
            <v>4846.6213946536764</v>
          </cell>
          <cell r="AO37">
            <v>4846.6213946536764</v>
          </cell>
          <cell r="AP37">
            <v>4846.6213946536764</v>
          </cell>
          <cell r="AQ37">
            <v>4846.6213946536764</v>
          </cell>
          <cell r="AR37">
            <v>4846.6213946536764</v>
          </cell>
          <cell r="AS37">
            <v>4846.6213946536764</v>
          </cell>
          <cell r="AT37">
            <v>4846.6213946536764</v>
          </cell>
          <cell r="AU37">
            <v>4846.6213946536764</v>
          </cell>
          <cell r="AV37">
            <v>4846.6213946536764</v>
          </cell>
          <cell r="AW37">
            <v>4846.6213946536764</v>
          </cell>
          <cell r="AX37">
            <v>4846.6213946536764</v>
          </cell>
          <cell r="AY37">
            <v>4846.6213946536764</v>
          </cell>
          <cell r="AZ37">
            <v>4846.6213946536764</v>
          </cell>
          <cell r="BA37">
            <v>4846.6213946536764</v>
          </cell>
          <cell r="BB37">
            <v>4846.6213946536764</v>
          </cell>
          <cell r="BC37">
            <v>4846.6213946536764</v>
          </cell>
          <cell r="BD37">
            <v>4846.6213946536764</v>
          </cell>
          <cell r="BE37">
            <v>4846.6213946536764</v>
          </cell>
          <cell r="BF37">
            <v>4846.6213946536764</v>
          </cell>
          <cell r="BG37">
            <v>4846.6213946536764</v>
          </cell>
          <cell r="BH37">
            <v>4846.6213946536764</v>
          </cell>
          <cell r="BI37">
            <v>4846.6213946536764</v>
          </cell>
          <cell r="BJ37">
            <v>4846.6213946536764</v>
          </cell>
          <cell r="BK37">
            <v>4846.6213946536764</v>
          </cell>
          <cell r="BL37">
            <v>4846.6213946536764</v>
          </cell>
          <cell r="BM37">
            <v>4846.6213946536764</v>
          </cell>
          <cell r="BN37">
            <v>4846.6213946536764</v>
          </cell>
          <cell r="BO37">
            <v>4846.6213946536764</v>
          </cell>
        </row>
        <row r="42">
          <cell r="AC42">
            <v>-16866.685781467972</v>
          </cell>
          <cell r="AD42">
            <v>-16866.685781467972</v>
          </cell>
          <cell r="AE42">
            <v>-16866.685781467972</v>
          </cell>
          <cell r="AF42">
            <v>-16866.685781467972</v>
          </cell>
          <cell r="AG42">
            <v>-16866.685781467972</v>
          </cell>
          <cell r="AH42">
            <v>-16866.685781467972</v>
          </cell>
          <cell r="AI42">
            <v>-16866.685781467972</v>
          </cell>
          <cell r="AJ42">
            <v>-16866.685781467972</v>
          </cell>
          <cell r="AK42">
            <v>-16866.685781467972</v>
          </cell>
          <cell r="AL42">
            <v>-16866.685781467972</v>
          </cell>
          <cell r="AM42">
            <v>-16866.685781467972</v>
          </cell>
          <cell r="AN42">
            <v>-16866.685781467972</v>
          </cell>
          <cell r="AO42">
            <v>-16866.685781467972</v>
          </cell>
          <cell r="AP42">
            <v>-16866.685781467972</v>
          </cell>
          <cell r="AQ42">
            <v>-16866.685781467972</v>
          </cell>
          <cell r="AR42">
            <v>-16866.685781467972</v>
          </cell>
          <cell r="AS42">
            <v>-16866.685781467972</v>
          </cell>
          <cell r="AT42">
            <v>-16866.685781467972</v>
          </cell>
          <cell r="AU42">
            <v>-16866.685781467972</v>
          </cell>
          <cell r="AV42">
            <v>-16866.685781467972</v>
          </cell>
          <cell r="AW42">
            <v>-16866.685781467972</v>
          </cell>
          <cell r="AX42">
            <v>-16866.685781467972</v>
          </cell>
          <cell r="AY42">
            <v>-16866.685781467972</v>
          </cell>
          <cell r="AZ42">
            <v>-16866.685781467972</v>
          </cell>
          <cell r="BA42">
            <v>-16866.685781467972</v>
          </cell>
          <cell r="BB42">
            <v>-16866.685781467972</v>
          </cell>
          <cell r="BC42">
            <v>-16866.685781467972</v>
          </cell>
          <cell r="BD42">
            <v>-16866.685781467972</v>
          </cell>
          <cell r="BE42">
            <v>-16866.685781467972</v>
          </cell>
          <cell r="BF42">
            <v>-16866.685781467972</v>
          </cell>
          <cell r="BG42">
            <v>-16866.685781467972</v>
          </cell>
          <cell r="BH42">
            <v>-16866.685781467972</v>
          </cell>
          <cell r="BI42">
            <v>-16866.685781467972</v>
          </cell>
          <cell r="BJ42">
            <v>-16866.685781467972</v>
          </cell>
          <cell r="BK42">
            <v>-16866.685781467972</v>
          </cell>
          <cell r="BL42">
            <v>-16866.685781467972</v>
          </cell>
          <cell r="BM42">
            <v>-16866.685781467972</v>
          </cell>
          <cell r="BN42">
            <v>-16866.685781467972</v>
          </cell>
          <cell r="BO42">
            <v>-16866.685781467972</v>
          </cell>
        </row>
        <row r="50">
          <cell r="G50">
            <v>2.7655459746661304</v>
          </cell>
        </row>
        <row r="55">
          <cell r="AC55">
            <v>251.29650558571467</v>
          </cell>
          <cell r="AD55">
            <v>251.29650558571467</v>
          </cell>
          <cell r="AE55">
            <v>251.29650558571467</v>
          </cell>
          <cell r="AF55">
            <v>251.29650558571467</v>
          </cell>
          <cell r="AG55">
            <v>251.29650558571467</v>
          </cell>
          <cell r="AH55">
            <v>251.29650558571467</v>
          </cell>
          <cell r="AI55">
            <v>251.29650558571467</v>
          </cell>
          <cell r="AJ55">
            <v>251.29650558571467</v>
          </cell>
          <cell r="AK55">
            <v>251.29650558571467</v>
          </cell>
          <cell r="AL55">
            <v>251.29650558571467</v>
          </cell>
          <cell r="AM55">
            <v>251.29650558571467</v>
          </cell>
          <cell r="AN55">
            <v>251.29650558571467</v>
          </cell>
          <cell r="AO55">
            <v>251.29650558571467</v>
          </cell>
          <cell r="AP55">
            <v>251.29650558571467</v>
          </cell>
          <cell r="AQ55">
            <v>251.29650558571467</v>
          </cell>
          <cell r="AR55">
            <v>251.29650558571467</v>
          </cell>
          <cell r="AS55">
            <v>251.29650558571467</v>
          </cell>
          <cell r="AT55">
            <v>251.29650558571467</v>
          </cell>
          <cell r="AU55">
            <v>251.29650558571467</v>
          </cell>
          <cell r="AV55">
            <v>251.29650558571467</v>
          </cell>
          <cell r="AW55">
            <v>251.29650558571467</v>
          </cell>
          <cell r="AX55">
            <v>251.29650558571467</v>
          </cell>
          <cell r="AY55">
            <v>251.29650558571467</v>
          </cell>
          <cell r="AZ55">
            <v>251.29650558571467</v>
          </cell>
          <cell r="BA55">
            <v>251.29650558571467</v>
          </cell>
          <cell r="BB55">
            <v>251.29650558571467</v>
          </cell>
          <cell r="BC55">
            <v>251.29650558571467</v>
          </cell>
          <cell r="BD55">
            <v>251.29650558571467</v>
          </cell>
          <cell r="BE55">
            <v>251.29650558571467</v>
          </cell>
          <cell r="BF55">
            <v>251.29650558571467</v>
          </cell>
          <cell r="BG55">
            <v>251.29650558571467</v>
          </cell>
          <cell r="BH55">
            <v>251.29650558571467</v>
          </cell>
          <cell r="BI55">
            <v>251.29650558571467</v>
          </cell>
          <cell r="BJ55">
            <v>251.29650558571467</v>
          </cell>
          <cell r="BK55">
            <v>251.29650558571467</v>
          </cell>
          <cell r="BL55">
            <v>251.29650558571467</v>
          </cell>
          <cell r="BM55">
            <v>251.29650558571467</v>
          </cell>
          <cell r="BN55">
            <v>251.29650558571467</v>
          </cell>
          <cell r="BO55">
            <v>251.29650558571467</v>
          </cell>
        </row>
        <row r="63">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cell r="AU63">
            <v>0</v>
          </cell>
          <cell r="AV63">
            <v>0</v>
          </cell>
          <cell r="AW63">
            <v>0</v>
          </cell>
          <cell r="AX63">
            <v>0</v>
          </cell>
          <cell r="AY63">
            <v>0</v>
          </cell>
          <cell r="AZ63">
            <v>0</v>
          </cell>
          <cell r="BA63">
            <v>0</v>
          </cell>
          <cell r="BB63">
            <v>0</v>
          </cell>
          <cell r="BC63">
            <v>0</v>
          </cell>
          <cell r="BD63">
            <v>0</v>
          </cell>
          <cell r="BE63">
            <v>0</v>
          </cell>
          <cell r="BF63">
            <v>0</v>
          </cell>
          <cell r="BG63">
            <v>0</v>
          </cell>
          <cell r="BH63">
            <v>0</v>
          </cell>
          <cell r="BI63">
            <v>0</v>
          </cell>
          <cell r="BJ63">
            <v>0</v>
          </cell>
          <cell r="BK63">
            <v>0</v>
          </cell>
          <cell r="BL63">
            <v>0</v>
          </cell>
          <cell r="BM63">
            <v>0</v>
          </cell>
          <cell r="BN63">
            <v>0</v>
          </cell>
          <cell r="BO63">
            <v>0</v>
          </cell>
        </row>
        <row r="68">
          <cell r="AC68">
            <v>10738.537356357998</v>
          </cell>
          <cell r="AD68">
            <v>10738.537356357998</v>
          </cell>
          <cell r="AE68">
            <v>10738.537356357998</v>
          </cell>
          <cell r="AF68">
            <v>10738.537356357998</v>
          </cell>
          <cell r="AG68">
            <v>10738.537356357998</v>
          </cell>
          <cell r="AH68">
            <v>10738.537356357998</v>
          </cell>
          <cell r="AI68">
            <v>10738.537356357998</v>
          </cell>
          <cell r="AJ68">
            <v>10738.537356357998</v>
          </cell>
          <cell r="AK68">
            <v>10738.537356357998</v>
          </cell>
          <cell r="AL68">
            <v>10738.537356357998</v>
          </cell>
          <cell r="AM68">
            <v>10738.537356357998</v>
          </cell>
          <cell r="AN68">
            <v>10738.537356357998</v>
          </cell>
          <cell r="AO68">
            <v>10738.537356357998</v>
          </cell>
          <cell r="AP68">
            <v>10738.537356357998</v>
          </cell>
          <cell r="AQ68">
            <v>10738.537356357998</v>
          </cell>
          <cell r="AR68">
            <v>10738.537356357998</v>
          </cell>
          <cell r="AS68">
            <v>10738.537356357998</v>
          </cell>
          <cell r="AT68">
            <v>10738.537356357998</v>
          </cell>
          <cell r="AU68">
            <v>10738.537356357998</v>
          </cell>
          <cell r="AV68">
            <v>10738.537356357998</v>
          </cell>
          <cell r="AW68">
            <v>10738.537356357998</v>
          </cell>
          <cell r="AX68">
            <v>10738.537356357998</v>
          </cell>
          <cell r="AY68">
            <v>10738.537356357998</v>
          </cell>
          <cell r="AZ68">
            <v>10738.537356357998</v>
          </cell>
          <cell r="BA68">
            <v>10738.537356357998</v>
          </cell>
          <cell r="BB68">
            <v>10738.537356357998</v>
          </cell>
          <cell r="BC68">
            <v>10738.537356357998</v>
          </cell>
          <cell r="BD68">
            <v>10738.537356357998</v>
          </cell>
          <cell r="BE68">
            <v>10738.537356357998</v>
          </cell>
          <cell r="BF68">
            <v>10738.537356357998</v>
          </cell>
          <cell r="BG68">
            <v>10738.537356357998</v>
          </cell>
          <cell r="BH68">
            <v>10738.537356357998</v>
          </cell>
          <cell r="BI68">
            <v>10738.537356357998</v>
          </cell>
          <cell r="BJ68">
            <v>10738.537356357998</v>
          </cell>
          <cell r="BK68">
            <v>10738.537356357998</v>
          </cell>
          <cell r="BL68">
            <v>10738.537356357998</v>
          </cell>
          <cell r="BM68">
            <v>10738.537356357998</v>
          </cell>
          <cell r="BN68">
            <v>10738.537356357998</v>
          </cell>
          <cell r="BO68">
            <v>10738.537356357998</v>
          </cell>
        </row>
      </sheetData>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IndexG2E"/>
      <sheetName val="IndexE2G"/>
      <sheetName val="DriversCGE"/>
      <sheetName val="GHGSummary"/>
      <sheetName val="IPCC Categories"/>
      <sheetName val="Drivers"/>
      <sheetName val="Calculated drivers"/>
      <sheetName val="Annual land change driver"/>
      <sheetName val="Land areas"/>
      <sheetName val="Summary land areas"/>
      <sheetName val="Constants"/>
      <sheetName val="Activity data"/>
      <sheetName val="Carbon stock data"/>
      <sheetName val="Aggregated stock data"/>
      <sheetName val="Baseline Emissions &amp; Removals"/>
      <sheetName val="Baseline emission summary"/>
      <sheetName val="Mitigation input scenarios"/>
      <sheetName val="Mitigation Emissions &amp; Removals"/>
      <sheetName val="Mitigation summary"/>
      <sheetName val="Costs"/>
      <sheetName val="Jobs"/>
      <sheetName val="Inventory comparison"/>
      <sheetName val="1990-2014 corrected"/>
      <sheetName val="1990-2014"/>
      <sheetName val="2014-2018"/>
      <sheetName val="Inventory"/>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545">
          <cell r="AE545">
            <v>13522.653295160111</v>
          </cell>
          <cell r="AF545">
            <v>13554.196388614922</v>
          </cell>
          <cell r="AG545">
            <v>13585.739482069734</v>
          </cell>
          <cell r="AH545">
            <v>13573.216999290329</v>
          </cell>
          <cell r="AI545">
            <v>13560.694516510923</v>
          </cell>
          <cell r="AJ545">
            <v>13548.172033731515</v>
          </cell>
          <cell r="AK545">
            <v>13535.649550952108</v>
          </cell>
          <cell r="AL545">
            <v>13522.933497712827</v>
          </cell>
          <cell r="AM545">
            <v>13510.217444473546</v>
          </cell>
          <cell r="AN545">
            <v>13497.501391234267</v>
          </cell>
          <cell r="AO545">
            <v>13484.785337994983</v>
          </cell>
          <cell r="AP545">
            <v>13472.069284755706</v>
          </cell>
          <cell r="AQ545">
            <v>13459.353231516423</v>
          </cell>
          <cell r="AR545">
            <v>13446.637178277142</v>
          </cell>
          <cell r="AS545">
            <v>13433.921125037861</v>
          </cell>
          <cell r="AT545">
            <v>13421.205071798582</v>
          </cell>
          <cell r="AU545">
            <v>13408.489018559298</v>
          </cell>
          <cell r="AV545">
            <v>13395.772965320015</v>
          </cell>
          <cell r="AW545">
            <v>13383.056912080734</v>
          </cell>
          <cell r="AX545">
            <v>13370.340858841455</v>
          </cell>
          <cell r="AY545">
            <v>13357.624805602176</v>
          </cell>
          <cell r="AZ545">
            <v>13344.908752362891</v>
          </cell>
          <cell r="BA545">
            <v>13332.192699123612</v>
          </cell>
          <cell r="BB545">
            <v>13319.476645884333</v>
          </cell>
          <cell r="BC545">
            <v>13306.760592645052</v>
          </cell>
          <cell r="BD545">
            <v>13294.044539405772</v>
          </cell>
          <cell r="BE545">
            <v>13281.328486166491</v>
          </cell>
          <cell r="BF545">
            <v>13268.61243292721</v>
          </cell>
          <cell r="BG545">
            <v>13255.896379687931</v>
          </cell>
          <cell r="BH545">
            <v>13243.18032644865</v>
          </cell>
          <cell r="BI545">
            <v>13230.464273209369</v>
          </cell>
          <cell r="BJ545">
            <v>13217.748219970088</v>
          </cell>
          <cell r="BK545">
            <v>13205.032166730807</v>
          </cell>
          <cell r="BL545">
            <v>13192.316113491526</v>
          </cell>
          <cell r="BM545">
            <v>13179.600060252247</v>
          </cell>
          <cell r="BN545">
            <v>13166.884007012966</v>
          </cell>
          <cell r="BO545">
            <v>13154.167953773685</v>
          </cell>
          <cell r="BP545">
            <v>13141.451900534405</v>
          </cell>
          <cell r="BQ545">
            <v>13128.735847295124</v>
          </cell>
        </row>
        <row r="546">
          <cell r="AE546">
            <v>386988.3780212166</v>
          </cell>
          <cell r="AF546">
            <v>389835.69641059672</v>
          </cell>
          <cell r="AG546">
            <v>392683.01479997695</v>
          </cell>
          <cell r="AH546">
            <v>391216.86590361502</v>
          </cell>
          <cell r="AI546">
            <v>389750.71700725314</v>
          </cell>
          <cell r="AJ546">
            <v>388284.56811089127</v>
          </cell>
          <cell r="AK546">
            <v>386818.41921452939</v>
          </cell>
          <cell r="AL546">
            <v>385314.36099221953</v>
          </cell>
          <cell r="AM546">
            <v>383810.30276990985</v>
          </cell>
          <cell r="AN546">
            <v>382306.24454759993</v>
          </cell>
          <cell r="AO546">
            <v>380802.18632529018</v>
          </cell>
          <cell r="AP546">
            <v>379298.12810298032</v>
          </cell>
          <cell r="AQ546">
            <v>377794.06988067064</v>
          </cell>
          <cell r="AR546">
            <v>376290.01165836072</v>
          </cell>
          <cell r="AS546">
            <v>374785.95343605091</v>
          </cell>
          <cell r="AT546">
            <v>373281.89521374117</v>
          </cell>
          <cell r="AU546">
            <v>371777.83699143137</v>
          </cell>
          <cell r="AV546">
            <v>370273.77876912162</v>
          </cell>
          <cell r="AW546">
            <v>368769.72054681182</v>
          </cell>
          <cell r="AX546">
            <v>367265.66232450202</v>
          </cell>
          <cell r="AY546">
            <v>365761.60410219216</v>
          </cell>
          <cell r="AZ546">
            <v>364257.54587988241</v>
          </cell>
          <cell r="BA546">
            <v>362753.48765757255</v>
          </cell>
          <cell r="BB546">
            <v>361249.42943526275</v>
          </cell>
          <cell r="BC546">
            <v>359745.371212953</v>
          </cell>
          <cell r="BD546">
            <v>358241.3129906432</v>
          </cell>
          <cell r="BE546">
            <v>356737.25476833346</v>
          </cell>
          <cell r="BF546">
            <v>355233.19654602365</v>
          </cell>
          <cell r="BG546">
            <v>353729.13832371385</v>
          </cell>
          <cell r="BH546">
            <v>352225.08010140411</v>
          </cell>
          <cell r="BI546">
            <v>350721.0218790943</v>
          </cell>
          <cell r="BJ546">
            <v>349216.9636567845</v>
          </cell>
          <cell r="BK546">
            <v>347712.9054344747</v>
          </cell>
          <cell r="BL546">
            <v>346208.8472121649</v>
          </cell>
          <cell r="BM546">
            <v>344704.78898985509</v>
          </cell>
          <cell r="BN546">
            <v>343200.73076754529</v>
          </cell>
          <cell r="BO546">
            <v>341696.67254523549</v>
          </cell>
          <cell r="BP546">
            <v>340192.61432292574</v>
          </cell>
          <cell r="BQ546">
            <v>338688.55610061594</v>
          </cell>
        </row>
        <row r="547">
          <cell r="AE547">
            <v>660948.6077962477</v>
          </cell>
          <cell r="AF547">
            <v>663815.67353100621</v>
          </cell>
          <cell r="AG547">
            <v>666682.73926576483</v>
          </cell>
          <cell r="AH547">
            <v>668546.04667811096</v>
          </cell>
          <cell r="AI547">
            <v>670409.35409045743</v>
          </cell>
          <cell r="AJ547">
            <v>672272.66150280368</v>
          </cell>
          <cell r="AK547">
            <v>674135.96891514992</v>
          </cell>
          <cell r="AL547">
            <v>675901.94822427048</v>
          </cell>
          <cell r="AM547">
            <v>677667.92753339105</v>
          </cell>
          <cell r="AN547">
            <v>679433.9068425115</v>
          </cell>
          <cell r="AO547">
            <v>681199.88615163194</v>
          </cell>
          <cell r="AP547">
            <v>682965.86546075251</v>
          </cell>
          <cell r="AQ547">
            <v>684731.84476987319</v>
          </cell>
          <cell r="AR547">
            <v>686497.82407899364</v>
          </cell>
          <cell r="AS547">
            <v>688263.80338811409</v>
          </cell>
          <cell r="AT547">
            <v>690029.78269723465</v>
          </cell>
          <cell r="AU547">
            <v>691795.76200635522</v>
          </cell>
          <cell r="AV547">
            <v>693561.74131547578</v>
          </cell>
          <cell r="AW547">
            <v>695327.72062459623</v>
          </cell>
          <cell r="AX547">
            <v>697093.69993371668</v>
          </cell>
          <cell r="AY547">
            <v>698859.67924283736</v>
          </cell>
          <cell r="AZ547">
            <v>700625.65855195781</v>
          </cell>
          <cell r="BA547">
            <v>702391.63786107849</v>
          </cell>
          <cell r="BB547">
            <v>704157.61717019905</v>
          </cell>
          <cell r="BC547">
            <v>705923.5964793195</v>
          </cell>
          <cell r="BD547">
            <v>707689.57578844007</v>
          </cell>
          <cell r="BE547">
            <v>709455.55509756051</v>
          </cell>
          <cell r="BF547">
            <v>711221.53440668108</v>
          </cell>
          <cell r="BG547">
            <v>712987.51371580164</v>
          </cell>
          <cell r="BH547">
            <v>714753.49302492221</v>
          </cell>
          <cell r="BI547">
            <v>716519.47233404277</v>
          </cell>
          <cell r="BJ547">
            <v>718285.45164316322</v>
          </cell>
          <cell r="BK547">
            <v>720051.43095228379</v>
          </cell>
          <cell r="BL547">
            <v>721817.41026140435</v>
          </cell>
          <cell r="BM547">
            <v>723583.38957052492</v>
          </cell>
          <cell r="BN547">
            <v>725349.36887964548</v>
          </cell>
          <cell r="BO547">
            <v>727115.34818876593</v>
          </cell>
          <cell r="BP547">
            <v>728881.32749788649</v>
          </cell>
          <cell r="BQ547">
            <v>730647.30680700706</v>
          </cell>
        </row>
        <row r="548">
          <cell r="AE548">
            <v>13285.999123176394</v>
          </cell>
          <cell r="AF548">
            <v>24983.999123176392</v>
          </cell>
          <cell r="AG548">
            <v>20172.999123176392</v>
          </cell>
          <cell r="AH548">
            <v>15648.999123176394</v>
          </cell>
          <cell r="AI548">
            <v>17908.999123176392</v>
          </cell>
          <cell r="AJ548">
            <v>19831.999123176392</v>
          </cell>
          <cell r="AK548">
            <v>19831.999123176392</v>
          </cell>
          <cell r="AL548">
            <v>19858.111613452864</v>
          </cell>
          <cell r="AM548">
            <v>19884.224103729332</v>
          </cell>
          <cell r="AN548">
            <v>19910.336594005799</v>
          </cell>
          <cell r="AO548">
            <v>19936.449084282271</v>
          </cell>
          <cell r="AP548">
            <v>19962.561574558738</v>
          </cell>
          <cell r="AQ548">
            <v>19988.67406483521</v>
          </cell>
          <cell r="AR548">
            <v>20014.786555111677</v>
          </cell>
          <cell r="AS548">
            <v>20040.899045388145</v>
          </cell>
          <cell r="AT548">
            <v>20067.011535664617</v>
          </cell>
          <cell r="AU548">
            <v>20093.124025941084</v>
          </cell>
          <cell r="AV548">
            <v>20119.236516217556</v>
          </cell>
          <cell r="AW548">
            <v>20145.349006494023</v>
          </cell>
          <cell r="AX548">
            <v>20056.357671520065</v>
          </cell>
          <cell r="AY548">
            <v>19967.366336546107</v>
          </cell>
          <cell r="AZ548">
            <v>19878.375001572149</v>
          </cell>
          <cell r="BA548">
            <v>19789.383666598191</v>
          </cell>
          <cell r="BB548">
            <v>19700.392331624233</v>
          </cell>
          <cell r="BC548">
            <v>19611.400996650274</v>
          </cell>
          <cell r="BD548">
            <v>19522.409661676316</v>
          </cell>
          <cell r="BE548">
            <v>19433.418326702358</v>
          </cell>
          <cell r="BF548">
            <v>19318.314501451932</v>
          </cell>
          <cell r="BG548">
            <v>19203.210676201503</v>
          </cell>
          <cell r="BH548">
            <v>19088.106850951077</v>
          </cell>
          <cell r="BI548">
            <v>18973.003025700651</v>
          </cell>
          <cell r="BJ548">
            <v>18857.899200450222</v>
          </cell>
          <cell r="BK548">
            <v>18742.795375199796</v>
          </cell>
          <cell r="BL548">
            <v>18627.69154994937</v>
          </cell>
          <cell r="BM548">
            <v>18512.58772469894</v>
          </cell>
          <cell r="BN548">
            <v>18397.483899448514</v>
          </cell>
          <cell r="BO548">
            <v>18282.380074198089</v>
          </cell>
          <cell r="BP548">
            <v>18167.276248947659</v>
          </cell>
          <cell r="BQ548">
            <v>18052.172423697233</v>
          </cell>
        </row>
        <row r="549">
          <cell r="AE549">
            <v>329614.7597349711</v>
          </cell>
          <cell r="AF549">
            <v>328711.1609496483</v>
          </cell>
          <cell r="AG549">
            <v>327807.5621643255</v>
          </cell>
          <cell r="AH549">
            <v>326903.96337900264</v>
          </cell>
          <cell r="AI549">
            <v>326000.36459367984</v>
          </cell>
          <cell r="AJ549">
            <v>325096.76580835704</v>
          </cell>
          <cell r="AK549">
            <v>324193.16702303418</v>
          </cell>
          <cell r="AL549">
            <v>323709.29156210669</v>
          </cell>
          <cell r="AM549">
            <v>323225.41610117914</v>
          </cell>
          <cell r="AN549">
            <v>322741.54064025165</v>
          </cell>
          <cell r="AO549">
            <v>322257.66517932416</v>
          </cell>
          <cell r="AP549">
            <v>321773.78971839661</v>
          </cell>
          <cell r="AQ549">
            <v>321289.91425746906</v>
          </cell>
          <cell r="AR549">
            <v>320806.03879654157</v>
          </cell>
          <cell r="AS549">
            <v>320322.16333561402</v>
          </cell>
          <cell r="AT549">
            <v>319838.28787468653</v>
          </cell>
          <cell r="AU549">
            <v>319354.41241375904</v>
          </cell>
          <cell r="AV549">
            <v>318870.53695283149</v>
          </cell>
          <cell r="AW549">
            <v>318386.66149190394</v>
          </cell>
          <cell r="AX549">
            <v>317902.78603097645</v>
          </cell>
          <cell r="AY549">
            <v>317418.91057004896</v>
          </cell>
          <cell r="AZ549">
            <v>316935.03510912141</v>
          </cell>
          <cell r="BA549">
            <v>316451.15964819392</v>
          </cell>
          <cell r="BB549">
            <v>315967.28418726637</v>
          </cell>
          <cell r="BC549">
            <v>315483.40872633882</v>
          </cell>
          <cell r="BD549">
            <v>314999.53326541133</v>
          </cell>
          <cell r="BE549">
            <v>314515.65780448384</v>
          </cell>
          <cell r="BF549">
            <v>314031.78234355629</v>
          </cell>
          <cell r="BG549">
            <v>313547.9068826288</v>
          </cell>
          <cell r="BH549">
            <v>313064.03142170131</v>
          </cell>
          <cell r="BI549">
            <v>312580.15596077376</v>
          </cell>
          <cell r="BJ549">
            <v>312096.28049984627</v>
          </cell>
          <cell r="BK549">
            <v>311612.40503891878</v>
          </cell>
          <cell r="BL549">
            <v>311128.52957799123</v>
          </cell>
          <cell r="BM549">
            <v>310644.65411706374</v>
          </cell>
          <cell r="BN549">
            <v>310160.77865613624</v>
          </cell>
          <cell r="BO549">
            <v>309676.9031952087</v>
          </cell>
          <cell r="BP549">
            <v>309193.0277342812</v>
          </cell>
          <cell r="BQ549">
            <v>308709.15227335371</v>
          </cell>
        </row>
        <row r="550">
          <cell r="AE550">
            <v>27272.800964105933</v>
          </cell>
          <cell r="AF550">
            <v>28102.087515757019</v>
          </cell>
          <cell r="AG550">
            <v>28931.374067408098</v>
          </cell>
          <cell r="AH550">
            <v>29760.660619059196</v>
          </cell>
          <cell r="AI550">
            <v>30589.947170710278</v>
          </cell>
          <cell r="AJ550">
            <v>31419.233722361369</v>
          </cell>
          <cell r="AK550">
            <v>32248.520274012448</v>
          </cell>
          <cell r="AL550">
            <v>32952.518567481813</v>
          </cell>
          <cell r="AM550">
            <v>33656.516860951182</v>
          </cell>
          <cell r="AN550">
            <v>34360.515154420558</v>
          </cell>
          <cell r="AO550">
            <v>35064.51344788992</v>
          </cell>
          <cell r="AP550">
            <v>35768.511741359282</v>
          </cell>
          <cell r="AQ550">
            <v>36472.510034828658</v>
          </cell>
          <cell r="AR550">
            <v>37176.508328298027</v>
          </cell>
          <cell r="AS550">
            <v>37880.506621767396</v>
          </cell>
          <cell r="AT550">
            <v>38584.504915236765</v>
          </cell>
          <cell r="AU550">
            <v>39288.503208706141</v>
          </cell>
          <cell r="AV550">
            <v>39992.50150217551</v>
          </cell>
          <cell r="AW550">
            <v>40696.499795644886</v>
          </cell>
          <cell r="AX550">
            <v>41400.498089114248</v>
          </cell>
          <cell r="AY550">
            <v>42104.496382583602</v>
          </cell>
          <cell r="AZ550">
            <v>42808.494676052964</v>
          </cell>
          <cell r="BA550">
            <v>43512.49296952234</v>
          </cell>
          <cell r="BB550">
            <v>44216.491262991716</v>
          </cell>
          <cell r="BC550">
            <v>44920.489556461092</v>
          </cell>
          <cell r="BD550">
            <v>45624.487849930454</v>
          </cell>
          <cell r="BE550">
            <v>46328.486143399816</v>
          </cell>
          <cell r="BF550">
            <v>47032.484436869207</v>
          </cell>
          <cell r="BG550">
            <v>47736.482730338561</v>
          </cell>
          <cell r="BH550">
            <v>48440.48102380793</v>
          </cell>
          <cell r="BI550">
            <v>49144.479317277292</v>
          </cell>
          <cell r="BJ550">
            <v>49848.477610746668</v>
          </cell>
          <cell r="BK550">
            <v>50552.475904216029</v>
          </cell>
          <cell r="BL550">
            <v>51256.474197685406</v>
          </cell>
          <cell r="BM550">
            <v>51960.47249115476</v>
          </cell>
          <cell r="BN550">
            <v>52664.470784624136</v>
          </cell>
          <cell r="BO550">
            <v>53368.469078093491</v>
          </cell>
          <cell r="BP550">
            <v>54072.467371562867</v>
          </cell>
          <cell r="BQ550">
            <v>54776.465665032236</v>
          </cell>
        </row>
        <row r="551">
          <cell r="AE551">
            <v>3227.9349368076064</v>
          </cell>
          <cell r="AF551">
            <v>3255.5028892035903</v>
          </cell>
          <cell r="AG551">
            <v>3283.0708415995737</v>
          </cell>
          <cell r="AH551">
            <v>3310.6387939955575</v>
          </cell>
          <cell r="AI551">
            <v>3338.2067463915409</v>
          </cell>
          <cell r="AJ551">
            <v>3365.7746987875248</v>
          </cell>
          <cell r="AK551">
            <v>3393.3426511835082</v>
          </cell>
          <cell r="AL551">
            <v>3409.8924289624997</v>
          </cell>
          <cell r="AM551">
            <v>3426.4422067414907</v>
          </cell>
          <cell r="AN551">
            <v>3442.9919845204822</v>
          </cell>
          <cell r="AO551">
            <v>3459.5417622994732</v>
          </cell>
          <cell r="AP551">
            <v>3476.0915400784652</v>
          </cell>
          <cell r="AQ551">
            <v>3492.6413178574567</v>
          </cell>
          <cell r="AR551">
            <v>3509.1910956364482</v>
          </cell>
          <cell r="AS551">
            <v>3525.7408734154396</v>
          </cell>
          <cell r="AT551">
            <v>3542.2906511944311</v>
          </cell>
          <cell r="AU551">
            <v>3558.8404289734226</v>
          </cell>
          <cell r="AV551">
            <v>3575.3902067524141</v>
          </cell>
          <cell r="AW551">
            <v>3591.9399845314056</v>
          </cell>
          <cell r="AX551">
            <v>3608.4897623103961</v>
          </cell>
          <cell r="AY551">
            <v>3625.0395400893881</v>
          </cell>
          <cell r="AZ551">
            <v>3641.5893178683791</v>
          </cell>
          <cell r="BA551">
            <v>3658.1390956473711</v>
          </cell>
          <cell r="BB551">
            <v>3674.6888734263621</v>
          </cell>
          <cell r="BC551">
            <v>3691.238651205354</v>
          </cell>
          <cell r="BD551">
            <v>3707.788428984345</v>
          </cell>
          <cell r="BE551">
            <v>3724.338206763337</v>
          </cell>
          <cell r="BF551">
            <v>3740.8879845423285</v>
          </cell>
          <cell r="BG551">
            <v>3757.4377623213195</v>
          </cell>
          <cell r="BH551">
            <v>3773.987540100311</v>
          </cell>
          <cell r="BI551">
            <v>3790.5373178793025</v>
          </cell>
          <cell r="BJ551">
            <v>3807.0870956582935</v>
          </cell>
          <cell r="BK551">
            <v>3823.636873437285</v>
          </cell>
          <cell r="BL551">
            <v>3840.1866512162765</v>
          </cell>
          <cell r="BM551">
            <v>3856.7364289952675</v>
          </cell>
          <cell r="BN551">
            <v>3873.286206774259</v>
          </cell>
          <cell r="BO551">
            <v>3889.8359845532505</v>
          </cell>
          <cell r="BP551">
            <v>3906.3857623322415</v>
          </cell>
          <cell r="BQ551">
            <v>3922.935540111233</v>
          </cell>
        </row>
        <row r="552">
          <cell r="AE552">
            <v>892.04273910080849</v>
          </cell>
          <cell r="AF552">
            <v>897.91643360164323</v>
          </cell>
          <cell r="AG552">
            <v>903.79012810247798</v>
          </cell>
          <cell r="AH552">
            <v>909.66382260331272</v>
          </cell>
          <cell r="AI552">
            <v>915.53751710414724</v>
          </cell>
          <cell r="AJ552">
            <v>921.41121160498199</v>
          </cell>
          <cell r="AK552">
            <v>927.28490610581673</v>
          </cell>
          <cell r="AL552">
            <v>932.30844947058301</v>
          </cell>
          <cell r="AM552">
            <v>937.3319928353493</v>
          </cell>
          <cell r="AN552">
            <v>942.35553620011558</v>
          </cell>
          <cell r="AO552">
            <v>947.37907956488186</v>
          </cell>
          <cell r="AP552">
            <v>952.40262292964815</v>
          </cell>
          <cell r="AQ552">
            <v>957.42616629441443</v>
          </cell>
          <cell r="AR552">
            <v>962.44970965918071</v>
          </cell>
          <cell r="AS552">
            <v>967.473253023947</v>
          </cell>
          <cell r="AT552">
            <v>972.49679638871328</v>
          </cell>
          <cell r="AU552">
            <v>977.52033975347956</v>
          </cell>
          <cell r="AV552">
            <v>982.54388311824584</v>
          </cell>
          <cell r="AW552">
            <v>987.56742648301213</v>
          </cell>
          <cell r="AX552">
            <v>992.59096984777864</v>
          </cell>
          <cell r="AY552">
            <v>997.61451321254469</v>
          </cell>
          <cell r="AZ552">
            <v>1002.638056577311</v>
          </cell>
          <cell r="BA552">
            <v>1007.6615999420773</v>
          </cell>
          <cell r="BB552">
            <v>1012.6851433068435</v>
          </cell>
          <cell r="BC552">
            <v>1017.7086866716101</v>
          </cell>
          <cell r="BD552">
            <v>1022.7322300363763</v>
          </cell>
          <cell r="BE552">
            <v>1027.7557734011425</v>
          </cell>
          <cell r="BF552">
            <v>1032.7793167659088</v>
          </cell>
          <cell r="BG552">
            <v>1037.8028601306753</v>
          </cell>
          <cell r="BH552">
            <v>1042.8264034954416</v>
          </cell>
          <cell r="BI552">
            <v>1047.8499468602079</v>
          </cell>
          <cell r="BJ552">
            <v>1052.8734902249739</v>
          </cell>
          <cell r="BK552">
            <v>1057.8970335897402</v>
          </cell>
          <cell r="BL552">
            <v>1062.9205769545065</v>
          </cell>
          <cell r="BM552">
            <v>1067.9441203192728</v>
          </cell>
          <cell r="BN552">
            <v>1072.9676636840391</v>
          </cell>
          <cell r="BO552">
            <v>1077.9912070488053</v>
          </cell>
          <cell r="BP552">
            <v>1083.0147504135714</v>
          </cell>
          <cell r="BQ552">
            <v>1088.0382937783377</v>
          </cell>
        </row>
        <row r="553">
          <cell r="AE553">
            <v>111446.90580100549</v>
          </cell>
          <cell r="AF553">
            <v>111463.54344556993</v>
          </cell>
          <cell r="AG553">
            <v>111480.18109013437</v>
          </cell>
          <cell r="AH553">
            <v>111496.81873469881</v>
          </cell>
          <cell r="AI553">
            <v>111513.45637926325</v>
          </cell>
          <cell r="AJ553">
            <v>111530.0940238277</v>
          </cell>
          <cell r="AK553">
            <v>111546.73166839214</v>
          </cell>
          <cell r="AL553">
            <v>111536.61656769083</v>
          </cell>
          <cell r="AM553">
            <v>111526.50146698949</v>
          </cell>
          <cell r="AN553">
            <v>111516.38636628815</v>
          </cell>
          <cell r="AO553">
            <v>111506.27126558687</v>
          </cell>
          <cell r="AP553">
            <v>111496.15616488553</v>
          </cell>
          <cell r="AQ553">
            <v>111486.04106418419</v>
          </cell>
          <cell r="AR553">
            <v>111475.92596348285</v>
          </cell>
          <cell r="AS553">
            <v>111465.81086278154</v>
          </cell>
          <cell r="AT553">
            <v>111455.6957620802</v>
          </cell>
          <cell r="AU553">
            <v>111445.58066137889</v>
          </cell>
          <cell r="AV553">
            <v>111435.46556067755</v>
          </cell>
          <cell r="AW553">
            <v>111425.35045997624</v>
          </cell>
          <cell r="AX553">
            <v>111415.2353592749</v>
          </cell>
          <cell r="AY553">
            <v>111405.12025857356</v>
          </cell>
          <cell r="AZ553">
            <v>111395.00515787225</v>
          </cell>
          <cell r="BA553">
            <v>111384.89005717091</v>
          </cell>
          <cell r="BB553">
            <v>111374.77495646957</v>
          </cell>
          <cell r="BC553">
            <v>111364.65985576826</v>
          </cell>
          <cell r="BD553">
            <v>111354.54475506692</v>
          </cell>
          <cell r="BE553">
            <v>111344.42965436561</v>
          </cell>
          <cell r="BF553">
            <v>111334.31455366427</v>
          </cell>
          <cell r="BG553">
            <v>111324.19945296293</v>
          </cell>
          <cell r="BH553">
            <v>111314.08435226159</v>
          </cell>
          <cell r="BI553">
            <v>111303.96925156025</v>
          </cell>
          <cell r="BJ553">
            <v>111293.85415085894</v>
          </cell>
          <cell r="BK553">
            <v>111283.7390501576</v>
          </cell>
          <cell r="BL553">
            <v>111273.62394945626</v>
          </cell>
          <cell r="BM553">
            <v>111263.50884875492</v>
          </cell>
          <cell r="BN553">
            <v>111253.39374805358</v>
          </cell>
          <cell r="BO553">
            <v>111243.27864735224</v>
          </cell>
          <cell r="BP553">
            <v>111233.1635466509</v>
          </cell>
          <cell r="BQ553">
            <v>111223.04844594956</v>
          </cell>
        </row>
        <row r="554">
          <cell r="AE554">
            <v>2070866.3984701198</v>
          </cell>
          <cell r="AF554">
            <v>2063344.7414665131</v>
          </cell>
          <cell r="AG554">
            <v>2055823.0844629062</v>
          </cell>
          <cell r="AH554">
            <v>2054537.0161992817</v>
          </cell>
          <cell r="AI554">
            <v>2053250.9479356571</v>
          </cell>
          <cell r="AJ554">
            <v>2051964.8796720325</v>
          </cell>
          <cell r="AK554">
            <v>2050678.8114084082</v>
          </cell>
          <cell r="AL554">
            <v>2048637.297919946</v>
          </cell>
          <cell r="AM554">
            <v>2046595.7844314838</v>
          </cell>
          <cell r="AN554">
            <v>2044554.2709430216</v>
          </cell>
          <cell r="AO554">
            <v>2042512.7574545594</v>
          </cell>
          <cell r="AP554">
            <v>2040471.2439660972</v>
          </cell>
          <cell r="AQ554">
            <v>2038429.7304776351</v>
          </cell>
          <cell r="AR554">
            <v>2036388.2169891729</v>
          </cell>
          <cell r="AS554">
            <v>2034346.7035007107</v>
          </cell>
          <cell r="AT554">
            <v>2032305.1900122485</v>
          </cell>
          <cell r="AU554">
            <v>2030263.6765237865</v>
          </cell>
          <cell r="AV554">
            <v>2028222.1630353241</v>
          </cell>
          <cell r="AW554">
            <v>2026180.6495468621</v>
          </cell>
          <cell r="AX554">
            <v>2024637.8110583571</v>
          </cell>
          <cell r="AY554">
            <v>2023094.9725698521</v>
          </cell>
          <cell r="AZ554">
            <v>2021552.1340813474</v>
          </cell>
          <cell r="BA554">
            <v>2020009.2955928426</v>
          </cell>
          <cell r="BB554">
            <v>2018466.4571043379</v>
          </cell>
          <cell r="BC554">
            <v>2016923.6186158333</v>
          </cell>
          <cell r="BD554">
            <v>2015380.7801273286</v>
          </cell>
          <cell r="BE554">
            <v>2013837.9416388238</v>
          </cell>
          <cell r="BF554">
            <v>2012295.1031503193</v>
          </cell>
          <cell r="BG554">
            <v>2010752.2646618146</v>
          </cell>
          <cell r="BH554">
            <v>2009209.42617331</v>
          </cell>
          <cell r="BI554">
            <v>2007666.5876848055</v>
          </cell>
          <cell r="BJ554">
            <v>2006123.7491963007</v>
          </cell>
          <cell r="BK554">
            <v>2004580.9107077962</v>
          </cell>
          <cell r="BL554">
            <v>2003038.0722192915</v>
          </cell>
          <cell r="BM554">
            <v>2001495.2337307869</v>
          </cell>
          <cell r="BN554">
            <v>1999952.3952422822</v>
          </cell>
          <cell r="BO554">
            <v>1998409.5567537777</v>
          </cell>
          <cell r="BP554">
            <v>1996866.7182652729</v>
          </cell>
          <cell r="BQ554">
            <v>1995323.8797767684</v>
          </cell>
        </row>
        <row r="555">
          <cell r="AE555">
            <v>271246.56124026712</v>
          </cell>
          <cell r="AF555">
            <v>271372.18137049471</v>
          </cell>
          <cell r="AG555">
            <v>271497.8015007223</v>
          </cell>
          <cell r="AH555">
            <v>271847.37986266846</v>
          </cell>
          <cell r="AI555">
            <v>272196.95822461456</v>
          </cell>
          <cell r="AJ555">
            <v>272546.53658656066</v>
          </cell>
          <cell r="AK555">
            <v>272896.11494850676</v>
          </cell>
          <cell r="AL555">
            <v>273223.64443154004</v>
          </cell>
          <cell r="AM555">
            <v>273551.17391457345</v>
          </cell>
          <cell r="AN555">
            <v>273878.70339760685</v>
          </cell>
          <cell r="AO555">
            <v>274206.23288064019</v>
          </cell>
          <cell r="AP555">
            <v>274533.76236367354</v>
          </cell>
          <cell r="AQ555">
            <v>274861.29184670688</v>
          </cell>
          <cell r="AR555">
            <v>275188.82132974028</v>
          </cell>
          <cell r="AS555">
            <v>275516.35081277363</v>
          </cell>
          <cell r="AT555">
            <v>275843.88029580697</v>
          </cell>
          <cell r="AU555">
            <v>276171.40977884032</v>
          </cell>
          <cell r="AV555">
            <v>276498.93926187372</v>
          </cell>
          <cell r="AW555">
            <v>276826.46874490706</v>
          </cell>
          <cell r="AX555">
            <v>277153.99822794046</v>
          </cell>
          <cell r="AY555">
            <v>277481.52771097375</v>
          </cell>
          <cell r="AZ555">
            <v>277809.05719400715</v>
          </cell>
          <cell r="BA555">
            <v>278136.58667704044</v>
          </cell>
          <cell r="BB555">
            <v>278464.11616007384</v>
          </cell>
          <cell r="BC555">
            <v>278791.64564310719</v>
          </cell>
          <cell r="BD555">
            <v>279119.17512614053</v>
          </cell>
          <cell r="BE555">
            <v>279446.70460917387</v>
          </cell>
          <cell r="BF555">
            <v>279774.23409220722</v>
          </cell>
          <cell r="BG555">
            <v>280101.76357524062</v>
          </cell>
          <cell r="BH555">
            <v>280429.29305827396</v>
          </cell>
          <cell r="BI555">
            <v>280756.82254130731</v>
          </cell>
          <cell r="BJ555">
            <v>281084.35202434065</v>
          </cell>
          <cell r="BK555">
            <v>281411.881507374</v>
          </cell>
          <cell r="BL555">
            <v>281739.4109904074</v>
          </cell>
          <cell r="BM555">
            <v>282066.94047344069</v>
          </cell>
          <cell r="BN555">
            <v>282394.46995647403</v>
          </cell>
          <cell r="BO555">
            <v>282721.99943950743</v>
          </cell>
          <cell r="BP555">
            <v>283049.52892254078</v>
          </cell>
          <cell r="BQ555">
            <v>283377.05840557412</v>
          </cell>
        </row>
        <row r="556">
          <cell r="AE556">
            <v>38718.002984087543</v>
          </cell>
          <cell r="AF556">
            <v>38718.002984087543</v>
          </cell>
          <cell r="AG556">
            <v>38718.002984087543</v>
          </cell>
          <cell r="AH556">
            <v>38718.002984087543</v>
          </cell>
          <cell r="AI556">
            <v>38718.002984087543</v>
          </cell>
          <cell r="AJ556">
            <v>38718.002984087543</v>
          </cell>
          <cell r="AK556">
            <v>38718.002984087543</v>
          </cell>
          <cell r="AL556">
            <v>38743.999391069934</v>
          </cell>
          <cell r="AM556">
            <v>38769.995798052332</v>
          </cell>
          <cell r="AN556">
            <v>38795.992205034723</v>
          </cell>
          <cell r="AO556">
            <v>38821.988612017114</v>
          </cell>
          <cell r="AP556">
            <v>38847.985018999512</v>
          </cell>
          <cell r="AQ556">
            <v>38873.981425981903</v>
          </cell>
          <cell r="AR556">
            <v>38899.977832964294</v>
          </cell>
          <cell r="AS556">
            <v>38925.974239946685</v>
          </cell>
          <cell r="AT556">
            <v>38951.970646929083</v>
          </cell>
          <cell r="AU556">
            <v>38977.967053911474</v>
          </cell>
          <cell r="AV556">
            <v>39003.963460893865</v>
          </cell>
          <cell r="AW556">
            <v>39029.959867876263</v>
          </cell>
          <cell r="AX556">
            <v>39055.956274858654</v>
          </cell>
          <cell r="AY556">
            <v>39081.952681841045</v>
          </cell>
          <cell r="AZ556">
            <v>39107.949088823443</v>
          </cell>
          <cell r="BA556">
            <v>39133.945495805834</v>
          </cell>
          <cell r="BB556">
            <v>39159.941902788225</v>
          </cell>
          <cell r="BC556">
            <v>39185.938309770623</v>
          </cell>
          <cell r="BD556">
            <v>39211.934716753014</v>
          </cell>
          <cell r="BE556">
            <v>39237.931123735405</v>
          </cell>
          <cell r="BF556">
            <v>39263.927530717796</v>
          </cell>
          <cell r="BG556">
            <v>39289.923937700187</v>
          </cell>
          <cell r="BH556">
            <v>39315.920344682585</v>
          </cell>
          <cell r="BI556">
            <v>39341.916751664976</v>
          </cell>
          <cell r="BJ556">
            <v>39367.913158647367</v>
          </cell>
          <cell r="BK556">
            <v>39393.909565629765</v>
          </cell>
          <cell r="BL556">
            <v>39419.905972612156</v>
          </cell>
          <cell r="BM556">
            <v>39445.902379594547</v>
          </cell>
          <cell r="BN556">
            <v>39471.898786576938</v>
          </cell>
          <cell r="BO556">
            <v>39497.895193559336</v>
          </cell>
          <cell r="BP556">
            <v>39523.891600541727</v>
          </cell>
          <cell r="BQ556">
            <v>39549.888007524118</v>
          </cell>
        </row>
        <row r="557">
          <cell r="AE557">
            <v>91537.108006573035</v>
          </cell>
          <cell r="AF557">
            <v>91537.108006573035</v>
          </cell>
          <cell r="AG557">
            <v>91537.108006573035</v>
          </cell>
          <cell r="AH557">
            <v>91537.108006573035</v>
          </cell>
          <cell r="AI557">
            <v>91537.108006573035</v>
          </cell>
          <cell r="AJ557">
            <v>91537.108006573035</v>
          </cell>
          <cell r="AK557">
            <v>91537.108006573035</v>
          </cell>
          <cell r="AL557">
            <v>91537.108006573035</v>
          </cell>
          <cell r="AM557">
            <v>91537.108006573035</v>
          </cell>
          <cell r="AN557">
            <v>91537.108006573035</v>
          </cell>
          <cell r="AO557">
            <v>91537.108006573035</v>
          </cell>
          <cell r="AP557">
            <v>91537.108006573035</v>
          </cell>
          <cell r="AQ557">
            <v>91537.108006573035</v>
          </cell>
          <cell r="AR557">
            <v>91537.108006573035</v>
          </cell>
          <cell r="AS557">
            <v>91537.108006573035</v>
          </cell>
          <cell r="AT557">
            <v>91537.108006573035</v>
          </cell>
          <cell r="AU557">
            <v>91537.108006573035</v>
          </cell>
          <cell r="AV557">
            <v>91537.108006573035</v>
          </cell>
          <cell r="AW557">
            <v>91537.108006573035</v>
          </cell>
          <cell r="AX557">
            <v>91537.108006573035</v>
          </cell>
          <cell r="AY557">
            <v>91537.108006573035</v>
          </cell>
          <cell r="AZ557">
            <v>91537.108006573035</v>
          </cell>
          <cell r="BA557">
            <v>91537.108006573035</v>
          </cell>
          <cell r="BB557">
            <v>91537.108006573035</v>
          </cell>
          <cell r="BC557">
            <v>91537.108006573035</v>
          </cell>
          <cell r="BD557">
            <v>91537.108006573035</v>
          </cell>
          <cell r="BE557">
            <v>91537.108006573035</v>
          </cell>
          <cell r="BF557">
            <v>91537.108006573035</v>
          </cell>
          <cell r="BG557">
            <v>91537.108006573035</v>
          </cell>
          <cell r="BH557">
            <v>91537.108006573035</v>
          </cell>
          <cell r="BI557">
            <v>91537.108006573035</v>
          </cell>
          <cell r="BJ557">
            <v>91537.108006573035</v>
          </cell>
          <cell r="BK557">
            <v>91537.108006573035</v>
          </cell>
          <cell r="BL557">
            <v>91537.108006573035</v>
          </cell>
          <cell r="BM557">
            <v>91537.108006573035</v>
          </cell>
          <cell r="BN557">
            <v>91537.108006573035</v>
          </cell>
          <cell r="BO557">
            <v>91537.108006573035</v>
          </cell>
          <cell r="BP557">
            <v>91537.108006573035</v>
          </cell>
          <cell r="BQ557">
            <v>91537.108006573035</v>
          </cell>
        </row>
        <row r="558">
          <cell r="AE558">
            <v>45569.714076613083</v>
          </cell>
          <cell r="AF558">
            <v>45666.022187618808</v>
          </cell>
          <cell r="AG558">
            <v>45762.330298624533</v>
          </cell>
          <cell r="AH558">
            <v>45858.638409630257</v>
          </cell>
          <cell r="AI558">
            <v>45954.946520635982</v>
          </cell>
          <cell r="AJ558">
            <v>46051.254631641707</v>
          </cell>
          <cell r="AK558">
            <v>46147.562742647431</v>
          </cell>
          <cell r="AL558">
            <v>46240.210276657112</v>
          </cell>
          <cell r="AM558">
            <v>46332.857810666792</v>
          </cell>
          <cell r="AN558">
            <v>46425.505344676487</v>
          </cell>
          <cell r="AO558">
            <v>46518.152878686167</v>
          </cell>
          <cell r="AP558">
            <v>46610.800412695848</v>
          </cell>
          <cell r="AQ558">
            <v>46703.447946705528</v>
          </cell>
          <cell r="AR558">
            <v>46796.095480715208</v>
          </cell>
          <cell r="AS558">
            <v>46888.743014724896</v>
          </cell>
          <cell r="AT558">
            <v>46981.390548734576</v>
          </cell>
          <cell r="AU558">
            <v>47074.038082744257</v>
          </cell>
          <cell r="AV558">
            <v>47166.685616753937</v>
          </cell>
          <cell r="AW558">
            <v>47259.333150763618</v>
          </cell>
          <cell r="AX558">
            <v>47351.980684773305</v>
          </cell>
          <cell r="AY558">
            <v>47444.628218782986</v>
          </cell>
          <cell r="AZ558">
            <v>47537.275752792666</v>
          </cell>
          <cell r="BA558">
            <v>47629.923286802346</v>
          </cell>
          <cell r="BB558">
            <v>47722.570820812034</v>
          </cell>
          <cell r="BC558">
            <v>47815.218354821714</v>
          </cell>
          <cell r="BD558">
            <v>47907.865888831395</v>
          </cell>
          <cell r="BE558">
            <v>48000.513422841083</v>
          </cell>
          <cell r="BF558">
            <v>48093.160956850763</v>
          </cell>
          <cell r="BG558">
            <v>48185.808490860443</v>
          </cell>
          <cell r="BH558">
            <v>48278.456024870131</v>
          </cell>
          <cell r="BI558">
            <v>48371.103558879811</v>
          </cell>
          <cell r="BJ558">
            <v>48463.751092889499</v>
          </cell>
          <cell r="BK558">
            <v>48556.398626899179</v>
          </cell>
          <cell r="BL558">
            <v>48649.04616090886</v>
          </cell>
          <cell r="BM558">
            <v>48741.693694918547</v>
          </cell>
          <cell r="BN558">
            <v>48834.341228928228</v>
          </cell>
          <cell r="BO558">
            <v>48926.988762937908</v>
          </cell>
          <cell r="BP558">
            <v>49019.636296947596</v>
          </cell>
          <cell r="BQ558">
            <v>49112.283830957276</v>
          </cell>
        </row>
        <row r="559">
          <cell r="AE559">
            <v>0</v>
          </cell>
          <cell r="AF559">
            <v>0</v>
          </cell>
          <cell r="AG559">
            <v>0</v>
          </cell>
          <cell r="AH559">
            <v>0</v>
          </cell>
          <cell r="AI559">
            <v>0</v>
          </cell>
          <cell r="AJ559">
            <v>0</v>
          </cell>
          <cell r="AK559">
            <v>0</v>
          </cell>
          <cell r="AL559">
            <v>0</v>
          </cell>
          <cell r="AM559">
            <v>0</v>
          </cell>
          <cell r="AN559">
            <v>0</v>
          </cell>
          <cell r="AO559">
            <v>0</v>
          </cell>
          <cell r="AP559">
            <v>0</v>
          </cell>
          <cell r="AQ559">
            <v>0</v>
          </cell>
          <cell r="AR559">
            <v>0</v>
          </cell>
          <cell r="AS559">
            <v>0</v>
          </cell>
          <cell r="AT559">
            <v>0</v>
          </cell>
          <cell r="AU559">
            <v>0</v>
          </cell>
          <cell r="AV559">
            <v>0</v>
          </cell>
          <cell r="AW559">
            <v>0</v>
          </cell>
          <cell r="AX559">
            <v>0</v>
          </cell>
          <cell r="AY559">
            <v>0</v>
          </cell>
          <cell r="AZ559">
            <v>0</v>
          </cell>
          <cell r="BA559">
            <v>0</v>
          </cell>
          <cell r="BB559">
            <v>0</v>
          </cell>
          <cell r="BC559">
            <v>0</v>
          </cell>
          <cell r="BD559">
            <v>0</v>
          </cell>
          <cell r="BE559">
            <v>0</v>
          </cell>
          <cell r="BF559">
            <v>0</v>
          </cell>
          <cell r="BG559">
            <v>0</v>
          </cell>
          <cell r="BH559">
            <v>0</v>
          </cell>
          <cell r="BI559">
            <v>0</v>
          </cell>
          <cell r="BJ559">
            <v>0</v>
          </cell>
          <cell r="BK559">
            <v>0</v>
          </cell>
          <cell r="BL559">
            <v>0</v>
          </cell>
          <cell r="BM559">
            <v>0</v>
          </cell>
          <cell r="BN559">
            <v>0</v>
          </cell>
          <cell r="BO559">
            <v>0</v>
          </cell>
          <cell r="BP559">
            <v>0</v>
          </cell>
          <cell r="BQ559">
            <v>0</v>
          </cell>
        </row>
        <row r="560">
          <cell r="AE560">
            <v>0</v>
          </cell>
          <cell r="AF560">
            <v>0</v>
          </cell>
          <cell r="AG560">
            <v>0</v>
          </cell>
          <cell r="AH560">
            <v>0</v>
          </cell>
          <cell r="AI560">
            <v>0</v>
          </cell>
          <cell r="AJ560">
            <v>0</v>
          </cell>
          <cell r="AK560">
            <v>0</v>
          </cell>
          <cell r="AL560">
            <v>0</v>
          </cell>
          <cell r="AM560">
            <v>0</v>
          </cell>
          <cell r="AN560">
            <v>0</v>
          </cell>
          <cell r="AO560">
            <v>0</v>
          </cell>
          <cell r="AP560">
            <v>0</v>
          </cell>
          <cell r="AQ560">
            <v>0</v>
          </cell>
          <cell r="AR560">
            <v>0</v>
          </cell>
          <cell r="AS560">
            <v>0</v>
          </cell>
          <cell r="AT560">
            <v>0</v>
          </cell>
          <cell r="AU560">
            <v>0</v>
          </cell>
          <cell r="AV560">
            <v>0</v>
          </cell>
          <cell r="AW560">
            <v>0</v>
          </cell>
          <cell r="AX560">
            <v>0</v>
          </cell>
          <cell r="AY560">
            <v>0</v>
          </cell>
          <cell r="AZ560">
            <v>0</v>
          </cell>
          <cell r="BA560">
            <v>0</v>
          </cell>
          <cell r="BB560">
            <v>0</v>
          </cell>
          <cell r="BC560">
            <v>0</v>
          </cell>
          <cell r="BD560">
            <v>0</v>
          </cell>
          <cell r="BE560">
            <v>0</v>
          </cell>
          <cell r="BF560">
            <v>0</v>
          </cell>
          <cell r="BG560">
            <v>0</v>
          </cell>
          <cell r="BH560">
            <v>0</v>
          </cell>
          <cell r="BI560">
            <v>0</v>
          </cell>
          <cell r="BJ560">
            <v>0</v>
          </cell>
          <cell r="BK560">
            <v>0</v>
          </cell>
          <cell r="BL560">
            <v>0</v>
          </cell>
          <cell r="BM560">
            <v>0</v>
          </cell>
          <cell r="BN560">
            <v>0</v>
          </cell>
          <cell r="BO560">
            <v>0</v>
          </cell>
          <cell r="BP560">
            <v>0</v>
          </cell>
          <cell r="BQ560">
            <v>0</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theme/theme1.xml><?xml version="1.0" encoding="utf-8"?>
<a:theme xmlns:a="http://schemas.openxmlformats.org/drawingml/2006/main" name="Office Theme">
  <a:themeElements>
    <a:clrScheme name="Aether">
      <a:dk1>
        <a:sysClr val="windowText" lastClr="000000"/>
      </a:dk1>
      <a:lt1>
        <a:sysClr val="window" lastClr="FFFFFF"/>
      </a:lt1>
      <a:dk2>
        <a:srgbClr val="44546A"/>
      </a:dk2>
      <a:lt2>
        <a:srgbClr val="0096C8"/>
      </a:lt2>
      <a:accent1>
        <a:srgbClr val="0096C8"/>
      </a:accent1>
      <a:accent2>
        <a:srgbClr val="ED7D31"/>
      </a:accent2>
      <a:accent3>
        <a:srgbClr val="A5A5A5"/>
      </a:accent3>
      <a:accent4>
        <a:srgbClr val="1F3864"/>
      </a:accent4>
      <a:accent5>
        <a:srgbClr val="954F72"/>
      </a:accent5>
      <a:accent6>
        <a:srgbClr val="C55A11"/>
      </a:accent6>
      <a:hlink>
        <a:srgbClr val="0070C0"/>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D36"/>
  <sheetViews>
    <sheetView workbookViewId="0">
      <selection activeCell="G1" sqref="G1"/>
    </sheetView>
  </sheetViews>
  <sheetFormatPr defaultRowHeight="15" x14ac:dyDescent="0.25"/>
  <cols>
    <col min="1" max="1" width="24.28515625" customWidth="1"/>
    <col min="2" max="2" width="18" customWidth="1"/>
    <col min="3" max="3" width="20.42578125" customWidth="1"/>
    <col min="4" max="4" width="37.28515625" customWidth="1"/>
  </cols>
  <sheetData>
    <row r="1" spans="1:4" ht="18.75" x14ac:dyDescent="0.3">
      <c r="A1" s="1" t="s">
        <v>809</v>
      </c>
    </row>
    <row r="3" spans="1:4" ht="15.75" x14ac:dyDescent="0.25">
      <c r="A3" s="20" t="s">
        <v>699</v>
      </c>
      <c r="B3" s="20"/>
      <c r="C3" s="20"/>
      <c r="D3" s="20"/>
    </row>
    <row r="4" spans="1:4" x14ac:dyDescent="0.25">
      <c r="A4" s="42" t="s">
        <v>697</v>
      </c>
      <c r="B4" s="42" t="s">
        <v>700</v>
      </c>
      <c r="C4" s="42" t="s">
        <v>701</v>
      </c>
      <c r="D4" s="42" t="s">
        <v>283</v>
      </c>
    </row>
    <row r="5" spans="1:4" x14ac:dyDescent="0.25">
      <c r="A5" t="s">
        <v>698</v>
      </c>
      <c r="B5" t="s">
        <v>702</v>
      </c>
      <c r="C5" t="s">
        <v>704</v>
      </c>
      <c r="D5" s="14"/>
    </row>
    <row r="6" spans="1:4" ht="30" x14ac:dyDescent="0.25">
      <c r="A6" t="s">
        <v>715</v>
      </c>
      <c r="B6" t="s">
        <v>702</v>
      </c>
      <c r="C6" t="s">
        <v>743</v>
      </c>
      <c r="D6" s="14" t="s">
        <v>716</v>
      </c>
    </row>
    <row r="7" spans="1:4" ht="75" x14ac:dyDescent="0.25">
      <c r="A7" t="s">
        <v>806</v>
      </c>
      <c r="B7" t="s">
        <v>702</v>
      </c>
      <c r="C7" t="s">
        <v>807</v>
      </c>
      <c r="D7" s="14" t="s">
        <v>808</v>
      </c>
    </row>
    <row r="8" spans="1:4" x14ac:dyDescent="0.25">
      <c r="A8" t="s">
        <v>811</v>
      </c>
      <c r="B8" t="s">
        <v>702</v>
      </c>
      <c r="C8" t="s">
        <v>812</v>
      </c>
      <c r="D8" s="14" t="s">
        <v>813</v>
      </c>
    </row>
    <row r="9" spans="1:4" ht="30" x14ac:dyDescent="0.25">
      <c r="A9" t="s">
        <v>856</v>
      </c>
      <c r="B9" t="s">
        <v>702</v>
      </c>
      <c r="C9" t="s">
        <v>857</v>
      </c>
      <c r="D9" s="14" t="s">
        <v>858</v>
      </c>
    </row>
    <row r="10" spans="1:4" ht="60" x14ac:dyDescent="0.25">
      <c r="A10" t="s">
        <v>859</v>
      </c>
      <c r="B10" t="s">
        <v>702</v>
      </c>
      <c r="C10" t="s">
        <v>860</v>
      </c>
      <c r="D10" s="14" t="s">
        <v>862</v>
      </c>
    </row>
    <row r="11" spans="1:4" ht="30" x14ac:dyDescent="0.25">
      <c r="A11" t="s">
        <v>861</v>
      </c>
      <c r="B11" t="s">
        <v>702</v>
      </c>
      <c r="C11" t="s">
        <v>860</v>
      </c>
      <c r="D11" s="14" t="s">
        <v>869</v>
      </c>
    </row>
    <row r="15" spans="1:4" ht="15.75" x14ac:dyDescent="0.25">
      <c r="A15" s="20" t="s">
        <v>703</v>
      </c>
      <c r="B15" s="20"/>
      <c r="C15" s="20"/>
      <c r="D15" s="20"/>
    </row>
    <row r="16" spans="1:4" x14ac:dyDescent="0.25">
      <c r="A16" s="42" t="s">
        <v>697</v>
      </c>
      <c r="B16" s="89" t="s">
        <v>706</v>
      </c>
      <c r="C16" s="89"/>
      <c r="D16" s="42" t="s">
        <v>283</v>
      </c>
    </row>
    <row r="17" spans="1:4" ht="51" customHeight="1" x14ac:dyDescent="0.25">
      <c r="A17" s="58" t="s">
        <v>7</v>
      </c>
      <c r="B17" s="88" t="s">
        <v>707</v>
      </c>
      <c r="C17" s="88"/>
      <c r="D17" s="29"/>
    </row>
    <row r="18" spans="1:4" ht="75" x14ac:dyDescent="0.25">
      <c r="A18" s="59" t="s">
        <v>316</v>
      </c>
      <c r="B18" s="88" t="s">
        <v>864</v>
      </c>
      <c r="C18" s="88"/>
      <c r="D18" s="60" t="s">
        <v>865</v>
      </c>
    </row>
    <row r="19" spans="1:4" ht="45" customHeight="1" x14ac:dyDescent="0.25">
      <c r="A19" s="63" t="s">
        <v>863</v>
      </c>
      <c r="B19" s="88" t="s">
        <v>790</v>
      </c>
      <c r="C19" s="88"/>
      <c r="D19" s="60"/>
    </row>
    <row r="20" spans="1:4" ht="99" customHeight="1" x14ac:dyDescent="0.25">
      <c r="A20" s="103" t="s">
        <v>866</v>
      </c>
      <c r="B20" s="104" t="s">
        <v>867</v>
      </c>
      <c r="C20" s="105"/>
      <c r="D20" s="60"/>
    </row>
    <row r="21" spans="1:4" x14ac:dyDescent="0.25">
      <c r="A21" s="61" t="s">
        <v>8</v>
      </c>
      <c r="B21" s="88" t="s">
        <v>736</v>
      </c>
      <c r="C21" s="88"/>
      <c r="D21" s="29"/>
    </row>
    <row r="22" spans="1:4" ht="75" x14ac:dyDescent="0.25">
      <c r="A22" s="62" t="s">
        <v>792</v>
      </c>
      <c r="B22" s="88" t="s">
        <v>791</v>
      </c>
      <c r="C22" s="88"/>
      <c r="D22" s="86" t="s">
        <v>737</v>
      </c>
    </row>
    <row r="23" spans="1:4" ht="90" x14ac:dyDescent="0.25">
      <c r="A23" s="64" t="s">
        <v>142</v>
      </c>
      <c r="B23" s="88" t="s">
        <v>868</v>
      </c>
      <c r="C23" s="88"/>
      <c r="D23" s="60" t="s">
        <v>810</v>
      </c>
    </row>
    <row r="24" spans="1:4" ht="63" customHeight="1" x14ac:dyDescent="0.25">
      <c r="A24" s="64" t="s">
        <v>279</v>
      </c>
      <c r="B24" s="88" t="s">
        <v>738</v>
      </c>
      <c r="C24" s="88"/>
      <c r="D24" s="60" t="s">
        <v>739</v>
      </c>
    </row>
    <row r="25" spans="1:4" ht="46.5" customHeight="1" x14ac:dyDescent="0.25">
      <c r="A25" s="64" t="s">
        <v>705</v>
      </c>
      <c r="B25" s="88" t="s">
        <v>740</v>
      </c>
      <c r="C25" s="88"/>
      <c r="D25" s="29"/>
    </row>
    <row r="26" spans="1:4" x14ac:dyDescent="0.25">
      <c r="A26" s="64" t="s">
        <v>793</v>
      </c>
      <c r="B26" s="88" t="s">
        <v>741</v>
      </c>
      <c r="C26" s="88"/>
      <c r="D26" s="29"/>
    </row>
    <row r="27" spans="1:4" x14ac:dyDescent="0.25">
      <c r="A27" s="65" t="s">
        <v>794</v>
      </c>
      <c r="B27" s="88" t="s">
        <v>742</v>
      </c>
      <c r="C27" s="88"/>
      <c r="D27" s="29"/>
    </row>
    <row r="30" spans="1:4" ht="15.75" x14ac:dyDescent="0.25">
      <c r="A30" s="20" t="s">
        <v>708</v>
      </c>
      <c r="B30" s="93" t="s">
        <v>283</v>
      </c>
      <c r="C30" s="93"/>
    </row>
    <row r="31" spans="1:4" ht="50.25" customHeight="1" x14ac:dyDescent="0.25">
      <c r="A31" s="66" t="s">
        <v>324</v>
      </c>
      <c r="B31" s="94" t="s">
        <v>713</v>
      </c>
      <c r="C31" s="94"/>
    </row>
    <row r="32" spans="1:4" x14ac:dyDescent="0.25">
      <c r="A32" s="67" t="s">
        <v>709</v>
      </c>
      <c r="B32" s="92"/>
      <c r="C32" s="92"/>
    </row>
    <row r="33" spans="1:3" x14ac:dyDescent="0.25">
      <c r="A33" s="68" t="s">
        <v>710</v>
      </c>
      <c r="B33" s="92" t="s">
        <v>712</v>
      </c>
      <c r="C33" s="92"/>
    </row>
    <row r="34" spans="1:3" x14ac:dyDescent="0.25">
      <c r="A34" s="69" t="s">
        <v>714</v>
      </c>
      <c r="B34" s="90"/>
      <c r="C34" s="91"/>
    </row>
    <row r="35" spans="1:3" x14ac:dyDescent="0.25">
      <c r="A35" s="70" t="s">
        <v>720</v>
      </c>
      <c r="B35" s="90"/>
      <c r="C35" s="91"/>
    </row>
    <row r="36" spans="1:3" x14ac:dyDescent="0.25">
      <c r="A36" s="71" t="s">
        <v>721</v>
      </c>
      <c r="B36" s="90"/>
      <c r="C36" s="91"/>
    </row>
  </sheetData>
  <mergeCells count="19">
    <mergeCell ref="B34:C34"/>
    <mergeCell ref="B35:C35"/>
    <mergeCell ref="B36:C36"/>
    <mergeCell ref="B25:C25"/>
    <mergeCell ref="B26:C26"/>
    <mergeCell ref="B27:C27"/>
    <mergeCell ref="B33:C33"/>
    <mergeCell ref="B30:C30"/>
    <mergeCell ref="B31:C31"/>
    <mergeCell ref="B32:C32"/>
    <mergeCell ref="B22:C22"/>
    <mergeCell ref="B19:C19"/>
    <mergeCell ref="B23:C23"/>
    <mergeCell ref="B24:C24"/>
    <mergeCell ref="B16:C16"/>
    <mergeCell ref="B17:C17"/>
    <mergeCell ref="B18:C18"/>
    <mergeCell ref="B21:C21"/>
    <mergeCell ref="B20:C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82"/>
  <sheetViews>
    <sheetView topLeftCell="A4" workbookViewId="0">
      <selection activeCell="F69" sqref="F69"/>
    </sheetView>
  </sheetViews>
  <sheetFormatPr defaultRowHeight="15" x14ac:dyDescent="0.25"/>
  <cols>
    <col min="1" max="1" width="44.42578125" customWidth="1"/>
    <col min="2" max="2" width="46.42578125" customWidth="1"/>
    <col min="3" max="3" width="37.42578125" customWidth="1"/>
    <col min="4" max="4" width="41" customWidth="1"/>
    <col min="6" max="6" width="35.7109375" customWidth="1"/>
  </cols>
  <sheetData>
    <row r="1" spans="1:6" ht="18.75" x14ac:dyDescent="0.3">
      <c r="A1" s="1" t="s">
        <v>7</v>
      </c>
    </row>
    <row r="3" spans="1:6" ht="17.25" x14ac:dyDescent="0.3">
      <c r="A3" s="96" t="s">
        <v>11</v>
      </c>
      <c r="B3" s="97"/>
      <c r="C3" s="97"/>
      <c r="D3" s="98"/>
    </row>
    <row r="4" spans="1:6" ht="15.75" x14ac:dyDescent="0.25">
      <c r="A4" s="2" t="s">
        <v>12</v>
      </c>
      <c r="B4" s="2" t="s">
        <v>13</v>
      </c>
      <c r="C4" s="2" t="s">
        <v>14</v>
      </c>
      <c r="D4" s="2" t="s">
        <v>70</v>
      </c>
      <c r="F4" s="10" t="s">
        <v>96</v>
      </c>
    </row>
    <row r="5" spans="1:6" ht="15" customHeight="1" x14ac:dyDescent="0.25">
      <c r="A5" s="8" t="s">
        <v>15</v>
      </c>
      <c r="B5" s="4" t="s">
        <v>16</v>
      </c>
      <c r="C5" s="3" t="s">
        <v>17</v>
      </c>
      <c r="D5" s="3" t="s">
        <v>6</v>
      </c>
      <c r="F5" t="s">
        <v>97</v>
      </c>
    </row>
    <row r="6" spans="1:6" ht="15" customHeight="1" x14ac:dyDescent="0.25">
      <c r="A6" s="8"/>
      <c r="B6" s="4"/>
      <c r="C6" s="3"/>
      <c r="D6" s="3" t="s">
        <v>67</v>
      </c>
      <c r="F6" t="s">
        <v>98</v>
      </c>
    </row>
    <row r="7" spans="1:6" x14ac:dyDescent="0.25">
      <c r="A7" s="6"/>
      <c r="B7" s="4"/>
      <c r="C7" s="3" t="s">
        <v>18</v>
      </c>
      <c r="D7" s="3"/>
      <c r="F7" t="s">
        <v>99</v>
      </c>
    </row>
    <row r="8" spans="1:6" x14ac:dyDescent="0.25">
      <c r="A8" s="6"/>
      <c r="B8" s="4"/>
      <c r="C8" s="3" t="s">
        <v>19</v>
      </c>
      <c r="D8" s="3"/>
      <c r="F8" t="s">
        <v>100</v>
      </c>
    </row>
    <row r="9" spans="1:6" x14ac:dyDescent="0.25">
      <c r="A9" s="6"/>
      <c r="B9" s="4"/>
      <c r="C9" s="3" t="s">
        <v>20</v>
      </c>
      <c r="D9" s="3"/>
      <c r="F9" t="s">
        <v>101</v>
      </c>
    </row>
    <row r="10" spans="1:6" x14ac:dyDescent="0.25">
      <c r="A10" s="6"/>
      <c r="B10" s="4"/>
      <c r="C10" s="3" t="s">
        <v>140</v>
      </c>
      <c r="D10" s="3"/>
      <c r="F10" t="s">
        <v>102</v>
      </c>
    </row>
    <row r="11" spans="1:6" x14ac:dyDescent="0.25">
      <c r="A11" s="6"/>
      <c r="B11" s="4"/>
      <c r="C11" s="3" t="s">
        <v>21</v>
      </c>
      <c r="D11" s="3"/>
      <c r="F11" t="s">
        <v>103</v>
      </c>
    </row>
    <row r="12" spans="1:6" x14ac:dyDescent="0.25">
      <c r="A12" s="6"/>
      <c r="B12" s="4" t="s">
        <v>22</v>
      </c>
      <c r="C12" s="3" t="s">
        <v>23</v>
      </c>
      <c r="D12" s="3" t="s">
        <v>68</v>
      </c>
      <c r="F12" t="s">
        <v>104</v>
      </c>
    </row>
    <row r="13" spans="1:6" x14ac:dyDescent="0.25">
      <c r="A13" s="6"/>
      <c r="B13" s="4"/>
      <c r="C13" s="3"/>
      <c r="D13" s="3" t="s">
        <v>69</v>
      </c>
      <c r="F13" t="s">
        <v>105</v>
      </c>
    </row>
    <row r="14" spans="1:6" x14ac:dyDescent="0.25">
      <c r="A14" s="6"/>
      <c r="B14" s="4"/>
      <c r="C14" s="3" t="s">
        <v>24</v>
      </c>
      <c r="D14" s="3"/>
      <c r="F14" t="s">
        <v>106</v>
      </c>
    </row>
    <row r="15" spans="1:6" x14ac:dyDescent="0.25">
      <c r="A15" s="6"/>
      <c r="B15" s="4"/>
      <c r="C15" s="3" t="s">
        <v>25</v>
      </c>
      <c r="D15" s="3"/>
      <c r="F15" t="s">
        <v>107</v>
      </c>
    </row>
    <row r="16" spans="1:6" x14ac:dyDescent="0.25">
      <c r="A16" s="6"/>
      <c r="B16" s="4"/>
      <c r="C16" s="3" t="s">
        <v>26</v>
      </c>
      <c r="D16" s="3"/>
      <c r="F16" t="s">
        <v>108</v>
      </c>
    </row>
    <row r="17" spans="1:6" x14ac:dyDescent="0.25">
      <c r="A17" s="6"/>
      <c r="B17" s="4"/>
      <c r="C17" s="3" t="s">
        <v>141</v>
      </c>
      <c r="D17" s="3"/>
      <c r="F17" t="s">
        <v>110</v>
      </c>
    </row>
    <row r="18" spans="1:6" x14ac:dyDescent="0.25">
      <c r="A18" s="6"/>
      <c r="B18" s="4"/>
      <c r="C18" s="3" t="s">
        <v>27</v>
      </c>
      <c r="D18" s="3"/>
      <c r="F18" t="s">
        <v>111</v>
      </c>
    </row>
    <row r="19" spans="1:6" x14ac:dyDescent="0.25">
      <c r="A19" s="6"/>
      <c r="B19" s="4"/>
      <c r="C19" s="3" t="s">
        <v>28</v>
      </c>
      <c r="D19" s="3"/>
      <c r="F19" t="s">
        <v>112</v>
      </c>
    </row>
    <row r="20" spans="1:6" x14ac:dyDescent="0.25">
      <c r="A20" s="6"/>
      <c r="B20" s="4" t="s">
        <v>663</v>
      </c>
      <c r="C20" s="3" t="s">
        <v>23</v>
      </c>
      <c r="D20" s="3" t="s">
        <v>68</v>
      </c>
      <c r="F20" t="s">
        <v>113</v>
      </c>
    </row>
    <row r="21" spans="1:6" x14ac:dyDescent="0.25">
      <c r="A21" s="6"/>
      <c r="B21" s="4"/>
      <c r="C21" s="3"/>
      <c r="D21" s="3" t="s">
        <v>69</v>
      </c>
      <c r="F21" t="s">
        <v>114</v>
      </c>
    </row>
    <row r="22" spans="1:6" x14ac:dyDescent="0.25">
      <c r="A22" s="6"/>
      <c r="B22" s="4"/>
      <c r="C22" s="3" t="s">
        <v>24</v>
      </c>
      <c r="D22" s="3"/>
      <c r="F22" t="s">
        <v>115</v>
      </c>
    </row>
    <row r="23" spans="1:6" x14ac:dyDescent="0.25">
      <c r="A23" s="6"/>
      <c r="B23" s="4"/>
      <c r="C23" s="3" t="s">
        <v>25</v>
      </c>
      <c r="D23" s="3"/>
      <c r="F23" t="s">
        <v>116</v>
      </c>
    </row>
    <row r="24" spans="1:6" x14ac:dyDescent="0.25">
      <c r="A24" s="6"/>
      <c r="B24" s="4"/>
      <c r="C24" s="3" t="s">
        <v>26</v>
      </c>
      <c r="D24" s="3"/>
      <c r="F24" t="s">
        <v>117</v>
      </c>
    </row>
    <row r="25" spans="1:6" x14ac:dyDescent="0.25">
      <c r="A25" s="6"/>
      <c r="B25" s="4"/>
      <c r="C25" s="3" t="s">
        <v>141</v>
      </c>
      <c r="D25" s="3"/>
      <c r="F25" t="s">
        <v>118</v>
      </c>
    </row>
    <row r="26" spans="1:6" x14ac:dyDescent="0.25">
      <c r="A26" s="6"/>
      <c r="B26" s="4"/>
      <c r="C26" s="3" t="s">
        <v>27</v>
      </c>
      <c r="D26" s="3"/>
      <c r="F26" t="s">
        <v>119</v>
      </c>
    </row>
    <row r="27" spans="1:6" x14ac:dyDescent="0.25">
      <c r="A27" s="6"/>
      <c r="B27" s="4"/>
      <c r="C27" s="3" t="s">
        <v>28</v>
      </c>
      <c r="D27" s="3"/>
      <c r="F27" t="s">
        <v>62</v>
      </c>
    </row>
    <row r="28" spans="1:6" ht="16.5" customHeight="1" x14ac:dyDescent="0.25">
      <c r="A28" s="8" t="s">
        <v>29</v>
      </c>
      <c r="B28" s="4" t="s">
        <v>30</v>
      </c>
      <c r="C28" s="3" t="s">
        <v>31</v>
      </c>
      <c r="D28" s="3"/>
      <c r="F28" t="s">
        <v>63</v>
      </c>
    </row>
    <row r="29" spans="1:6" x14ac:dyDescent="0.25">
      <c r="A29" s="6"/>
      <c r="B29" s="4"/>
      <c r="C29" s="3" t="s">
        <v>32</v>
      </c>
      <c r="D29" s="3" t="s">
        <v>71</v>
      </c>
      <c r="F29" t="s">
        <v>120</v>
      </c>
    </row>
    <row r="30" spans="1:6" x14ac:dyDescent="0.25">
      <c r="A30" s="6"/>
      <c r="B30" s="4"/>
      <c r="C30" s="3"/>
      <c r="D30" s="3" t="s">
        <v>72</v>
      </c>
    </row>
    <row r="31" spans="1:6" x14ac:dyDescent="0.25">
      <c r="A31" s="6"/>
      <c r="B31" s="4"/>
      <c r="C31" s="3"/>
      <c r="D31" s="3" t="s">
        <v>73</v>
      </c>
      <c r="F31" t="s">
        <v>1</v>
      </c>
    </row>
    <row r="32" spans="1:6" x14ac:dyDescent="0.25">
      <c r="A32" s="6"/>
      <c r="B32" s="4"/>
      <c r="C32" s="3"/>
      <c r="D32" s="3" t="s">
        <v>74</v>
      </c>
      <c r="F32" t="s">
        <v>97</v>
      </c>
    </row>
    <row r="33" spans="1:6" x14ac:dyDescent="0.25">
      <c r="A33" s="6"/>
      <c r="B33" s="4"/>
      <c r="C33" s="3"/>
      <c r="D33" s="3" t="s">
        <v>75</v>
      </c>
      <c r="F33" t="s">
        <v>98</v>
      </c>
    </row>
    <row r="34" spans="1:6" x14ac:dyDescent="0.25">
      <c r="A34" s="6"/>
      <c r="B34" s="4" t="s">
        <v>33</v>
      </c>
      <c r="C34" s="3" t="s">
        <v>34</v>
      </c>
      <c r="D34" s="3"/>
    </row>
    <row r="35" spans="1:6" x14ac:dyDescent="0.25">
      <c r="A35" s="6"/>
      <c r="B35" s="4"/>
      <c r="C35" s="3" t="s">
        <v>35</v>
      </c>
      <c r="D35" s="3" t="s">
        <v>76</v>
      </c>
    </row>
    <row r="36" spans="1:6" x14ac:dyDescent="0.25">
      <c r="A36" s="6"/>
      <c r="B36" s="4"/>
      <c r="C36" s="3"/>
      <c r="D36" s="3" t="s">
        <v>77</v>
      </c>
      <c r="F36" t="s">
        <v>122</v>
      </c>
    </row>
    <row r="37" spans="1:6" x14ac:dyDescent="0.25">
      <c r="A37" s="6"/>
      <c r="B37" s="4"/>
      <c r="C37" s="3"/>
      <c r="D37" s="3" t="s">
        <v>78</v>
      </c>
      <c r="F37" t="s">
        <v>123</v>
      </c>
    </row>
    <row r="38" spans="1:6" x14ac:dyDescent="0.25">
      <c r="A38" s="6"/>
      <c r="B38" s="4"/>
      <c r="C38" s="3"/>
      <c r="D38" s="3" t="s">
        <v>79</v>
      </c>
      <c r="F38" t="s">
        <v>135</v>
      </c>
    </row>
    <row r="39" spans="1:6" x14ac:dyDescent="0.25">
      <c r="A39" s="6"/>
      <c r="B39" s="4"/>
      <c r="C39" s="3"/>
      <c r="D39" s="3" t="s">
        <v>80</v>
      </c>
      <c r="F39" t="s">
        <v>136</v>
      </c>
    </row>
    <row r="40" spans="1:6" x14ac:dyDescent="0.25">
      <c r="A40" s="6"/>
      <c r="B40" s="95" t="s">
        <v>36</v>
      </c>
      <c r="C40" s="3" t="s">
        <v>37</v>
      </c>
      <c r="D40" s="3"/>
      <c r="F40" t="s">
        <v>137</v>
      </c>
    </row>
    <row r="41" spans="1:6" x14ac:dyDescent="0.25">
      <c r="A41" s="6"/>
      <c r="B41" s="95"/>
      <c r="C41" s="3" t="s">
        <v>38</v>
      </c>
      <c r="D41" s="3" t="s">
        <v>81</v>
      </c>
      <c r="F41" t="s">
        <v>307</v>
      </c>
    </row>
    <row r="42" spans="1:6" x14ac:dyDescent="0.25">
      <c r="A42" s="6"/>
      <c r="B42" s="4"/>
      <c r="C42" s="3"/>
      <c r="D42" s="3" t="s">
        <v>82</v>
      </c>
      <c r="F42" t="s">
        <v>3</v>
      </c>
    </row>
    <row r="43" spans="1:6" x14ac:dyDescent="0.25">
      <c r="A43" s="6"/>
      <c r="B43" s="4"/>
      <c r="C43" s="3"/>
      <c r="D43" s="3" t="s">
        <v>83</v>
      </c>
      <c r="F43" t="s">
        <v>124</v>
      </c>
    </row>
    <row r="44" spans="1:6" x14ac:dyDescent="0.25">
      <c r="A44" s="6"/>
      <c r="B44" s="4"/>
      <c r="C44" s="3"/>
      <c r="D44" s="3" t="s">
        <v>84</v>
      </c>
      <c r="F44" t="s">
        <v>125</v>
      </c>
    </row>
    <row r="45" spans="1:6" x14ac:dyDescent="0.25">
      <c r="A45" s="6"/>
      <c r="B45" s="4"/>
      <c r="C45" s="3"/>
      <c r="D45" s="3" t="s">
        <v>85</v>
      </c>
      <c r="F45" t="s">
        <v>126</v>
      </c>
    </row>
    <row r="46" spans="1:6" x14ac:dyDescent="0.25">
      <c r="A46" s="6"/>
      <c r="B46" s="4" t="s">
        <v>39</v>
      </c>
      <c r="C46" s="5" t="s">
        <v>39</v>
      </c>
      <c r="D46" s="5"/>
      <c r="F46" t="s">
        <v>127</v>
      </c>
    </row>
    <row r="47" spans="1:6" ht="14.25" customHeight="1" x14ac:dyDescent="0.25">
      <c r="A47" s="6"/>
      <c r="B47" s="4" t="s">
        <v>40</v>
      </c>
      <c r="C47" s="3" t="s">
        <v>41</v>
      </c>
      <c r="D47" s="3"/>
      <c r="F47" t="s">
        <v>128</v>
      </c>
    </row>
    <row r="48" spans="1:6" x14ac:dyDescent="0.25">
      <c r="A48" s="6"/>
      <c r="B48" s="4"/>
      <c r="C48" s="3" t="s">
        <v>42</v>
      </c>
      <c r="D48" s="3" t="s">
        <v>86</v>
      </c>
      <c r="F48" t="s">
        <v>129</v>
      </c>
    </row>
    <row r="49" spans="1:7" x14ac:dyDescent="0.25">
      <c r="A49" s="6"/>
      <c r="B49" s="4"/>
      <c r="C49" s="3"/>
      <c r="D49" s="3" t="s">
        <v>87</v>
      </c>
      <c r="F49" t="s">
        <v>130</v>
      </c>
    </row>
    <row r="50" spans="1:7" x14ac:dyDescent="0.25">
      <c r="A50" s="6"/>
      <c r="B50" s="4"/>
      <c r="C50" s="3"/>
      <c r="D50" s="3" t="s">
        <v>88</v>
      </c>
      <c r="F50" t="s">
        <v>131</v>
      </c>
    </row>
    <row r="51" spans="1:7" x14ac:dyDescent="0.25">
      <c r="A51" s="6"/>
      <c r="B51" s="4"/>
      <c r="C51" s="3"/>
      <c r="D51" s="3" t="s">
        <v>89</v>
      </c>
      <c r="F51" t="s">
        <v>132</v>
      </c>
    </row>
    <row r="52" spans="1:7" x14ac:dyDescent="0.25">
      <c r="A52" s="6"/>
      <c r="B52" s="4"/>
      <c r="C52" s="3"/>
      <c r="D52" s="3" t="s">
        <v>90</v>
      </c>
      <c r="F52" t="s">
        <v>134</v>
      </c>
    </row>
    <row r="53" spans="1:7" x14ac:dyDescent="0.25">
      <c r="A53" s="6"/>
      <c r="B53" s="4" t="s">
        <v>43</v>
      </c>
      <c r="C53" s="3" t="s">
        <v>109</v>
      </c>
      <c r="D53" s="3"/>
      <c r="F53" t="s">
        <v>133</v>
      </c>
    </row>
    <row r="54" spans="1:7" x14ac:dyDescent="0.25">
      <c r="A54" s="6"/>
      <c r="B54" s="4"/>
      <c r="C54" s="3" t="s">
        <v>44</v>
      </c>
      <c r="D54" s="3" t="s">
        <v>91</v>
      </c>
    </row>
    <row r="55" spans="1:7" x14ac:dyDescent="0.25">
      <c r="A55" s="6"/>
      <c r="B55" s="4"/>
      <c r="C55" s="3"/>
      <c r="D55" s="3" t="s">
        <v>92</v>
      </c>
      <c r="F55" t="s">
        <v>294</v>
      </c>
    </row>
    <row r="56" spans="1:7" x14ac:dyDescent="0.25">
      <c r="A56" s="6"/>
      <c r="B56" s="4"/>
      <c r="C56" s="3"/>
      <c r="D56" s="3" t="s">
        <v>93</v>
      </c>
      <c r="F56" t="s">
        <v>295</v>
      </c>
    </row>
    <row r="57" spans="1:7" x14ac:dyDescent="0.25">
      <c r="A57" s="6"/>
      <c r="B57" s="4"/>
      <c r="C57" s="3"/>
      <c r="D57" s="3" t="s">
        <v>94</v>
      </c>
      <c r="F57" t="s">
        <v>296</v>
      </c>
    </row>
    <row r="58" spans="1:7" x14ac:dyDescent="0.25">
      <c r="A58" s="6"/>
      <c r="B58" s="4"/>
      <c r="C58" s="3"/>
      <c r="D58" s="3" t="s">
        <v>95</v>
      </c>
      <c r="F58" t="s">
        <v>297</v>
      </c>
    </row>
    <row r="59" spans="1:7" ht="15" customHeight="1" x14ac:dyDescent="0.25">
      <c r="A59" s="9" t="s">
        <v>374</v>
      </c>
      <c r="B59" s="4" t="s">
        <v>45</v>
      </c>
      <c r="C59" s="3" t="s">
        <v>46</v>
      </c>
      <c r="D59" s="3"/>
      <c r="F59" t="s">
        <v>303</v>
      </c>
    </row>
    <row r="60" spans="1:7" x14ac:dyDescent="0.25">
      <c r="A60" s="7"/>
      <c r="B60" s="4"/>
      <c r="C60" s="3" t="s">
        <v>47</v>
      </c>
      <c r="D60" s="3"/>
      <c r="F60" t="s">
        <v>299</v>
      </c>
    </row>
    <row r="61" spans="1:7" x14ac:dyDescent="0.25">
      <c r="A61" s="7"/>
      <c r="B61" s="4"/>
      <c r="C61" s="3" t="s">
        <v>48</v>
      </c>
      <c r="D61" s="3"/>
      <c r="F61" t="s">
        <v>300</v>
      </c>
    </row>
    <row r="62" spans="1:7" x14ac:dyDescent="0.25">
      <c r="A62" s="7"/>
      <c r="B62" s="4"/>
      <c r="C62" s="3" t="s">
        <v>49</v>
      </c>
      <c r="D62" s="3"/>
      <c r="F62" t="s">
        <v>301</v>
      </c>
    </row>
    <row r="63" spans="1:7" x14ac:dyDescent="0.25">
      <c r="A63" s="7"/>
      <c r="B63" s="4"/>
      <c r="C63" s="3" t="s">
        <v>50</v>
      </c>
      <c r="D63" s="3"/>
      <c r="F63" t="s">
        <v>302</v>
      </c>
    </row>
    <row r="64" spans="1:7" x14ac:dyDescent="0.25">
      <c r="A64" s="7"/>
      <c r="B64" s="4"/>
      <c r="C64" s="3" t="s">
        <v>51</v>
      </c>
      <c r="D64" s="3"/>
      <c r="F64" t="s">
        <v>304</v>
      </c>
      <c r="G64" t="s">
        <v>306</v>
      </c>
    </row>
    <row r="65" spans="1:6" x14ac:dyDescent="0.25">
      <c r="A65" s="7"/>
      <c r="B65" s="4" t="s">
        <v>52</v>
      </c>
      <c r="C65" s="3" t="s">
        <v>46</v>
      </c>
      <c r="D65" s="3"/>
      <c r="F65" t="s">
        <v>98</v>
      </c>
    </row>
    <row r="66" spans="1:6" x14ac:dyDescent="0.25">
      <c r="A66" s="7"/>
      <c r="B66" s="4"/>
      <c r="C66" s="3" t="s">
        <v>47</v>
      </c>
      <c r="D66" s="3"/>
    </row>
    <row r="67" spans="1:6" x14ac:dyDescent="0.25">
      <c r="A67" s="7"/>
      <c r="B67" s="4"/>
      <c r="C67" s="3" t="s">
        <v>48</v>
      </c>
      <c r="D67" s="3"/>
      <c r="F67" t="s">
        <v>795</v>
      </c>
    </row>
    <row r="68" spans="1:6" x14ac:dyDescent="0.25">
      <c r="A68" s="7"/>
      <c r="B68" s="4"/>
      <c r="C68" s="3" t="s">
        <v>49</v>
      </c>
      <c r="D68" s="3"/>
      <c r="F68" t="s">
        <v>796</v>
      </c>
    </row>
    <row r="69" spans="1:6" x14ac:dyDescent="0.25">
      <c r="A69" s="7"/>
      <c r="B69" s="4"/>
      <c r="C69" s="3" t="s">
        <v>50</v>
      </c>
      <c r="D69" s="3"/>
      <c r="F69" t="s">
        <v>797</v>
      </c>
    </row>
    <row r="70" spans="1:6" x14ac:dyDescent="0.25">
      <c r="A70" s="7"/>
      <c r="B70" s="4"/>
      <c r="C70" s="3" t="s">
        <v>51</v>
      </c>
      <c r="D70" s="3"/>
      <c r="F70" t="s">
        <v>798</v>
      </c>
    </row>
    <row r="71" spans="1:6" x14ac:dyDescent="0.25">
      <c r="A71" s="7"/>
      <c r="B71" s="3" t="s">
        <v>53</v>
      </c>
      <c r="C71" s="5" t="s">
        <v>53</v>
      </c>
      <c r="D71" s="5"/>
      <c r="F71" t="s">
        <v>799</v>
      </c>
    </row>
    <row r="72" spans="1:6" x14ac:dyDescent="0.25">
      <c r="A72" s="7"/>
      <c r="B72" s="3" t="s">
        <v>54</v>
      </c>
      <c r="C72" s="5" t="s">
        <v>54</v>
      </c>
      <c r="D72" s="5"/>
      <c r="F72" t="s">
        <v>800</v>
      </c>
    </row>
    <row r="73" spans="1:6" ht="24.75" customHeight="1" x14ac:dyDescent="0.25">
      <c r="A73" s="7"/>
      <c r="B73" s="4" t="s">
        <v>55</v>
      </c>
      <c r="C73" s="3" t="s">
        <v>56</v>
      </c>
      <c r="D73" s="3"/>
    </row>
    <row r="74" spans="1:6" x14ac:dyDescent="0.25">
      <c r="A74" s="7"/>
      <c r="B74" s="4"/>
      <c r="C74" s="3" t="s">
        <v>57</v>
      </c>
      <c r="D74" s="3"/>
    </row>
    <row r="75" spans="1:6" x14ac:dyDescent="0.25">
      <c r="A75" s="7"/>
      <c r="B75" s="4"/>
      <c r="C75" s="3" t="s">
        <v>58</v>
      </c>
      <c r="D75" s="3"/>
    </row>
    <row r="76" spans="1:6" x14ac:dyDescent="0.25">
      <c r="A76" s="7"/>
      <c r="B76" s="4"/>
      <c r="C76" s="3" t="s">
        <v>59</v>
      </c>
      <c r="D76" s="3"/>
    </row>
    <row r="77" spans="1:6" x14ac:dyDescent="0.25">
      <c r="A77" s="7"/>
      <c r="B77" s="4"/>
      <c r="C77" s="3" t="s">
        <v>60</v>
      </c>
      <c r="D77" s="3"/>
    </row>
    <row r="78" spans="1:6" ht="16.5" customHeight="1" x14ac:dyDescent="0.25">
      <c r="A78" s="7"/>
      <c r="B78" s="4" t="s">
        <v>61</v>
      </c>
      <c r="C78" s="3" t="s">
        <v>62</v>
      </c>
      <c r="D78" s="3"/>
    </row>
    <row r="79" spans="1:6" x14ac:dyDescent="0.25">
      <c r="A79" s="7"/>
      <c r="B79" s="4"/>
      <c r="C79" s="3" t="s">
        <v>63</v>
      </c>
      <c r="D79" s="3"/>
    </row>
    <row r="80" spans="1:6" x14ac:dyDescent="0.25">
      <c r="A80" s="7"/>
      <c r="B80" s="4" t="s">
        <v>64</v>
      </c>
      <c r="C80" s="3" t="s">
        <v>62</v>
      </c>
      <c r="D80" s="3"/>
    </row>
    <row r="81" spans="1:4" x14ac:dyDescent="0.25">
      <c r="A81" s="7"/>
      <c r="B81" s="4"/>
      <c r="C81" s="3" t="s">
        <v>63</v>
      </c>
      <c r="D81" s="3"/>
    </row>
    <row r="82" spans="1:4" x14ac:dyDescent="0.25">
      <c r="A82" s="3" t="s">
        <v>65</v>
      </c>
      <c r="B82" s="3" t="s">
        <v>66</v>
      </c>
      <c r="C82" s="5" t="s">
        <v>66</v>
      </c>
      <c r="D82" s="5"/>
    </row>
  </sheetData>
  <mergeCells count="2">
    <mergeCell ref="B40:B41"/>
    <mergeCell ref="A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BP7"/>
  <sheetViews>
    <sheetView workbookViewId="0">
      <selection activeCell="E20" sqref="E20"/>
    </sheetView>
  </sheetViews>
  <sheetFormatPr defaultRowHeight="15" outlineLevelCol="1" x14ac:dyDescent="0.25"/>
  <cols>
    <col min="1" max="1" width="19.140625" customWidth="1"/>
    <col min="2" max="2" width="12.85546875" customWidth="1"/>
    <col min="3" max="3" width="28.5703125" customWidth="1"/>
    <col min="4" max="23" width="12.7109375" customWidth="1" outlineLevel="1"/>
    <col min="24" max="30" width="12.7109375" customWidth="1"/>
    <col min="31" max="31" width="13.85546875" customWidth="1"/>
    <col min="32" max="34" width="12.7109375" customWidth="1"/>
  </cols>
  <sheetData>
    <row r="1" spans="1:68" ht="18.75" x14ac:dyDescent="0.3">
      <c r="A1" s="1" t="s">
        <v>316</v>
      </c>
    </row>
    <row r="2" spans="1:68" x14ac:dyDescent="0.25">
      <c r="X2">
        <v>1</v>
      </c>
      <c r="Y2">
        <v>2</v>
      </c>
      <c r="Z2">
        <v>3</v>
      </c>
      <c r="AA2">
        <v>4</v>
      </c>
      <c r="AB2">
        <v>5</v>
      </c>
      <c r="AC2">
        <v>6</v>
      </c>
      <c r="AD2">
        <v>7</v>
      </c>
      <c r="AE2">
        <v>8</v>
      </c>
      <c r="AF2">
        <v>9</v>
      </c>
      <c r="AG2">
        <v>10</v>
      </c>
      <c r="AH2">
        <v>11</v>
      </c>
      <c r="AI2">
        <v>12</v>
      </c>
      <c r="AJ2">
        <v>13</v>
      </c>
      <c r="AK2">
        <v>14</v>
      </c>
      <c r="AL2">
        <v>15</v>
      </c>
      <c r="AM2">
        <v>16</v>
      </c>
      <c r="AN2">
        <v>17</v>
      </c>
      <c r="AO2">
        <v>18</v>
      </c>
      <c r="AP2">
        <v>19</v>
      </c>
      <c r="AQ2">
        <v>20</v>
      </c>
      <c r="AR2">
        <v>21</v>
      </c>
      <c r="AS2">
        <v>22</v>
      </c>
      <c r="AT2">
        <v>23</v>
      </c>
      <c r="AU2">
        <v>24</v>
      </c>
      <c r="AV2">
        <v>25</v>
      </c>
      <c r="AW2">
        <v>26</v>
      </c>
      <c r="AX2">
        <v>27</v>
      </c>
      <c r="AY2">
        <v>28</v>
      </c>
      <c r="AZ2">
        <v>29</v>
      </c>
      <c r="BA2">
        <v>30</v>
      </c>
      <c r="BB2">
        <v>31</v>
      </c>
      <c r="BC2">
        <v>32</v>
      </c>
      <c r="BD2">
        <v>33</v>
      </c>
      <c r="BE2">
        <v>34</v>
      </c>
      <c r="BF2">
        <v>35</v>
      </c>
      <c r="BG2">
        <v>36</v>
      </c>
      <c r="BH2">
        <v>37</v>
      </c>
      <c r="BI2">
        <v>38</v>
      </c>
      <c r="BJ2">
        <v>39</v>
      </c>
      <c r="BK2">
        <v>40</v>
      </c>
      <c r="BL2">
        <v>41</v>
      </c>
    </row>
    <row r="3" spans="1:68" s="19" customFormat="1" ht="29.25" customHeight="1" x14ac:dyDescent="0.25">
      <c r="A3" s="17" t="s">
        <v>317</v>
      </c>
      <c r="B3" s="17" t="s">
        <v>0</v>
      </c>
      <c r="C3" s="17" t="s">
        <v>283</v>
      </c>
      <c r="D3" s="17">
        <v>1990</v>
      </c>
      <c r="E3" s="17">
        <v>1991</v>
      </c>
      <c r="F3" s="17">
        <v>1992</v>
      </c>
      <c r="G3" s="17">
        <v>1993</v>
      </c>
      <c r="H3" s="17">
        <v>1994</v>
      </c>
      <c r="I3" s="17">
        <v>1995</v>
      </c>
      <c r="J3" s="17">
        <v>1996</v>
      </c>
      <c r="K3" s="17">
        <v>1997</v>
      </c>
      <c r="L3" s="17">
        <v>1998</v>
      </c>
      <c r="M3" s="17">
        <v>1999</v>
      </c>
      <c r="N3" s="17">
        <v>2000</v>
      </c>
      <c r="O3" s="17">
        <v>2001</v>
      </c>
      <c r="P3" s="17">
        <v>2002</v>
      </c>
      <c r="Q3" s="17">
        <v>2003</v>
      </c>
      <c r="R3" s="17">
        <v>2004</v>
      </c>
      <c r="S3" s="17">
        <v>2005</v>
      </c>
      <c r="T3" s="17">
        <v>2006</v>
      </c>
      <c r="U3" s="17">
        <v>2007</v>
      </c>
      <c r="V3" s="17">
        <v>2008</v>
      </c>
      <c r="W3" s="17">
        <v>2009</v>
      </c>
      <c r="X3" s="17">
        <v>2010</v>
      </c>
      <c r="Y3" s="17">
        <v>2011</v>
      </c>
      <c r="Z3" s="17">
        <v>2012</v>
      </c>
      <c r="AA3" s="17">
        <v>2013</v>
      </c>
      <c r="AB3" s="17">
        <v>2014</v>
      </c>
      <c r="AC3" s="17">
        <v>2015</v>
      </c>
      <c r="AD3" s="17">
        <v>2016</v>
      </c>
      <c r="AE3" s="17">
        <v>2017</v>
      </c>
      <c r="AF3" s="17">
        <v>2018</v>
      </c>
      <c r="AG3" s="17">
        <v>2019</v>
      </c>
      <c r="AH3" s="17">
        <v>2020</v>
      </c>
      <c r="AI3" s="17">
        <v>2021</v>
      </c>
      <c r="AJ3" s="17">
        <v>2022</v>
      </c>
      <c r="AK3" s="17">
        <v>2023</v>
      </c>
      <c r="AL3" s="17">
        <v>2024</v>
      </c>
      <c r="AM3" s="17">
        <v>2025</v>
      </c>
      <c r="AN3" s="17">
        <v>2026</v>
      </c>
      <c r="AO3" s="17">
        <v>2027</v>
      </c>
      <c r="AP3" s="17">
        <v>2028</v>
      </c>
      <c r="AQ3" s="17">
        <v>2029</v>
      </c>
      <c r="AR3" s="17">
        <v>2030</v>
      </c>
      <c r="AS3" s="17">
        <v>2031</v>
      </c>
      <c r="AT3" s="17">
        <v>2032</v>
      </c>
      <c r="AU3" s="17">
        <v>2033</v>
      </c>
      <c r="AV3" s="17">
        <v>2034</v>
      </c>
      <c r="AW3" s="17">
        <v>2035</v>
      </c>
      <c r="AX3" s="17">
        <v>2036</v>
      </c>
      <c r="AY3" s="17">
        <v>2037</v>
      </c>
      <c r="AZ3" s="17">
        <v>2038</v>
      </c>
      <c r="BA3" s="17">
        <v>2039</v>
      </c>
      <c r="BB3" s="17">
        <v>2040</v>
      </c>
      <c r="BC3" s="17">
        <v>2041</v>
      </c>
      <c r="BD3" s="17">
        <v>2042</v>
      </c>
      <c r="BE3" s="17">
        <v>2043</v>
      </c>
      <c r="BF3" s="17">
        <v>2044</v>
      </c>
      <c r="BG3" s="17">
        <v>2045</v>
      </c>
      <c r="BH3" s="17">
        <v>2046</v>
      </c>
      <c r="BI3" s="17">
        <v>2047</v>
      </c>
      <c r="BJ3" s="17">
        <v>2048</v>
      </c>
      <c r="BK3" s="17">
        <v>2049</v>
      </c>
      <c r="BL3" s="17">
        <v>2050</v>
      </c>
      <c r="BO3" s="18" t="s">
        <v>308</v>
      </c>
      <c r="BP3" s="17" t="s">
        <v>282</v>
      </c>
    </row>
    <row r="4" spans="1:68" x14ac:dyDescent="0.25">
      <c r="A4" t="s">
        <v>1</v>
      </c>
      <c r="B4" t="s">
        <v>323</v>
      </c>
      <c r="C4" t="s">
        <v>756</v>
      </c>
      <c r="D4" s="21">
        <v>36800509</v>
      </c>
      <c r="E4" s="21">
        <v>37718950</v>
      </c>
      <c r="F4" s="21">
        <v>38672607</v>
      </c>
      <c r="G4" s="21">
        <v>39633750</v>
      </c>
      <c r="H4" s="21">
        <v>40564059</v>
      </c>
      <c r="I4" s="21">
        <v>41435758</v>
      </c>
      <c r="J4" s="21">
        <v>42241011</v>
      </c>
      <c r="K4" s="21">
        <v>42987461</v>
      </c>
      <c r="L4" s="21">
        <v>43682260</v>
      </c>
      <c r="M4" s="21">
        <v>44338543</v>
      </c>
      <c r="N4" s="21">
        <v>44967708</v>
      </c>
      <c r="O4" s="21">
        <v>45571274</v>
      </c>
      <c r="P4" s="21">
        <v>46150913</v>
      </c>
      <c r="Q4" s="21">
        <v>46719196</v>
      </c>
      <c r="R4" s="21">
        <v>47291610</v>
      </c>
      <c r="S4" s="21">
        <v>47880601</v>
      </c>
      <c r="T4" s="21">
        <v>48489459</v>
      </c>
      <c r="U4" s="21">
        <v>49119759</v>
      </c>
      <c r="V4" s="21">
        <v>49779471</v>
      </c>
      <c r="W4" s="21">
        <v>50477011</v>
      </c>
      <c r="X4" s="21">
        <v>51216964</v>
      </c>
      <c r="Y4" s="21">
        <v>52004172</v>
      </c>
      <c r="Z4" s="21">
        <v>53032389.033699296</v>
      </c>
      <c r="AA4" s="21">
        <v>53514007.585114054</v>
      </c>
      <c r="AB4" s="21">
        <v>54000000</v>
      </c>
      <c r="AC4" s="21">
        <v>54490406</v>
      </c>
      <c r="AD4" s="21">
        <v>55024891.060000002</v>
      </c>
      <c r="AE4" s="21">
        <v>55559376.119999997</v>
      </c>
      <c r="AF4" s="21">
        <v>56093861.18</v>
      </c>
      <c r="AG4" s="21">
        <v>56628346.240000002</v>
      </c>
      <c r="AH4" s="21">
        <v>57162831.299999997</v>
      </c>
      <c r="AI4" s="21">
        <v>57704589.579999998</v>
      </c>
      <c r="AJ4" s="21">
        <v>58246347.850000001</v>
      </c>
      <c r="AK4" s="21">
        <v>58788106.119999997</v>
      </c>
      <c r="AL4" s="21">
        <v>59329864.390000001</v>
      </c>
      <c r="AM4" s="21">
        <v>59871622.669999994</v>
      </c>
      <c r="AN4" s="21">
        <v>60458559.640000001</v>
      </c>
      <c r="AO4" s="21">
        <v>61045496.609999999</v>
      </c>
      <c r="AP4" s="21">
        <v>61632433.579999998</v>
      </c>
      <c r="AQ4" s="21">
        <v>62219370.549999997</v>
      </c>
      <c r="AR4" s="21">
        <v>62806307.520000003</v>
      </c>
      <c r="AS4" s="21">
        <v>63373317.899999999</v>
      </c>
      <c r="AT4" s="21">
        <v>63940328.269999996</v>
      </c>
      <c r="AU4" s="21">
        <v>64507338.649999999</v>
      </c>
      <c r="AV4" s="21">
        <v>65074349.020000003</v>
      </c>
      <c r="AW4" s="21">
        <v>65641359.390000001</v>
      </c>
      <c r="AX4" s="21">
        <v>66230661.600000009</v>
      </c>
      <c r="AY4" s="21">
        <v>66819963.810000002</v>
      </c>
      <c r="AZ4" s="21">
        <v>67409266.010000005</v>
      </c>
      <c r="BA4" s="21">
        <v>67998568.219999999</v>
      </c>
      <c r="BB4" s="21">
        <v>68587870.429999992</v>
      </c>
      <c r="BC4" s="21">
        <v>69260575.609999999</v>
      </c>
      <c r="BD4" s="21">
        <v>69933280.780000001</v>
      </c>
      <c r="BE4" s="21">
        <v>70605985.960000008</v>
      </c>
      <c r="BF4" s="21">
        <v>71278691.140000001</v>
      </c>
      <c r="BG4" s="21">
        <v>71951396.319999993</v>
      </c>
      <c r="BH4" s="21">
        <v>72600358.940000013</v>
      </c>
      <c r="BI4" s="21">
        <v>73249321.560000002</v>
      </c>
      <c r="BJ4" s="21">
        <v>73898284.190000013</v>
      </c>
      <c r="BK4" s="21">
        <v>74547246.810000002</v>
      </c>
      <c r="BL4" s="21">
        <v>75196209.430000007</v>
      </c>
    </row>
    <row r="5" spans="1:68" x14ac:dyDescent="0.25">
      <c r="A5" t="s">
        <v>818</v>
      </c>
      <c r="B5" t="s">
        <v>755</v>
      </c>
      <c r="C5" t="s">
        <v>819</v>
      </c>
      <c r="D5" s="21">
        <f>E5/(1+E7)</f>
        <v>1892.5182021736825</v>
      </c>
      <c r="E5" s="21">
        <f>F5/(1+F7)</f>
        <v>1949.2937482388932</v>
      </c>
      <c r="F5" s="21">
        <f>G5/(1+G7)</f>
        <v>2007.7725606860599</v>
      </c>
      <c r="G5" s="21">
        <f>H5/(1+H7)</f>
        <v>2068.0057375066417</v>
      </c>
      <c r="H5" s="21">
        <f>I5/(1+I7)</f>
        <v>2130.0459096318409</v>
      </c>
      <c r="I5" s="21">
        <f>J5/(1+J7)</f>
        <v>2193.9472869207962</v>
      </c>
      <c r="J5" s="21">
        <f>K5/(1+K7)</f>
        <v>2286.0930729714696</v>
      </c>
      <c r="K5" s="21">
        <f>L5/(1+L7)</f>
        <v>2345.531492868728</v>
      </c>
      <c r="L5" s="21">
        <f>M5/(1+M7)</f>
        <v>2361.9502133188089</v>
      </c>
      <c r="M5" s="21">
        <f>N5/(1+N7)</f>
        <v>2425.7228690784164</v>
      </c>
      <c r="N5" s="21">
        <f>O5/(1+O7)</f>
        <v>2532.454675317867</v>
      </c>
      <c r="O5" s="21">
        <f>P5/(1+P7)</f>
        <v>2605.8958609020851</v>
      </c>
      <c r="P5" s="21">
        <f>Q5/(1+Q7)</f>
        <v>2704.9308558285738</v>
      </c>
      <c r="Q5" s="21">
        <f>R5/(1+R7)</f>
        <v>2785.5775474858037</v>
      </c>
      <c r="R5" s="21">
        <f>S5/(1+S7)</f>
        <v>2910.8638398644903</v>
      </c>
      <c r="S5" s="21">
        <f>T5/(1+T7)</f>
        <v>3065.5014266003936</v>
      </c>
      <c r="T5" s="21">
        <f>U5/(1+U7)</f>
        <v>3234.9063557406294</v>
      </c>
      <c r="U5" s="21">
        <f>V5/(1+V7)</f>
        <v>3415.5981606450296</v>
      </c>
      <c r="V5" s="21">
        <f>W5/(1+W7)</f>
        <v>3544.0897148232407</v>
      </c>
      <c r="W5" s="21">
        <f>X5/(1+X7)</f>
        <v>3496.5187294831685</v>
      </c>
      <c r="X5" s="21">
        <f>Y5/(1+Y7)</f>
        <v>3604.2012103189973</v>
      </c>
      <c r="Y5" s="21">
        <f>Z5/(1+Z7)</f>
        <v>3727.8788715754335</v>
      </c>
      <c r="Z5" s="21">
        <v>3818.7920486940898</v>
      </c>
      <c r="AA5" s="21">
        <v>3913.4184945387733</v>
      </c>
      <c r="AB5" s="21">
        <v>3986.9308667092751</v>
      </c>
      <c r="AC5" s="21">
        <v>4037.7156347824903</v>
      </c>
      <c r="AD5" s="21">
        <v>4070.0111865825666</v>
      </c>
      <c r="AE5" s="21">
        <v>4118.3420053111704</v>
      </c>
      <c r="AF5" s="21">
        <v>4160.1680238194213</v>
      </c>
      <c r="AG5" s="22">
        <v>4195.8864878601053</v>
      </c>
      <c r="AH5" s="22">
        <v>3891.8659988078639</v>
      </c>
      <c r="AI5" s="22">
        <v>3978.2347480572816</v>
      </c>
      <c r="AJ5" s="22">
        <v>4061.1499667888011</v>
      </c>
      <c r="AK5" s="22">
        <v>4144.8404086272503</v>
      </c>
      <c r="AL5" s="22">
        <v>4225.557842135805</v>
      </c>
      <c r="AM5" s="22">
        <v>4309.7236591242645</v>
      </c>
      <c r="AN5" s="22">
        <v>4409.6586807696176</v>
      </c>
      <c r="AO5" s="22">
        <v>4508.6793773069012</v>
      </c>
      <c r="AP5" s="22">
        <v>4612.3677774270727</v>
      </c>
      <c r="AQ5" s="22">
        <v>4719.5221137464587</v>
      </c>
      <c r="AR5" s="22">
        <v>4830.4587311386231</v>
      </c>
      <c r="AS5" s="22">
        <v>4963.6066651247866</v>
      </c>
      <c r="AT5" s="22">
        <v>5090.5364493142024</v>
      </c>
      <c r="AU5" s="22">
        <v>5231.491252157587</v>
      </c>
      <c r="AV5" s="22">
        <v>5382.2507664514342</v>
      </c>
      <c r="AW5" s="22">
        <v>5543.3456650103453</v>
      </c>
      <c r="AX5" s="22">
        <v>5709.1902238340317</v>
      </c>
      <c r="AY5" s="22">
        <v>5882.1437659532367</v>
      </c>
      <c r="AZ5" s="22">
        <v>6057.7382664641273</v>
      </c>
      <c r="BA5" s="22">
        <v>6240.5087937397775</v>
      </c>
      <c r="BB5" s="22">
        <v>6434.4709612419756</v>
      </c>
      <c r="BC5" s="22">
        <v>6636.4399402311183</v>
      </c>
      <c r="BD5" s="22">
        <v>6847.0003814330667</v>
      </c>
      <c r="BE5" s="22">
        <v>7065.6625243864937</v>
      </c>
      <c r="BF5" s="22">
        <v>7293.6352631430673</v>
      </c>
      <c r="BG5" s="22">
        <v>7535.7115458768349</v>
      </c>
      <c r="BH5" s="22">
        <v>7789.7473013254221</v>
      </c>
      <c r="BI5" s="22">
        <v>8055.9435279212203</v>
      </c>
      <c r="BJ5" s="22">
        <v>8325.1891765648088</v>
      </c>
      <c r="BK5" s="22">
        <v>8607.6974223627512</v>
      </c>
      <c r="BL5" s="22">
        <v>8904.5750104588551</v>
      </c>
    </row>
    <row r="6" spans="1:68" x14ac:dyDescent="0.25">
      <c r="A6" t="s">
        <v>668</v>
      </c>
      <c r="B6" t="s">
        <v>366</v>
      </c>
      <c r="Z6" s="72">
        <v>2893.5650000000001</v>
      </c>
      <c r="AA6" s="72">
        <v>2965.2651000000001</v>
      </c>
      <c r="AB6" s="72">
        <v>3020.9666999999999</v>
      </c>
      <c r="AC6" s="72">
        <v>3059.4472000000001</v>
      </c>
      <c r="AD6" s="72">
        <v>3083.9180999999999</v>
      </c>
      <c r="AE6" s="72">
        <v>3120.5392000000002</v>
      </c>
      <c r="AF6" s="72">
        <v>3152.2314999999999</v>
      </c>
      <c r="AG6" s="72">
        <v>3179.2959999999998</v>
      </c>
      <c r="AH6" s="72">
        <v>2948.9344000000001</v>
      </c>
      <c r="AI6" s="72">
        <v>3014.3775000000001</v>
      </c>
      <c r="AJ6" s="72">
        <v>3077.2037999999998</v>
      </c>
      <c r="AK6" s="72">
        <v>3140.6174999999998</v>
      </c>
      <c r="AL6" s="72">
        <v>3201.7784999999999</v>
      </c>
      <c r="AM6" s="72">
        <v>3265.5524</v>
      </c>
      <c r="AN6" s="72">
        <v>3341.2748999999999</v>
      </c>
      <c r="AO6" s="72">
        <v>3416.3045999999999</v>
      </c>
      <c r="AP6" s="72">
        <v>3494.8710999999998</v>
      </c>
      <c r="AQ6" s="72">
        <v>3576.0637999999999</v>
      </c>
      <c r="AR6" s="72">
        <v>3660.1224000000002</v>
      </c>
      <c r="AS6" s="72">
        <v>3761.0109000000002</v>
      </c>
      <c r="AT6" s="72">
        <v>3857.1878000000002</v>
      </c>
      <c r="AU6" s="72">
        <v>3963.9917</v>
      </c>
      <c r="AV6" s="72">
        <v>4078.2248</v>
      </c>
      <c r="AW6" s="72">
        <v>4200.2892000000002</v>
      </c>
      <c r="AX6" s="72">
        <v>4325.9525000000003</v>
      </c>
      <c r="AY6" s="72">
        <v>4457.0024000000003</v>
      </c>
      <c r="AZ6" s="72">
        <v>4590.0533999999998</v>
      </c>
      <c r="BA6" s="72">
        <v>4728.5418</v>
      </c>
      <c r="BB6" s="72">
        <v>4875.5102999999999</v>
      </c>
      <c r="BC6" s="72">
        <v>5028.5456999999997</v>
      </c>
      <c r="BD6" s="72">
        <v>5188.0910000000003</v>
      </c>
      <c r="BE6" s="72">
        <v>5353.7750999999998</v>
      </c>
      <c r="BF6" s="72">
        <v>5526.5140000000001</v>
      </c>
      <c r="BG6" s="72">
        <v>5709.9394000000002</v>
      </c>
      <c r="BH6" s="72">
        <v>5902.4267</v>
      </c>
      <c r="BI6" s="72">
        <v>6104.1282000000001</v>
      </c>
      <c r="BJ6" s="72">
        <v>6308.1403</v>
      </c>
      <c r="BK6" s="72">
        <v>6522.2016999999996</v>
      </c>
      <c r="BL6" s="72">
        <v>6747.1509999999998</v>
      </c>
    </row>
    <row r="7" spans="1:68" x14ac:dyDescent="0.25">
      <c r="C7" t="s">
        <v>814</v>
      </c>
      <c r="D7" s="99">
        <v>3.0000000000000027E-2</v>
      </c>
      <c r="E7" s="99">
        <v>3.0000000000000027E-2</v>
      </c>
      <c r="F7" s="99">
        <v>3.0000000000000027E-2</v>
      </c>
      <c r="G7" s="99">
        <v>3.0000000000000027E-2</v>
      </c>
      <c r="H7" s="99">
        <v>3.0000000000000027E-2</v>
      </c>
      <c r="I7" s="99">
        <v>3.0000000000000027E-2</v>
      </c>
      <c r="J7" s="99">
        <v>4.2000000000000037E-2</v>
      </c>
      <c r="K7" s="99">
        <v>2.6000000000000023E-2</v>
      </c>
      <c r="L7" s="99">
        <v>6.9999999999998952E-3</v>
      </c>
      <c r="M7" s="99">
        <v>2.6999999999999913E-2</v>
      </c>
      <c r="N7" s="99">
        <v>4.4000000000000039E-2</v>
      </c>
      <c r="O7" s="99">
        <v>2.8999999999999915E-2</v>
      </c>
      <c r="P7" s="99">
        <v>3.8004202858745728E-2</v>
      </c>
      <c r="Q7" s="99">
        <v>2.9814696181032829E-2</v>
      </c>
      <c r="R7" s="99">
        <v>4.4976774203169034E-2</v>
      </c>
      <c r="S7" s="99">
        <v>5.3124294107518955E-2</v>
      </c>
      <c r="T7" s="99">
        <v>5.5261735541941581E-2</v>
      </c>
      <c r="U7" s="99">
        <v>5.5856888896875345E-2</v>
      </c>
      <c r="V7" s="99">
        <v>3.7619048885406903E-2</v>
      </c>
      <c r="W7" s="99">
        <v>-1.3422624472824496E-2</v>
      </c>
      <c r="X7" s="99">
        <v>3.0797055347604463E-2</v>
      </c>
      <c r="Y7" s="99">
        <v>3.4314860364160982E-2</v>
      </c>
      <c r="Z7" s="99">
        <v>2.4387374228239223E-2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Drivers!D5:BL5</xm:f>
              <xm:sqref>BN5</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59999389629810485"/>
  </sheetPr>
  <dimension ref="A1:BO43"/>
  <sheetViews>
    <sheetView workbookViewId="0">
      <pane xSplit="1" ySplit="3" topLeftCell="B4" activePane="bottomRight" state="frozen"/>
      <selection pane="topRight" activeCell="B1" sqref="B1"/>
      <selection pane="bottomLeft" activeCell="A4" sqref="A4"/>
      <selection pane="bottomRight" activeCell="A24" sqref="A24:XFD24"/>
    </sheetView>
  </sheetViews>
  <sheetFormatPr defaultRowHeight="15" x14ac:dyDescent="0.25"/>
  <cols>
    <col min="1" max="1" width="29.5703125" customWidth="1"/>
    <col min="2" max="2" width="12.85546875" customWidth="1"/>
    <col min="3" max="29" width="12.7109375" customWidth="1"/>
    <col min="30" max="30" width="13.85546875" customWidth="1"/>
    <col min="31" max="33" width="12.7109375" customWidth="1"/>
    <col min="34" max="34" width="11.42578125" customWidth="1"/>
    <col min="35" max="35" width="10" bestFit="1" customWidth="1"/>
    <col min="36" max="36" width="11.28515625" customWidth="1"/>
    <col min="37" max="63" width="11.42578125" bestFit="1" customWidth="1"/>
  </cols>
  <sheetData>
    <row r="1" spans="1:67" ht="18.75" x14ac:dyDescent="0.3">
      <c r="A1" s="1" t="s">
        <v>326</v>
      </c>
      <c r="AF1" s="11"/>
    </row>
    <row r="2" spans="1:67" x14ac:dyDescent="0.25">
      <c r="AF2" s="11"/>
      <c r="AG2" s="11"/>
      <c r="AQ2">
        <f>(AQ5-AD5)/AD5</f>
        <v>0.19733690296996859</v>
      </c>
    </row>
    <row r="3" spans="1:67" s="19" customFormat="1" ht="29.25" customHeight="1" x14ac:dyDescent="0.25">
      <c r="A3" s="17" t="s">
        <v>325</v>
      </c>
      <c r="B3" s="17" t="s">
        <v>0</v>
      </c>
      <c r="C3" s="17">
        <v>1990</v>
      </c>
      <c r="D3" s="17">
        <v>1991</v>
      </c>
      <c r="E3" s="17">
        <v>1992</v>
      </c>
      <c r="F3" s="17">
        <v>1993</v>
      </c>
      <c r="G3" s="17">
        <v>1994</v>
      </c>
      <c r="H3" s="17">
        <v>1995</v>
      </c>
      <c r="I3" s="17">
        <v>1996</v>
      </c>
      <c r="J3" s="17">
        <v>1997</v>
      </c>
      <c r="K3" s="17">
        <v>1998</v>
      </c>
      <c r="L3" s="17">
        <v>1999</v>
      </c>
      <c r="M3" s="17">
        <v>2000</v>
      </c>
      <c r="N3" s="17">
        <v>2001</v>
      </c>
      <c r="O3" s="17">
        <v>2002</v>
      </c>
      <c r="P3" s="17">
        <v>2003</v>
      </c>
      <c r="Q3" s="17">
        <v>2004</v>
      </c>
      <c r="R3" s="17">
        <v>2005</v>
      </c>
      <c r="S3" s="17">
        <v>2006</v>
      </c>
      <c r="T3" s="17">
        <v>2007</v>
      </c>
      <c r="U3" s="17">
        <v>2008</v>
      </c>
      <c r="V3" s="17">
        <v>2009</v>
      </c>
      <c r="W3" s="17">
        <v>2010</v>
      </c>
      <c r="X3" s="17">
        <v>2011</v>
      </c>
      <c r="Y3" s="17">
        <v>2012</v>
      </c>
      <c r="Z3" s="17">
        <v>2013</v>
      </c>
      <c r="AA3" s="17">
        <v>2014</v>
      </c>
      <c r="AB3" s="17">
        <v>2015</v>
      </c>
      <c r="AC3" s="17">
        <v>2016</v>
      </c>
      <c r="AD3" s="17">
        <v>2017</v>
      </c>
      <c r="AE3" s="17">
        <v>2018</v>
      </c>
      <c r="AF3" s="17">
        <v>2019</v>
      </c>
      <c r="AG3" s="17">
        <v>2020</v>
      </c>
      <c r="AH3" s="17">
        <v>2021</v>
      </c>
      <c r="AI3" s="17">
        <v>2022</v>
      </c>
      <c r="AJ3" s="17">
        <v>2023</v>
      </c>
      <c r="AK3" s="17">
        <v>2024</v>
      </c>
      <c r="AL3" s="17">
        <v>2025</v>
      </c>
      <c r="AM3" s="17">
        <v>2026</v>
      </c>
      <c r="AN3" s="17">
        <v>2027</v>
      </c>
      <c r="AO3" s="17">
        <v>2028</v>
      </c>
      <c r="AP3" s="17">
        <v>2029</v>
      </c>
      <c r="AQ3" s="17">
        <v>2030</v>
      </c>
      <c r="AR3" s="17">
        <v>2031</v>
      </c>
      <c r="AS3" s="17">
        <v>2032</v>
      </c>
      <c r="AT3" s="17">
        <v>2033</v>
      </c>
      <c r="AU3" s="17">
        <v>2034</v>
      </c>
      <c r="AV3" s="17">
        <v>2035</v>
      </c>
      <c r="AW3" s="17">
        <v>2036</v>
      </c>
      <c r="AX3" s="17">
        <v>2037</v>
      </c>
      <c r="AY3" s="17">
        <v>2038</v>
      </c>
      <c r="AZ3" s="17">
        <v>2039</v>
      </c>
      <c r="BA3" s="17">
        <v>2040</v>
      </c>
      <c r="BB3" s="17">
        <v>2041</v>
      </c>
      <c r="BC3" s="17">
        <v>2042</v>
      </c>
      <c r="BD3" s="17">
        <v>2043</v>
      </c>
      <c r="BE3" s="17">
        <v>2044</v>
      </c>
      <c r="BF3" s="17">
        <v>2045</v>
      </c>
      <c r="BG3" s="17">
        <v>2046</v>
      </c>
      <c r="BH3" s="17">
        <v>2047</v>
      </c>
      <c r="BI3" s="17">
        <v>2048</v>
      </c>
      <c r="BJ3" s="17">
        <v>2049</v>
      </c>
      <c r="BK3" s="17">
        <v>2050</v>
      </c>
      <c r="BN3" s="18" t="s">
        <v>308</v>
      </c>
      <c r="BO3" s="17" t="s">
        <v>282</v>
      </c>
    </row>
    <row r="4" spans="1:67" x14ac:dyDescent="0.25">
      <c r="A4" t="s">
        <v>816</v>
      </c>
      <c r="B4" t="s">
        <v>817</v>
      </c>
      <c r="C4" s="22">
        <f>Drivers!D5/Drivers!D4</f>
        <v>5.1426413753507664E-5</v>
      </c>
      <c r="D4" s="22">
        <f>Drivers!E5/Drivers!E4</f>
        <v>5.1679427668026106E-5</v>
      </c>
      <c r="E4" s="22">
        <f>Drivers!F5/Drivers!F4</f>
        <v>5.1917176431525806E-5</v>
      </c>
      <c r="F4" s="22">
        <f>Drivers!G5/Drivers!G4</f>
        <v>5.2177897309909907E-5</v>
      </c>
      <c r="G4" s="22">
        <f>Drivers!H5/Drivers!H4</f>
        <v>5.2510669842774879E-5</v>
      </c>
      <c r="H4" s="22">
        <f>Drivers!I5/Drivers!I4</f>
        <v>5.2948163441846437E-5</v>
      </c>
      <c r="I4" s="22">
        <f>Drivers!J5/Drivers!J4</f>
        <v>5.4120226264742331E-5</v>
      </c>
      <c r="J4" s="22">
        <f>Drivers!K5/Drivers!K4</f>
        <v>5.4563154889951003E-5</v>
      </c>
      <c r="K4" s="22">
        <f>Drivers!L5/Drivers!L4</f>
        <v>5.407115413256569E-5</v>
      </c>
      <c r="L4" s="22">
        <f>Drivers!M5/Drivers!M4</f>
        <v>5.4709124498710218E-5</v>
      </c>
      <c r="M4" s="22">
        <f>Drivers!N5/Drivers!N4</f>
        <v>5.6317183773695273E-5</v>
      </c>
      <c r="N4" s="22">
        <f>Drivers!O5/Drivers!O4</f>
        <v>5.7182861749752383E-5</v>
      </c>
      <c r="O4" s="22">
        <f>Drivers!P5/Drivers!P4</f>
        <v>5.8610560008391902E-5</v>
      </c>
      <c r="P4" s="22">
        <f>Drivers!Q5/Drivers!Q4</f>
        <v>5.9623833155985895E-5</v>
      </c>
      <c r="Q4" s="22">
        <f>Drivers!R5/Drivers!R4</f>
        <v>6.1551379618170971E-5</v>
      </c>
      <c r="R4" s="22">
        <f>Drivers!S5/Drivers!S4</f>
        <v>6.4023871099704732E-5</v>
      </c>
      <c r="S4" s="22">
        <f>Drivers!T5/Drivers!T4</f>
        <v>6.6713599665870247E-5</v>
      </c>
      <c r="T4" s="22">
        <f>Drivers!U5/Drivers!U4</f>
        <v>6.9536134341478134E-5</v>
      </c>
      <c r="U4" s="22">
        <f>Drivers!V5/Drivers!V4</f>
        <v>7.1195809108201268E-5</v>
      </c>
      <c r="V4" s="22">
        <f>Drivers!W5/Drivers!W4</f>
        <v>6.9269528052744018E-5</v>
      </c>
      <c r="W4" s="22">
        <f>Drivers!X5/Drivers!X4</f>
        <v>7.0371238918398162E-5</v>
      </c>
      <c r="X4" s="22">
        <f>Drivers!Y5/Drivers!Y4</f>
        <v>7.1684227018852136E-5</v>
      </c>
      <c r="Y4" s="22">
        <f>Drivers!Z5/Drivers!Z4</f>
        <v>7.2008674666107316E-5</v>
      </c>
      <c r="Z4" s="22">
        <f>Drivers!AA5/Drivers!AA4</f>
        <v>7.3128862350936422E-5</v>
      </c>
      <c r="AA4" s="22">
        <f>Drivers!AB5/Drivers!AB4</f>
        <v>7.3832053087208803E-5</v>
      </c>
      <c r="AB4" s="22">
        <f>Drivers!AC5/Drivers!AC4</f>
        <v>7.4099569652362116E-5</v>
      </c>
      <c r="AC4" s="22">
        <f>Drivers!AD5/Drivers!AD4</f>
        <v>7.3966728660027013E-5</v>
      </c>
      <c r="AD4" s="22">
        <f>Drivers!AE5/Drivers!AE4</f>
        <v>7.4125058503467776E-5</v>
      </c>
      <c r="AE4" s="22">
        <f>Drivers!AF5/Drivers!AF4</f>
        <v>7.4164408302538267E-5</v>
      </c>
      <c r="AF4" s="22">
        <f>Drivers!AG5/Drivers!AG4</f>
        <v>7.4095161989673263E-5</v>
      </c>
      <c r="AG4" s="22">
        <f>Drivers!AH5/Drivers!AH4</f>
        <v>6.8083856420314581E-5</v>
      </c>
      <c r="AH4" s="22">
        <f>Drivers!AI5/Drivers!AI4</f>
        <v>6.8941392305407008E-5</v>
      </c>
      <c r="AI4" s="22">
        <f>Drivers!AJ5/Drivers!AJ4</f>
        <v>6.9723684259953152E-5</v>
      </c>
      <c r="AJ4" s="22">
        <f>Drivers!AK5/Drivers!AK4</f>
        <v>7.050474461903367E-5</v>
      </c>
      <c r="AK4" s="22">
        <f>Drivers!AL5/Drivers!AL4</f>
        <v>7.1221430987258741E-5</v>
      </c>
      <c r="AL4" s="22">
        <f>Drivers!AM5/Drivers!AM4</f>
        <v>7.1982743525736222E-5</v>
      </c>
      <c r="AM4" s="22">
        <f>Drivers!AN5/Drivers!AN4</f>
        <v>7.2936879525858605E-5</v>
      </c>
      <c r="AN4" s="22">
        <f>Drivers!AO5/Drivers!AO4</f>
        <v>7.3857690209507191E-5</v>
      </c>
      <c r="AO4" s="22">
        <f>Drivers!AP5/Drivers!AP4</f>
        <v>7.4836697328203617E-5</v>
      </c>
      <c r="AP4" s="22">
        <f>Drivers!AQ5/Drivers!AQ4</f>
        <v>7.585293891640726E-5</v>
      </c>
      <c r="AQ4" s="22">
        <f>Drivers!AR5/Drivers!AR4</f>
        <v>7.6910407917236888E-5</v>
      </c>
      <c r="AR4" s="22">
        <f>Drivers!AS5/Drivers!AS4</f>
        <v>7.8323288563762988E-5</v>
      </c>
      <c r="AS4" s="22">
        <f>Drivers!AT5/Drivers!AT4</f>
        <v>7.9613861658927679E-5</v>
      </c>
      <c r="AT4" s="22">
        <f>Drivers!AU5/Drivers!AU4</f>
        <v>8.1099164244587647E-5</v>
      </c>
      <c r="AU4" s="22">
        <f>Drivers!AV5/Drivers!AV4</f>
        <v>8.270925253201148E-5</v>
      </c>
      <c r="AV4" s="22">
        <f>Drivers!AW5/Drivers!AW4</f>
        <v>8.4448977238195885E-5</v>
      </c>
      <c r="AW4" s="22">
        <f>Drivers!AX5/Drivers!AX4</f>
        <v>8.6201618493782811E-5</v>
      </c>
      <c r="AX4" s="22">
        <f>Drivers!AY5/Drivers!AY4</f>
        <v>8.8029735883708143E-5</v>
      </c>
      <c r="AY4" s="22">
        <f>Drivers!AZ5/Drivers!AZ4</f>
        <v>8.9865067890896133E-5</v>
      </c>
      <c r="AZ4" s="22">
        <f>Drivers!BA5/Drivers!BA4</f>
        <v>9.1774120501323959E-5</v>
      </c>
      <c r="BA4" s="22">
        <f>Drivers!BB5/Drivers!BB4</f>
        <v>9.3813540512369811E-5</v>
      </c>
      <c r="BB4" s="22">
        <f>Drivers!BC5/Drivers!BC4</f>
        <v>9.5818434683539268E-5</v>
      </c>
      <c r="BC4" s="22">
        <f>Drivers!BD5/Drivers!BD4</f>
        <v>9.7907610011501405E-5</v>
      </c>
      <c r="BD4" s="22">
        <f>Drivers!BE5/Drivers!BE4</f>
        <v>1.0007172094996821E-4</v>
      </c>
      <c r="BE4" s="22">
        <f>Drivers!BF5/Drivers!BF4</f>
        <v>1.0232560596290246E-4</v>
      </c>
      <c r="BF4" s="22">
        <f>Drivers!BG5/Drivers!BG4</f>
        <v>1.0473336073093231E-4</v>
      </c>
      <c r="BG4" s="22">
        <f>Drivers!BH5/Drivers!BH4</f>
        <v>1.0729626430308969E-4</v>
      </c>
      <c r="BH4" s="22">
        <f>Drivers!BI5/Drivers!BI4</f>
        <v>1.0997976986479573E-4</v>
      </c>
      <c r="BI4" s="22">
        <f>Drivers!BJ5/Drivers!BJ4</f>
        <v>1.1265740832574542E-4</v>
      </c>
      <c r="BJ4" s="22">
        <f>Drivers!BK5/Drivers!BK4</f>
        <v>1.15466335655579E-4</v>
      </c>
      <c r="BK4" s="22">
        <f>Drivers!BL5/Drivers!BL4</f>
        <v>1.1841787076711766E-4</v>
      </c>
    </row>
    <row r="5" spans="1:67" s="100" customFormat="1" x14ac:dyDescent="0.25">
      <c r="A5" s="100" t="s">
        <v>318</v>
      </c>
      <c r="B5" s="100" t="s">
        <v>321</v>
      </c>
      <c r="C5" s="44">
        <v>668000</v>
      </c>
      <c r="D5" s="44">
        <v>714000</v>
      </c>
      <c r="E5" s="44">
        <v>741000</v>
      </c>
      <c r="F5" s="44">
        <v>718000</v>
      </c>
      <c r="G5" s="44">
        <v>663000</v>
      </c>
      <c r="H5" s="44">
        <v>587000</v>
      </c>
      <c r="I5" s="44">
        <v>591000</v>
      </c>
      <c r="J5" s="44">
        <v>573000</v>
      </c>
      <c r="K5" s="44">
        <v>560000</v>
      </c>
      <c r="L5" s="44">
        <v>559000</v>
      </c>
      <c r="M5" s="44">
        <v>671000</v>
      </c>
      <c r="N5" s="44">
        <v>554000</v>
      </c>
      <c r="O5" s="44">
        <v>602000</v>
      </c>
      <c r="P5" s="44">
        <v>643000</v>
      </c>
      <c r="Q5" s="44">
        <v>675000</v>
      </c>
      <c r="R5" s="44">
        <v>723000</v>
      </c>
      <c r="S5" s="44">
        <v>825000</v>
      </c>
      <c r="T5" s="44">
        <v>865000</v>
      </c>
      <c r="U5" s="44">
        <v>767000</v>
      </c>
      <c r="V5" s="44">
        <v>784000</v>
      </c>
      <c r="W5" s="44">
        <v>880000</v>
      </c>
      <c r="X5" s="44">
        <v>879000</v>
      </c>
      <c r="Y5" s="28">
        <f>((Relationships!$AI$5*LN('Intermediate calculations'!Y4))+Relationships!$AJ$5)*Drivers!Z4</f>
        <v>945127.86859572481</v>
      </c>
      <c r="Z5" s="28">
        <f>((Relationships!$AI$5*LN('Intermediate calculations'!Z4))+Relationships!$AJ$5)*Drivers!AA4</f>
        <v>978482.01793646428</v>
      </c>
      <c r="AA5" s="28">
        <f>((Relationships!$AI$5*LN('Intermediate calculations'!AA4))+Relationships!$AJ$5)*Drivers!AB4</f>
        <v>1002864.303728149</v>
      </c>
      <c r="AB5" s="28">
        <f>((Relationships!$AI$5*LN('Intermediate calculations'!AB4))+Relationships!$AJ$5)*Drivers!AC4</f>
        <v>1017881.5963173233</v>
      </c>
      <c r="AC5" s="28">
        <f>((Relationships!$AI$5*LN('Intermediate calculations'!AC4))+Relationships!$AJ$5)*Drivers!AD4</f>
        <v>1024905.1183277447</v>
      </c>
      <c r="AD5" s="28">
        <f>((Relationships!$AI$5*LN('Intermediate calculations'!AD4))+Relationships!$AJ$5)*Drivers!AE4</f>
        <v>1038422.9569130467</v>
      </c>
      <c r="AE5" s="28">
        <f>((Relationships!$AI$5*LN('Intermediate calculations'!AE4))+Relationships!$AJ$5)*Drivers!AF4</f>
        <v>1049305.3504766363</v>
      </c>
      <c r="AF5" s="28">
        <f>((Relationships!$AI$5*LN('Intermediate calculations'!AF4))+Relationships!$AJ$5)*Drivers!AG4</f>
        <v>1057717.3419991657</v>
      </c>
      <c r="AG5" s="28">
        <f>((Relationships!$AI$5*LN('Intermediate calculations'!AG4))+Relationships!$AJ$5)*Drivers!AH4</f>
        <v>922669.74172850873</v>
      </c>
      <c r="AH5" s="28">
        <f>((Relationships!$AI$5*LN('Intermediate calculations'!AH4))+Relationships!$AJ$5)*Drivers!AI4</f>
        <v>953072.49040808133</v>
      </c>
      <c r="AI5" s="28">
        <f>((Relationships!$AI$5*LN('Intermediate calculations'!AI4))+Relationships!$AJ$5)*Drivers!AJ4</f>
        <v>981727.79454010702</v>
      </c>
      <c r="AJ5" s="28">
        <f>((Relationships!$AI$5*LN('Intermediate calculations'!AJ4))+Relationships!$AJ$5)*Drivers!AK4</f>
        <v>1010496.9772018708</v>
      </c>
      <c r="AK5" s="28">
        <f>((Relationships!$AI$5*LN('Intermediate calculations'!AK4))+Relationships!$AJ$5)*Drivers!AL4</f>
        <v>1037802.4373700012</v>
      </c>
      <c r="AL5" s="28">
        <f>((Relationships!$AI$5*LN('Intermediate calculations'!AL4))+Relationships!$AJ$5)*Drivers!AM4</f>
        <v>1066368.0717013995</v>
      </c>
      <c r="AM5" s="28">
        <f>((Relationships!$AI$5*LN('Intermediate calculations'!AM4))+Relationships!$AJ$5)*Drivers!AN4</f>
        <v>1100694.6511009464</v>
      </c>
      <c r="AN5" s="28">
        <f>((Relationships!$AI$5*LN('Intermediate calculations'!AN4))+Relationships!$AJ$5)*Drivers!AO4</f>
        <v>1134345.6916960035</v>
      </c>
      <c r="AO5" s="28">
        <f>((Relationships!$AI$5*LN('Intermediate calculations'!AO4))+Relationships!$AJ$5)*Drivers!AP4</f>
        <v>1169588.8110721644</v>
      </c>
      <c r="AP5" s="28">
        <f>((Relationships!$AI$5*LN('Intermediate calculations'!AP4))+Relationships!$AJ$5)*Drivers!AQ4</f>
        <v>1205892.2045186087</v>
      </c>
      <c r="AQ5" s="28">
        <f>((Relationships!$AI$5*LN('Intermediate calculations'!AQ4))+Relationships!$AJ$5)*Drivers!AR4</f>
        <v>1243342.1272031844</v>
      </c>
      <c r="AR5" s="28">
        <f>((Relationships!$AI$5*LN('Intermediate calculations'!AR4))+Relationships!$AJ$5)*Drivers!AS4</f>
        <v>1289160.2429031094</v>
      </c>
      <c r="AS5" s="28">
        <f>((Relationships!$AI$5*LN('Intermediate calculations'!AS4))+Relationships!$AJ$5)*Drivers!AT4</f>
        <v>1332030.0886424028</v>
      </c>
      <c r="AT5" s="28">
        <f>((Relationships!$AI$5*LN('Intermediate calculations'!AT4))+Relationships!$AJ$5)*Drivers!AU4</f>
        <v>1379597.5118092063</v>
      </c>
      <c r="AU5" s="28">
        <f>((Relationships!$AI$5*LN('Intermediate calculations'!AU4))+Relationships!$AJ$5)*Drivers!AV4</f>
        <v>1430085.1306183329</v>
      </c>
      <c r="AV5" s="28">
        <f>((Relationships!$AI$5*LN('Intermediate calculations'!AV4))+Relationships!$AJ$5)*Drivers!AW4</f>
        <v>1483519.0934345373</v>
      </c>
      <c r="AW5" s="28">
        <f>((Relationships!$AI$5*LN('Intermediate calculations'!AW4))+Relationships!$AJ$5)*Drivers!AX4</f>
        <v>1537633.1990711065</v>
      </c>
      <c r="AX5" s="28">
        <f>((Relationships!$AI$5*LN('Intermediate calculations'!AX4))+Relationships!$AJ$5)*Drivers!AY4</f>
        <v>1593363.5022143358</v>
      </c>
      <c r="AY5" s="28">
        <f>((Relationships!$AI$5*LN('Intermediate calculations'!AY4))+Relationships!$AJ$5)*Drivers!AZ4</f>
        <v>1649125.8306035672</v>
      </c>
      <c r="AZ5" s="28">
        <f>((Relationships!$AI$5*LN('Intermediate calculations'!AZ4))+Relationships!$AJ$5)*Drivers!BA4</f>
        <v>1706405.3371046549</v>
      </c>
      <c r="BA5" s="28">
        <f>((Relationships!$AI$5*LN('Intermediate calculations'!BA4))+Relationships!$AJ$5)*Drivers!BB4</f>
        <v>1766397.6989356228</v>
      </c>
      <c r="BB5" s="28">
        <f>((Relationships!$AI$5*LN('Intermediate calculations'!BB4))+Relationships!$AJ$5)*Drivers!BC4</f>
        <v>1827639.796353675</v>
      </c>
      <c r="BC5" s="28">
        <f>((Relationships!$AI$5*LN('Intermediate calculations'!BC4))+Relationships!$AJ$5)*Drivers!BD4</f>
        <v>1890622.6611615149</v>
      </c>
      <c r="BD5" s="28">
        <f>((Relationships!$AI$5*LN('Intermediate calculations'!BD4))+Relationships!$AJ$5)*Drivers!BE4</f>
        <v>1955097.4896072871</v>
      </c>
      <c r="BE5" s="28">
        <f>((Relationships!$AI$5*LN('Intermediate calculations'!BE4))+Relationships!$AJ$5)*Drivers!BF4</f>
        <v>2021330.5696907677</v>
      </c>
      <c r="BF5" s="28">
        <f>((Relationships!$AI$5*LN('Intermediate calculations'!BF4))+Relationships!$AJ$5)*Drivers!BG4</f>
        <v>2090587.3131865147</v>
      </c>
      <c r="BG5" s="28">
        <f>((Relationships!$AI$5*LN('Intermediate calculations'!BG4))+Relationships!$AJ$5)*Drivers!BH4</f>
        <v>2162075.2920257198</v>
      </c>
      <c r="BH5" s="28">
        <f>((Relationships!$AI$5*LN('Intermediate calculations'!BH4))+Relationships!$AJ$5)*Drivers!BI4</f>
        <v>2235660.5916029834</v>
      </c>
      <c r="BI5" s="28">
        <f>((Relationships!$AI$5*LN('Intermediate calculations'!BI4))+Relationships!$AJ$5)*Drivers!BJ4</f>
        <v>2308772.2418392319</v>
      </c>
      <c r="BJ5" s="28">
        <f>((Relationships!$AI$5*LN('Intermediate calculations'!BJ4))+Relationships!$AJ$5)*Drivers!BK4</f>
        <v>2384100.1116703777</v>
      </c>
      <c r="BK5" s="28">
        <f>((Relationships!$AI$5*LN('Intermediate calculations'!BK4))+Relationships!$AJ$5)*Drivers!BL4</f>
        <v>2461768.7955120914</v>
      </c>
    </row>
    <row r="6" spans="1:67" x14ac:dyDescent="0.25">
      <c r="A6" t="s">
        <v>318</v>
      </c>
      <c r="B6" t="s">
        <v>322</v>
      </c>
      <c r="C6" s="22">
        <f>C5/Drivers!D4</f>
        <v>1.8151922844328049E-2</v>
      </c>
      <c r="D6" s="22">
        <f>D5/Drivers!E4</f>
        <v>1.8929477093079208E-2</v>
      </c>
      <c r="E6" s="22">
        <f>E5/Drivers!F4</f>
        <v>1.9160849435363898E-2</v>
      </c>
      <c r="F6" s="22">
        <f>F5/Drivers!G4</f>
        <v>1.8115873466426971E-2</v>
      </c>
      <c r="G6" s="22">
        <f>G5/Drivers!H4</f>
        <v>1.6344518185421236E-2</v>
      </c>
      <c r="H6" s="22">
        <f>H5/Drivers!I4</f>
        <v>1.4166508067741876E-2</v>
      </c>
      <c r="I6" s="22">
        <f>I5/Drivers!J4</f>
        <v>1.3991142399503649E-2</v>
      </c>
      <c r="J6" s="22">
        <f>J5/Drivers!K4</f>
        <v>1.3329468330311484E-2</v>
      </c>
      <c r="K6" s="22">
        <f>K5/Drivers!L4</f>
        <v>1.2819849522437712E-2</v>
      </c>
      <c r="L6" s="22">
        <f>L5/Drivers!M4</f>
        <v>1.2607541028129859E-2</v>
      </c>
      <c r="M6" s="22">
        <f>M5/Drivers!N4</f>
        <v>1.4921819008431562E-2</v>
      </c>
      <c r="N6" s="22">
        <f>N5/Drivers!O4</f>
        <v>1.21567810458843E-2</v>
      </c>
      <c r="O6" s="22">
        <f>O5/Drivers!P4</f>
        <v>1.3044162311588505E-2</v>
      </c>
      <c r="P6" s="22">
        <f>P5/Drivers!Q4</f>
        <v>1.3763079313265579E-2</v>
      </c>
      <c r="Q6" s="22">
        <f>Q5/Drivers!R4</f>
        <v>1.4273144855926876E-2</v>
      </c>
      <c r="R6" s="22">
        <f>R5/Drivers!S4</f>
        <v>1.5100061087370227E-2</v>
      </c>
      <c r="S6" s="22">
        <f>S5/Drivers!T4</f>
        <v>1.701400710616301E-2</v>
      </c>
      <c r="T6" s="22">
        <f>T5/Drivers!U4</f>
        <v>1.7610021254379524E-2</v>
      </c>
      <c r="U6" s="22">
        <f>U5/Drivers!V4</f>
        <v>1.5407958031534726E-2</v>
      </c>
      <c r="V6" s="22">
        <f>V5/Drivers!W4</f>
        <v>1.553182299165852E-2</v>
      </c>
      <c r="W6" s="22">
        <f>W5/Drivers!X4</f>
        <v>1.7181807184041598E-2</v>
      </c>
      <c r="X6" s="22">
        <f>X5/Drivers!Y4</f>
        <v>1.6902490054067201E-2</v>
      </c>
      <c r="Y6" s="73"/>
      <c r="Z6" s="73"/>
      <c r="AA6" s="73"/>
      <c r="AB6" s="73"/>
      <c r="AC6" s="73"/>
      <c r="AD6" s="73"/>
      <c r="AE6" s="73"/>
      <c r="AF6" s="73"/>
      <c r="AG6" s="73"/>
      <c r="AH6" s="73"/>
      <c r="AI6" s="73"/>
      <c r="AJ6" s="73"/>
      <c r="AK6" s="73"/>
      <c r="AL6" s="73"/>
      <c r="AM6" s="73"/>
      <c r="AN6" s="73"/>
      <c r="AO6" s="73">
        <f>(AO5-AE5)/AE5</f>
        <v>0.1146315136398481</v>
      </c>
      <c r="AP6" s="73"/>
      <c r="AQ6" s="73">
        <f>(AQ8-AD8)/AD8</f>
        <v>0.22198453427881826</v>
      </c>
      <c r="AR6" s="73"/>
      <c r="AS6" s="73"/>
      <c r="AT6" s="73"/>
      <c r="AU6" s="73"/>
      <c r="AV6" s="73"/>
      <c r="AW6" s="73"/>
      <c r="AX6" s="73"/>
      <c r="AY6" s="73"/>
      <c r="AZ6" s="73"/>
      <c r="BA6" s="73"/>
      <c r="BB6" s="73"/>
      <c r="BC6" s="73"/>
      <c r="BD6" s="73"/>
      <c r="BE6" s="73"/>
      <c r="BF6" s="73"/>
      <c r="BG6" s="73"/>
      <c r="BH6" s="73"/>
      <c r="BI6" s="73"/>
      <c r="BJ6" s="73"/>
      <c r="BK6" s="73"/>
    </row>
    <row r="7" spans="1:67" x14ac:dyDescent="0.25">
      <c r="A7" t="s">
        <v>318</v>
      </c>
      <c r="B7" t="s">
        <v>669</v>
      </c>
      <c r="C7" s="53">
        <f>C5*ttokg/Drivers!D4</f>
        <v>18.151922844328048</v>
      </c>
      <c r="D7" s="53">
        <f>D5*ttokg/Drivers!E4</f>
        <v>18.929477093079207</v>
      </c>
      <c r="E7" s="53">
        <f>E5*ttokg/Drivers!F4</f>
        <v>19.1608494353639</v>
      </c>
      <c r="F7" s="53">
        <f>F5*ttokg/Drivers!G4</f>
        <v>18.115873466426972</v>
      </c>
      <c r="G7" s="53">
        <f>G5*ttokg/Drivers!H4</f>
        <v>16.344518185421236</v>
      </c>
      <c r="H7" s="53">
        <f>H5*ttokg/Drivers!I4</f>
        <v>14.166508067741876</v>
      </c>
      <c r="I7" s="53">
        <f>I5*ttokg/Drivers!J4</f>
        <v>13.991142399503648</v>
      </c>
      <c r="J7" s="53">
        <f>J5*ttokg/Drivers!K4</f>
        <v>13.329468330311483</v>
      </c>
      <c r="K7" s="53">
        <f>K5*ttokg/Drivers!L4</f>
        <v>12.819849522437712</v>
      </c>
      <c r="L7" s="53">
        <f>L5*ttokg/Drivers!M4</f>
        <v>12.607541028129861</v>
      </c>
      <c r="M7" s="53">
        <f>M5*ttokg/Drivers!N4</f>
        <v>14.921819008431562</v>
      </c>
      <c r="N7" s="53">
        <f>N5*ttokg/Drivers!O4</f>
        <v>12.1567810458843</v>
      </c>
      <c r="O7" s="53">
        <f>O5*ttokg/Drivers!P4</f>
        <v>13.044162311588506</v>
      </c>
      <c r="P7" s="53">
        <f>P5*ttokg/Drivers!Q4</f>
        <v>13.76307931326558</v>
      </c>
      <c r="Q7" s="53">
        <f>Q5*ttokg/Drivers!R4</f>
        <v>14.273144855926876</v>
      </c>
      <c r="R7" s="53">
        <f>R5*ttokg/Drivers!S4</f>
        <v>15.100061087370227</v>
      </c>
      <c r="S7" s="53">
        <f>S5*ttokg/Drivers!T4</f>
        <v>17.01400710616301</v>
      </c>
      <c r="T7" s="53">
        <f>T5*ttokg/Drivers!U4</f>
        <v>17.610021254379525</v>
      </c>
      <c r="U7" s="53">
        <f>U5*ttokg/Drivers!V4</f>
        <v>15.407958031534726</v>
      </c>
      <c r="V7" s="53">
        <f>V5*ttokg/Drivers!W4</f>
        <v>15.531822991658519</v>
      </c>
      <c r="W7" s="53">
        <f>W5*ttokg/Drivers!X4</f>
        <v>17.181807184041599</v>
      </c>
      <c r="X7" s="53">
        <f>X5*ttokg/Drivers!Y4</f>
        <v>16.902490054067201</v>
      </c>
      <c r="Y7" s="53">
        <f>Y5*ttokg/Drivers!Z4</f>
        <v>17.821710200442709</v>
      </c>
      <c r="Z7" s="53">
        <f>Z5*ttokg/Drivers!AA4</f>
        <v>18.284596166343704</v>
      </c>
      <c r="AA7" s="53">
        <f>AA5*ttokg/Drivers!AB4</f>
        <v>18.571561180150908</v>
      </c>
      <c r="AB7" s="53">
        <f>AB5*ttokg/Drivers!AC4</f>
        <v>18.680014906061139</v>
      </c>
      <c r="AC7" s="53">
        <f>AC5*ttokg/Drivers!AD4</f>
        <v>18.626208949876375</v>
      </c>
      <c r="AD7" s="53">
        <f>AD5*ttokg/Drivers!AE4</f>
        <v>18.690327887595558</v>
      </c>
      <c r="AE7" s="53">
        <f>AE5*ttokg/Drivers!AF4</f>
        <v>18.706242152051409</v>
      </c>
      <c r="AF7" s="53">
        <f>AF5*ttokg/Drivers!AG4</f>
        <v>18.678231172713225</v>
      </c>
      <c r="AG7" s="53">
        <f>AG5*ttokg/Drivers!AH4</f>
        <v>16.141078402610699</v>
      </c>
      <c r="AH7" s="53">
        <f>AH5*ttokg/Drivers!AI4</f>
        <v>16.516407054360361</v>
      </c>
      <c r="AI7" s="53">
        <f>AI5*ttokg/Drivers!AJ4</f>
        <v>16.854752800438575</v>
      </c>
      <c r="AJ7" s="53">
        <f>AJ5*ttokg/Drivers!AK4</f>
        <v>17.188799638131137</v>
      </c>
      <c r="AK7" s="53">
        <f>AK5*ttokg/Drivers!AL4</f>
        <v>17.492074995285545</v>
      </c>
      <c r="AL7" s="53">
        <f>AL5*ttokg/Drivers!AM4</f>
        <v>17.810909812466583</v>
      </c>
      <c r="AM7" s="53">
        <f>AM5*ttokg/Drivers!AN4</f>
        <v>18.205770326898683</v>
      </c>
      <c r="AN7" s="53">
        <f>AN5*ttokg/Drivers!AO4</f>
        <v>18.581971720911248</v>
      </c>
      <c r="AO7" s="53">
        <f>AO5*ttokg/Drivers!AP4</f>
        <v>18.976839678965742</v>
      </c>
      <c r="AP7" s="53">
        <f>AP5*ttokg/Drivers!AQ4</f>
        <v>19.381298683334379</v>
      </c>
      <c r="AQ7" s="53">
        <f>AQ5*ttokg/Drivers!AR4</f>
        <v>19.796453195521092</v>
      </c>
      <c r="AR7" s="53">
        <f>AR5*ttokg/Drivers!AS4</f>
        <v>20.342318906788837</v>
      </c>
      <c r="AS7" s="53">
        <f>AS5*ttokg/Drivers!AT4</f>
        <v>20.832393650180475</v>
      </c>
      <c r="AT7" s="53">
        <f>AT5*ttokg/Drivers!AU4</f>
        <v>21.386675387346898</v>
      </c>
      <c r="AU7" s="53">
        <f>AU5*ttokg/Drivers!AV4</f>
        <v>21.976172672565795</v>
      </c>
      <c r="AV7" s="53">
        <f>AV5*ttokg/Drivers!AW4</f>
        <v>22.600371278425126</v>
      </c>
      <c r="AW7" s="53">
        <f>AW5*ttokg/Drivers!AX4</f>
        <v>23.216334578652408</v>
      </c>
      <c r="AX7" s="53">
        <f>AX5*ttokg/Drivers!AY4</f>
        <v>23.845620550543902</v>
      </c>
      <c r="AY7" s="53">
        <f>AY5*ttokg/Drivers!AZ4</f>
        <v>24.464378982541113</v>
      </c>
      <c r="AZ7" s="53">
        <f>AZ5*ttokg/Drivers!BA4</f>
        <v>25.094724518078312</v>
      </c>
      <c r="BA7" s="53">
        <f>BA5*ttokg/Drivers!BB4</f>
        <v>25.753791273318342</v>
      </c>
      <c r="BB7" s="53">
        <f>BB5*ttokg/Drivers!BC4</f>
        <v>26.387880554804344</v>
      </c>
      <c r="BC7" s="53">
        <f>BC5*ttokg/Drivers!BD4</f>
        <v>27.03466275390598</v>
      </c>
      <c r="BD7" s="53">
        <f>BD5*ttokg/Drivers!BE4</f>
        <v>27.690251230467865</v>
      </c>
      <c r="BE7" s="53">
        <f>BE5*ttokg/Drivers!BF4</f>
        <v>28.358132526881409</v>
      </c>
      <c r="BF7" s="53">
        <f>BF5*ttokg/Drivers!BG4</f>
        <v>29.055548885927649</v>
      </c>
      <c r="BG7" s="53">
        <f>BG5*ttokg/Drivers!BH4</f>
        <v>29.780504168203212</v>
      </c>
      <c r="BH7" s="53">
        <f>BH5*ttokg/Drivers!BI4</f>
        <v>30.521246395049662</v>
      </c>
      <c r="BI7" s="53">
        <f>BI5*ttokg/Drivers!BJ4</f>
        <v>31.242568987165431</v>
      </c>
      <c r="BJ7" s="53">
        <f>BJ5*ttokg/Drivers!BK4</f>
        <v>31.981061859290115</v>
      </c>
      <c r="BK7" s="53">
        <f>BK5*ttokg/Drivers!BL4</f>
        <v>32.737937379725857</v>
      </c>
    </row>
    <row r="8" spans="1:67" x14ac:dyDescent="0.25">
      <c r="A8" t="s">
        <v>320</v>
      </c>
      <c r="B8" t="s">
        <v>321</v>
      </c>
      <c r="C8" s="21">
        <v>610300</v>
      </c>
      <c r="D8" s="21">
        <v>664900</v>
      </c>
      <c r="E8" s="21">
        <v>703500</v>
      </c>
      <c r="F8" s="21">
        <v>694000</v>
      </c>
      <c r="G8" s="21">
        <v>611200</v>
      </c>
      <c r="H8" s="21">
        <v>507500</v>
      </c>
      <c r="I8" s="21">
        <v>507000</v>
      </c>
      <c r="J8" s="21">
        <v>502400</v>
      </c>
      <c r="K8" s="21">
        <v>496300</v>
      </c>
      <c r="L8" s="21">
        <v>511700</v>
      </c>
      <c r="M8" s="21">
        <v>624600</v>
      </c>
      <c r="N8" s="21">
        <v>524300</v>
      </c>
      <c r="O8" s="21">
        <v>573400</v>
      </c>
      <c r="P8" s="21">
        <v>609700</v>
      </c>
      <c r="Q8" s="21">
        <v>631700</v>
      </c>
      <c r="R8" s="21">
        <v>672300</v>
      </c>
      <c r="S8" s="21">
        <v>808100</v>
      </c>
      <c r="T8" s="21">
        <v>861400</v>
      </c>
      <c r="U8" s="21">
        <v>770200</v>
      </c>
      <c r="V8" s="21">
        <v>796700</v>
      </c>
      <c r="W8" s="21">
        <v>885800</v>
      </c>
      <c r="X8" s="21">
        <v>869500</v>
      </c>
      <c r="Y8" s="22">
        <f>((Relationships!$AI$14*'Intermediate calculations'!Y5)+Relationships!$AJ$14)</f>
        <v>948134.53480493021</v>
      </c>
      <c r="Z8" s="22">
        <f>((Relationships!$AI$14*'Intermediate calculations'!Z5)+Relationships!$AJ$14)</f>
        <v>986243.87796921353</v>
      </c>
      <c r="AA8" s="22">
        <f>((Relationships!$AI$14*'Intermediate calculations'!AA5)+Relationships!$AJ$14)</f>
        <v>1014102.2678466616</v>
      </c>
      <c r="AB8" s="22">
        <f>((Relationships!$AI$14*'Intermediate calculations'!AB5)+Relationships!$AJ$14)</f>
        <v>1031260.5275532065</v>
      </c>
      <c r="AC8" s="22">
        <f>((Relationships!$AI$14*'Intermediate calculations'!AC5)+Relationships!$AJ$14)</f>
        <v>1039285.3705130033</v>
      </c>
      <c r="AD8" s="22">
        <f>((Relationships!$AI$14*'Intermediate calculations'!AD5)+Relationships!$AJ$14)</f>
        <v>1054730.4038797349</v>
      </c>
      <c r="AE8" s="22">
        <f>((Relationships!$AI$14*'Intermediate calculations'!AE5)+Relationships!$AJ$14)</f>
        <v>1067164.2653021</v>
      </c>
      <c r="AF8" s="22">
        <f>((Relationships!$AI$14*'Intermediate calculations'!AF5)+Relationships!$AJ$14)</f>
        <v>1076775.5274078182</v>
      </c>
      <c r="AG8" s="22">
        <f>((Relationships!$AI$14*'Intermediate calculations'!AG5)+Relationships!$AJ$14)</f>
        <v>922474.62500281213</v>
      </c>
      <c r="AH8" s="22">
        <f>((Relationships!$AI$14*'Intermediate calculations'!AH5)+Relationships!$AJ$14)</f>
        <v>957211.79580369126</v>
      </c>
      <c r="AI8" s="22">
        <f>((Relationships!$AI$14*'Intermediate calculations'!AI5)+Relationships!$AJ$14)</f>
        <v>989952.39450666704</v>
      </c>
      <c r="AJ8" s="22">
        <f>((Relationships!$AI$14*'Intermediate calculations'!AJ5)+Relationships!$AJ$14)</f>
        <v>1022823.1070351971</v>
      </c>
      <c r="AK8" s="22">
        <f>((Relationships!$AI$14*'Intermediate calculations'!AK5)+Relationships!$AJ$14)</f>
        <v>1054021.4188606751</v>
      </c>
      <c r="AL8" s="22">
        <f>((Relationships!$AI$14*'Intermediate calculations'!AL5)+Relationships!$AJ$14)</f>
        <v>1086659.5638278751</v>
      </c>
      <c r="AM8" s="22">
        <f>((Relationships!$AI$14*'Intermediate calculations'!AM5)+Relationships!$AJ$14)</f>
        <v>1125879.9732776682</v>
      </c>
      <c r="AN8" s="22">
        <f>((Relationships!$AI$14*'Intermediate calculations'!AN5)+Relationships!$AJ$14)</f>
        <v>1164328.5345277642</v>
      </c>
      <c r="AO8" s="22">
        <f>((Relationships!$AI$14*'Intermediate calculations'!AO5)+Relationships!$AJ$14)</f>
        <v>1204596.1521115664</v>
      </c>
      <c r="AP8" s="22">
        <f>((Relationships!$AI$14*'Intermediate calculations'!AP5)+Relationships!$AJ$14)</f>
        <v>1246075.2036306141</v>
      </c>
      <c r="AQ8" s="22">
        <f>((Relationships!$AI$14*'Intermediate calculations'!AQ5)+Relationships!$AJ$14)</f>
        <v>1288864.2413746878</v>
      </c>
      <c r="AR8" s="22">
        <f>((Relationships!$AI$14*'Intermediate calculations'!AR5)+Relationships!$AJ$14)</f>
        <v>1341214.4985049621</v>
      </c>
      <c r="AS8" s="22">
        <f>((Relationships!$AI$14*'Intermediate calculations'!AS5)+Relationships!$AJ$14)</f>
        <v>1390196.1603062763</v>
      </c>
      <c r="AT8" s="22">
        <f>((Relationships!$AI$14*'Intermediate calculations'!AT5)+Relationships!$AJ$14)</f>
        <v>1444545.1180442045</v>
      </c>
      <c r="AU8" s="22">
        <f>((Relationships!$AI$14*'Intermediate calculations'!AU5)+Relationships!$AJ$14)</f>
        <v>1502230.5943274945</v>
      </c>
      <c r="AV8" s="22">
        <f>((Relationships!$AI$14*'Intermediate calculations'!AV5)+Relationships!$AJ$14)</f>
        <v>1563282.4654091853</v>
      </c>
      <c r="AW8" s="22">
        <f>((Relationships!$AI$14*'Intermediate calculations'!AW5)+Relationships!$AJ$14)</f>
        <v>1625111.4450861881</v>
      </c>
      <c r="AX8" s="22">
        <f>((Relationships!$AI$14*'Intermediate calculations'!AX5)+Relationships!$AJ$14)</f>
        <v>1688787.0383516042</v>
      </c>
      <c r="AY8" s="22">
        <f>((Relationships!$AI$14*'Intermediate calculations'!AY5)+Relationships!$AJ$14)</f>
        <v>1752499.2225993697</v>
      </c>
      <c r="AZ8" s="22">
        <f>((Relationships!$AI$14*'Intermediate calculations'!AZ5)+Relationships!$AJ$14)</f>
        <v>1817944.8841640174</v>
      </c>
      <c r="BA8" s="22">
        <f>((Relationships!$AI$14*'Intermediate calculations'!BA5)+Relationships!$AJ$14)</f>
        <v>1886490.1641199272</v>
      </c>
      <c r="BB8" s="22">
        <f>((Relationships!$AI$14*'Intermediate calculations'!BB5)+Relationships!$AJ$14)</f>
        <v>1956463.3504471334</v>
      </c>
      <c r="BC8" s="22">
        <f>((Relationships!$AI$14*'Intermediate calculations'!BC5)+Relationships!$AJ$14)</f>
        <v>2028425.4797735722</v>
      </c>
      <c r="BD8" s="22">
        <f>((Relationships!$AI$14*'Intermediate calculations'!BD5)+Relationships!$AJ$14)</f>
        <v>2102092.2771964967</v>
      </c>
      <c r="BE8" s="22">
        <f>((Relationships!$AI$14*'Intermediate calculations'!BE5)+Relationships!$AJ$14)</f>
        <v>2177767.9945395812</v>
      </c>
      <c r="BF8" s="22">
        <f>((Relationships!$AI$14*'Intermediate calculations'!BF5)+Relationships!$AJ$14)</f>
        <v>2256898.4492652379</v>
      </c>
      <c r="BG8" s="22">
        <f>((Relationships!$AI$14*'Intermediate calculations'!BG5)+Relationships!$AJ$14)</f>
        <v>2338578.2393828863</v>
      </c>
      <c r="BH8" s="22">
        <f>((Relationships!$AI$14*'Intermediate calculations'!BH5)+Relationships!$AJ$14)</f>
        <v>2422654.3585124277</v>
      </c>
      <c r="BI8" s="22">
        <f>((Relationships!$AI$14*'Intermediate calculations'!BI5)+Relationships!$AJ$14)</f>
        <v>2506189.301637393</v>
      </c>
      <c r="BJ8" s="22">
        <f>((Relationships!$AI$14*'Intermediate calculations'!BJ5)+Relationships!$AJ$14)</f>
        <v>2592256.423658798</v>
      </c>
      <c r="BK8" s="22">
        <f>((Relationships!$AI$14*'Intermediate calculations'!BK5)+Relationships!$AJ$14)</f>
        <v>2680998.0820175325</v>
      </c>
    </row>
    <row r="9" spans="1:67" x14ac:dyDescent="0.25">
      <c r="A9" t="s">
        <v>847</v>
      </c>
      <c r="B9" t="s">
        <v>846</v>
      </c>
      <c r="C9" s="21">
        <f>'Activity data'!H8/'Intermediate calculations'!C8</f>
        <v>11.170080288382763</v>
      </c>
      <c r="D9" s="21">
        <f>'Activity data'!I8/'Intermediate calculations'!D8</f>
        <v>9.8102872612422924</v>
      </c>
      <c r="E9" s="21">
        <f>'Activity data'!J8/'Intermediate calculations'!E8</f>
        <v>9.2686425017768297</v>
      </c>
      <c r="F9" s="21">
        <f>'Activity data'!K8/'Intermediate calculations'!F8</f>
        <v>8.7898414985590776</v>
      </c>
      <c r="G9" s="21">
        <f>'Activity data'!L8/'Intermediate calculations'!G8</f>
        <v>10.281495418848168</v>
      </c>
      <c r="H9" s="21">
        <f>'Activity data'!M8/'Intermediate calculations'!H8</f>
        <v>12.663901477832512</v>
      </c>
      <c r="I9" s="21">
        <f>'Activity data'!N8/'Intermediate calculations'!I8</f>
        <v>13.202248520710059</v>
      </c>
      <c r="J9" s="21">
        <f>'Activity data'!O8/'Intermediate calculations'!J8</f>
        <v>13.82782643312102</v>
      </c>
      <c r="K9" s="21">
        <f>'Activity data'!P8/'Intermediate calculations'!K8</f>
        <v>14.119020753576466</v>
      </c>
      <c r="L9" s="21">
        <f>'Activity data'!Q8/'Intermediate calculations'!L8</f>
        <v>13.472503419972639</v>
      </c>
      <c r="M9" s="21">
        <f>'Activity data'!R8/'Intermediate calculations'!M8</f>
        <v>10.287495997438361</v>
      </c>
      <c r="N9" s="21">
        <f>'Activity data'!S8/'Intermediate calculations'!N8</f>
        <v>12.319206561129125</v>
      </c>
      <c r="O9" s="21">
        <f>'Activity data'!T8/'Intermediate calculations'!O8</f>
        <v>10.498447854900594</v>
      </c>
      <c r="P9" s="21">
        <f>'Activity data'!U8/'Intermediate calculations'!P8</f>
        <v>10.131654912251927</v>
      </c>
      <c r="Q9" s="21">
        <f>'Activity data'!V8/'Intermediate calculations'!Q8</f>
        <v>9.8689567832832044</v>
      </c>
      <c r="R9" s="21">
        <f>'Activity data'!W8/'Intermediate calculations'!R8</f>
        <v>9.3516287371709055</v>
      </c>
      <c r="S9" s="21">
        <f>'Activity data'!X8/'Intermediate calculations'!S8</f>
        <v>7.6028709318153691</v>
      </c>
      <c r="T9" s="21">
        <f>'Activity data'!Y8/'Intermediate calculations'!T8</f>
        <v>7.3413977246343158</v>
      </c>
      <c r="U9" s="21">
        <f>'Activity data'!Z8/'Intermediate calculations'!U8</f>
        <v>7.9825399246948843</v>
      </c>
      <c r="V9" s="21">
        <f>'Activity data'!AA8/'Intermediate calculations'!V8</f>
        <v>7.5874489561106229</v>
      </c>
      <c r="W9" s="21">
        <f>'Activity data'!AB8/'Intermediate calculations'!W8</f>
        <v>6.8027970949047942</v>
      </c>
      <c r="X9" s="21">
        <f>'Activity data'!AC8/'Intermediate calculations'!X8</f>
        <v>6.9054397163120562</v>
      </c>
      <c r="Y9" s="21">
        <f>'Activity data'!AD8/'Intermediate calculations'!Y8</f>
        <v>6.2848966658586312</v>
      </c>
      <c r="Z9" s="21">
        <f>'Activity data'!AE8/'Intermediate calculations'!Z8</f>
        <v>6.0080874473327945</v>
      </c>
      <c r="AA9" s="21">
        <f>'Activity data'!AF8/'Intermediate calculations'!AA8</f>
        <v>5.8196971649393792</v>
      </c>
      <c r="AB9" s="21">
        <f>'Activity data'!AG8/'Intermediate calculations'!AB8</f>
        <v>5.7090424498172583</v>
      </c>
      <c r="AC9" s="21">
        <f>'Activity data'!AH8/'Intermediate calculations'!AC8</f>
        <v>5.6586219088336325</v>
      </c>
      <c r="AD9" s="21">
        <f>'Activity data'!AI8/'Intermediate calculations'!AD8</f>
        <v>5.5638738397501504</v>
      </c>
      <c r="AE9" s="21">
        <f>'Activity data'!AJ8/'Intermediate calculations'!AE8</f>
        <v>5.4897148715350328</v>
      </c>
      <c r="AF9" s="21">
        <f>'Activity data'!AK8/'Intermediate calculations'!AF8</f>
        <v>5.4336378255467102</v>
      </c>
      <c r="AG9" s="21">
        <f>'Activity data'!AL8/'Intermediate calculations'!AG8</f>
        <v>6.484994668267321</v>
      </c>
      <c r="AH9" s="21">
        <f>'Activity data'!AM8/'Intermediate calculations'!AH8</f>
        <v>6.2168378187579716</v>
      </c>
      <c r="AI9" s="21">
        <f>'Activity data'!AN8/'Intermediate calculations'!AI8</f>
        <v>5.982358395359423</v>
      </c>
      <c r="AJ9" s="21">
        <f>'Activity data'!AO8/'Intermediate calculations'!AJ8</f>
        <v>5.7629627478845036</v>
      </c>
      <c r="AK9" s="21">
        <f>'Activity data'!AP8/'Intermediate calculations'!AK8</f>
        <v>5.5681585003277982</v>
      </c>
      <c r="AL9" s="21">
        <f>'Activity data'!AQ8/'Intermediate calculations'!AL8</f>
        <v>5.3770688564097577</v>
      </c>
      <c r="AM9" s="21">
        <f>'Activity data'!AR8/'Intermediate calculations'!AM8</f>
        <v>5.162994822101016</v>
      </c>
      <c r="AN9" s="21">
        <f>'Activity data'!AS8/'Intermediate calculations'!AN8</f>
        <v>4.9679935537133755</v>
      </c>
      <c r="AO9" s="21">
        <f>'Activity data'!AT8/'Intermediate calculations'!AO8</f>
        <v>4.7779363686568743</v>
      </c>
      <c r="AP9" s="21">
        <f>'Activity data'!AU8/'Intermediate calculations'!AP8</f>
        <v>4.5958016199899783</v>
      </c>
      <c r="AQ9" s="21">
        <f>'Activity data'!AV8/'Intermediate calculations'!AQ8</f>
        <v>4.4209645432451774</v>
      </c>
      <c r="AR9" s="22">
        <f>AQ9+Constants!$I$34</f>
        <v>4.2879368932071928</v>
      </c>
      <c r="AS9" s="22">
        <f>AR9+Constants!$I$34</f>
        <v>4.1549092431692083</v>
      </c>
      <c r="AT9" s="22">
        <f>AS9+Constants!$I$34</f>
        <v>4.0218815931312237</v>
      </c>
      <c r="AU9" s="22">
        <f>AT9+Constants!$I$34</f>
        <v>3.8888539430932392</v>
      </c>
      <c r="AV9" s="22">
        <f>AU9+Constants!$I$34</f>
        <v>3.7558262930552546</v>
      </c>
      <c r="AW9" s="22">
        <f>AV9+Constants!$I$34</f>
        <v>3.6227986430172701</v>
      </c>
      <c r="AX9" s="22">
        <f>AW9+Constants!$I$34</f>
        <v>3.4897709929792855</v>
      </c>
      <c r="AY9" s="22">
        <f>AX9+Constants!$I$34</f>
        <v>3.3567433429413009</v>
      </c>
      <c r="AZ9" s="22">
        <f>AY9+Constants!$I$34</f>
        <v>3.2237156929033164</v>
      </c>
      <c r="BA9" s="22">
        <f>AZ9+Constants!$I$34</f>
        <v>3.0906880428653318</v>
      </c>
      <c r="BB9" s="22">
        <f>BA9+Constants!$J$34</f>
        <v>2.9909173053368434</v>
      </c>
      <c r="BC9" s="22">
        <f>BB9+Constants!$J$34</f>
        <v>2.891146567808355</v>
      </c>
      <c r="BD9" s="22">
        <f>BC9+Constants!$J$34</f>
        <v>2.7913758302798666</v>
      </c>
      <c r="BE9" s="22">
        <f>BD9+Constants!$J$34</f>
        <v>2.6916050927513782</v>
      </c>
      <c r="BF9" s="22">
        <f>BE9+Constants!$J$34</f>
        <v>2.5918343552228897</v>
      </c>
      <c r="BG9" s="22">
        <f>BF9+Constants!$J$34</f>
        <v>2.4920636176944013</v>
      </c>
      <c r="BH9" s="22">
        <f>BG9+Constants!$J$34</f>
        <v>2.3922928801659129</v>
      </c>
      <c r="BI9" s="22">
        <f>BH9+Constants!$J$34</f>
        <v>2.2925221426374245</v>
      </c>
      <c r="BJ9" s="22">
        <f>BI9+Constants!$J$34</f>
        <v>2.1927514051089361</v>
      </c>
      <c r="BK9" s="22">
        <f>BJ9+Constants!$J$34</f>
        <v>2.0929806675804477</v>
      </c>
    </row>
    <row r="10" spans="1:67" x14ac:dyDescent="0.25">
      <c r="A10" t="s">
        <v>328</v>
      </c>
      <c r="B10" t="s">
        <v>321</v>
      </c>
      <c r="C10" s="21">
        <v>1167000</v>
      </c>
      <c r="D10" s="21">
        <v>1153000</v>
      </c>
      <c r="E10" s="21">
        <v>1174000</v>
      </c>
      <c r="F10" s="21">
        <v>1092000</v>
      </c>
      <c r="G10" s="21">
        <v>1088000</v>
      </c>
      <c r="H10" s="21">
        <v>1397000</v>
      </c>
      <c r="I10" s="21">
        <v>1487000</v>
      </c>
      <c r="J10" s="21">
        <v>1571000</v>
      </c>
      <c r="K10" s="21">
        <v>1608000</v>
      </c>
      <c r="L10" s="21">
        <v>1606000</v>
      </c>
      <c r="M10" s="21">
        <v>1284000</v>
      </c>
      <c r="N10" s="21">
        <v>1575000</v>
      </c>
      <c r="O10" s="21">
        <v>1611000</v>
      </c>
      <c r="P10" s="21">
        <v>1528000</v>
      </c>
      <c r="Q10" s="21">
        <v>1626000</v>
      </c>
      <c r="R10" s="21">
        <v>1835000</v>
      </c>
      <c r="S10" s="21">
        <v>1697000</v>
      </c>
      <c r="T10" s="21">
        <v>1799000</v>
      </c>
      <c r="U10" s="21">
        <v>1819000</v>
      </c>
      <c r="V10" s="21">
        <v>1788000</v>
      </c>
      <c r="W10" s="21">
        <v>1868000</v>
      </c>
      <c r="X10" s="21">
        <v>1852000</v>
      </c>
      <c r="Y10" s="22">
        <f>((Relationships!$AI$6*LN('Intermediate calculations'!Y4))+Relationships!$AJ$6)*Drivers!Z4</f>
        <v>1989339.0036995681</v>
      </c>
      <c r="Z10" s="22">
        <f>((Relationships!$AI$6*LN('Intermediate calculations'!Z4))+Relationships!$AJ$6)*Drivers!AA4</f>
        <v>2041934.3898660559</v>
      </c>
      <c r="AA10" s="22">
        <f>((Relationships!$AI$6*LN('Intermediate calculations'!AA4))+Relationships!$AJ$6)*Drivers!AB4</f>
        <v>2082078.9890424414</v>
      </c>
      <c r="AB10" s="22">
        <f>((Relationships!$AI$6*LN('Intermediate calculations'!AB4))+Relationships!$AJ$6)*Drivers!AC4</f>
        <v>2109225.3069970682</v>
      </c>
      <c r="AC10" s="22">
        <f>((Relationships!$AI$6*LN('Intermediate calculations'!AC4))+Relationships!$AJ$6)*Drivers!AD4</f>
        <v>2125787.2799334517</v>
      </c>
      <c r="AD10" s="22">
        <f>((Relationships!$AI$6*LN('Intermediate calculations'!AD4))+Relationships!$AJ$6)*Drivers!AE4</f>
        <v>2151401.9129960765</v>
      </c>
      <c r="AE10" s="22">
        <f>((Relationships!$AI$6*LN('Intermediate calculations'!AE4))+Relationships!$AJ$6)*Drivers!AF4</f>
        <v>2173342.904993027</v>
      </c>
      <c r="AF10" s="22">
        <f>((Relationships!$AI$6*LN('Intermediate calculations'!AF4))+Relationships!$AJ$6)*Drivers!AG4</f>
        <v>2191840.3152373806</v>
      </c>
      <c r="AG10" s="22">
        <f>((Relationships!$AI$6*LN('Intermediate calculations'!AG4))+Relationships!$AJ$6)*Drivers!AH4</f>
        <v>2010364.2700183</v>
      </c>
      <c r="AH10" s="22">
        <f>((Relationships!$AI$6*LN('Intermediate calculations'!AH4))+Relationships!$AJ$6)*Drivers!AI4</f>
        <v>2059607.53084032</v>
      </c>
      <c r="AI10" s="22">
        <f>((Relationships!$AI$6*LN('Intermediate calculations'!AI4))+Relationships!$AJ$6)*Drivers!AJ4</f>
        <v>2106414.966087963</v>
      </c>
      <c r="AJ10" s="22">
        <f>((Relationships!$AI$6*LN('Intermediate calculations'!AJ4))+Relationships!$AJ$6)*Drivers!AK4</f>
        <v>2153381.1406907793</v>
      </c>
      <c r="AK10" s="22">
        <f>((Relationships!$AI$6*LN('Intermediate calculations'!AK4))+Relationships!$AJ$6)*Drivers!AL4</f>
        <v>2198306.9801634578</v>
      </c>
      <c r="AL10" s="22">
        <f>((Relationships!$AI$6*LN('Intermediate calculations'!AL4))+Relationships!$AJ$6)*Drivers!AM4</f>
        <v>2244989.421595885</v>
      </c>
      <c r="AM10" s="22">
        <f>((Relationships!$AI$6*LN('Intermediate calculations'!AM4))+Relationships!$AJ$6)*Drivers!AN4</f>
        <v>2300274.6397651136</v>
      </c>
      <c r="AN10" s="22">
        <f>((Relationships!$AI$6*LN('Intermediate calculations'!AN4))+Relationships!$AJ$6)*Drivers!AO4</f>
        <v>2354618.200235852</v>
      </c>
      <c r="AO10" s="22">
        <f>((Relationships!$AI$6*LN('Intermediate calculations'!AO4))+Relationships!$AJ$6)*Drivers!AP4</f>
        <v>2411181.0162561685</v>
      </c>
      <c r="AP10" s="22">
        <f>((Relationships!$AI$6*LN('Intermediate calculations'!AP4))+Relationships!$AJ$6)*Drivers!AQ4</f>
        <v>2469221.786221026</v>
      </c>
      <c r="AQ10" s="22">
        <f>((Relationships!$AI$6*LN('Intermediate calculations'!AQ4))+Relationships!$AJ$6)*Drivers!AR4</f>
        <v>2528860.7442935854</v>
      </c>
      <c r="AR10" s="22">
        <f>((Relationships!$AI$6*LN('Intermediate calculations'!AR4))+Relationships!$AJ$6)*Drivers!AS4</f>
        <v>2599911.9668413526</v>
      </c>
      <c r="AS10" s="22">
        <f>((Relationships!$AI$6*LN('Intermediate calculations'!AS4))+Relationships!$AJ$6)*Drivers!AT4</f>
        <v>2666853.490327023</v>
      </c>
      <c r="AT10" s="22">
        <f>((Relationships!$AI$6*LN('Intermediate calculations'!AT4))+Relationships!$AJ$6)*Drivers!AU4</f>
        <v>2740343.1351123508</v>
      </c>
      <c r="AU10" s="22">
        <f>((Relationships!$AI$6*LN('Intermediate calculations'!AU4))+Relationships!$AJ$6)*Drivers!AV4</f>
        <v>2817903.344910101</v>
      </c>
      <c r="AV10" s="22">
        <f>((Relationships!$AI$6*LN('Intermediate calculations'!AV4))+Relationships!$AJ$6)*Drivers!AW4</f>
        <v>2899570.5689877151</v>
      </c>
      <c r="AW10" s="22">
        <f>((Relationships!$AI$6*LN('Intermediate calculations'!AW4))+Relationships!$AJ$6)*Drivers!AX4</f>
        <v>2982468.2939304486</v>
      </c>
      <c r="AX10" s="22">
        <f>((Relationships!$AI$6*LN('Intermediate calculations'!AX4))+Relationships!$AJ$6)*Drivers!AY4</f>
        <v>3067618.8943768581</v>
      </c>
      <c r="AY10" s="22">
        <f>((Relationships!$AI$6*LN('Intermediate calculations'!AY4))+Relationships!$AJ$6)*Drivers!AZ4</f>
        <v>3152814.1358322743</v>
      </c>
      <c r="AZ10" s="22">
        <f>((Relationships!$AI$6*LN('Intermediate calculations'!AZ4))+Relationships!$AJ$6)*Drivers!BA4</f>
        <v>3240124.2262424678</v>
      </c>
      <c r="BA10" s="22">
        <f>((Relationships!$AI$6*LN('Intermediate calculations'!BA4))+Relationships!$AJ$6)*Drivers!BB4</f>
        <v>3331215.8627152685</v>
      </c>
      <c r="BB10" s="22">
        <f>((Relationships!$AI$6*LN('Intermediate calculations'!BB4))+Relationships!$AJ$6)*Drivers!BC4</f>
        <v>3425106.2204936445</v>
      </c>
      <c r="BC10" s="22">
        <f>((Relationships!$AI$6*LN('Intermediate calculations'!BC4))+Relationships!$AJ$6)*Drivers!BD4</f>
        <v>3521423.0960640106</v>
      </c>
      <c r="BD10" s="22">
        <f>((Relationships!$AI$6*LN('Intermediate calculations'!BD4))+Relationships!$AJ$6)*Drivers!BE4</f>
        <v>3619819.6732322238</v>
      </c>
      <c r="BE10" s="22">
        <f>((Relationships!$AI$6*LN('Intermediate calculations'!BE4))+Relationships!$AJ$6)*Drivers!BF4</f>
        <v>3720667.1402375824</v>
      </c>
      <c r="BF10" s="22">
        <f>((Relationships!$AI$6*LN('Intermediate calculations'!BF4))+Relationships!$AJ$6)*Drivers!BG4</f>
        <v>3825729.3998068292</v>
      </c>
      <c r="BG10" s="22">
        <f>((Relationships!$AI$6*LN('Intermediate calculations'!BG4))+Relationships!$AJ$6)*Drivers!BH4</f>
        <v>3933601.0528196762</v>
      </c>
      <c r="BH10" s="22">
        <f>((Relationships!$AI$6*LN('Intermediate calculations'!BH4))+Relationships!$AJ$6)*Drivers!BI4</f>
        <v>4044396.2362145782</v>
      </c>
      <c r="BI10" s="22">
        <f>((Relationships!$AI$6*LN('Intermediate calculations'!BI4))+Relationships!$AJ$6)*Drivers!BJ4</f>
        <v>4154531.1829808853</v>
      </c>
      <c r="BJ10" s="22">
        <f>((Relationships!$AI$6*LN('Intermediate calculations'!BJ4))+Relationships!$AJ$6)*Drivers!BK4</f>
        <v>4267755.3973712064</v>
      </c>
      <c r="BK10" s="22">
        <f>((Relationships!$AI$6*LN('Intermediate calculations'!BK4))+Relationships!$AJ$6)*Drivers!BL4</f>
        <v>4384242.5561240511</v>
      </c>
    </row>
    <row r="11" spans="1:67" x14ac:dyDescent="0.25">
      <c r="A11" t="s">
        <v>328</v>
      </c>
      <c r="B11" t="s">
        <v>669</v>
      </c>
      <c r="C11" s="53">
        <f>C10*ttokg/Drivers!D4</f>
        <v>31.711517903189872</v>
      </c>
      <c r="D11" s="53">
        <f>D10*ttokg/Drivers!E4</f>
        <v>30.568189199328188</v>
      </c>
      <c r="E11" s="53">
        <f>E10*ttokg/Drivers!F4</f>
        <v>30.357405178295842</v>
      </c>
      <c r="F11" s="53">
        <f>F10*ttokg/Drivers!G4</f>
        <v>27.552275522755227</v>
      </c>
      <c r="G11" s="53">
        <f>G10*ttokg/Drivers!H4</f>
        <v>26.821773432486133</v>
      </c>
      <c r="H11" s="53">
        <f>H10*ttokg/Drivers!I4</f>
        <v>33.714841176550941</v>
      </c>
      <c r="I11" s="53">
        <f>I10*ttokg/Drivers!J4</f>
        <v>35.202755918886503</v>
      </c>
      <c r="J11" s="53">
        <f>J10*ttokg/Drivers!K4</f>
        <v>36.545540570539863</v>
      </c>
      <c r="K11" s="53">
        <f>K10*ttokg/Drivers!L4</f>
        <v>36.811282200142578</v>
      </c>
      <c r="L11" s="53">
        <f>L10*ttokg/Drivers!M4</f>
        <v>36.22130749763248</v>
      </c>
      <c r="M11" s="53">
        <f>M10*ttokg/Drivers!N4</f>
        <v>28.553823557117923</v>
      </c>
      <c r="N11" s="53">
        <f>N10*ttokg/Drivers!O4</f>
        <v>34.561245753190924</v>
      </c>
      <c r="O11" s="53">
        <f>O10*ttokg/Drivers!P4</f>
        <v>34.907218411908772</v>
      </c>
      <c r="P11" s="53">
        <f>P10*ttokg/Drivers!Q4</f>
        <v>32.706042287200319</v>
      </c>
      <c r="Q11" s="53">
        <f>Q10*ttokg/Drivers!R4</f>
        <v>34.38242005294385</v>
      </c>
      <c r="R11" s="53">
        <f>R10*ttokg/Drivers!S4</f>
        <v>38.324498057156802</v>
      </c>
      <c r="S11" s="53">
        <f>S10*ttokg/Drivers!T4</f>
        <v>34.997297041404401</v>
      </c>
      <c r="T11" s="53">
        <f>T10*ttokg/Drivers!U4</f>
        <v>36.624772527894528</v>
      </c>
      <c r="U11" s="53">
        <f>U10*ttokg/Drivers!V4</f>
        <v>36.541167743626687</v>
      </c>
      <c r="V11" s="53">
        <f>V10*ttokg/Drivers!W4</f>
        <v>35.422065700364072</v>
      </c>
      <c r="W11" s="53">
        <f>W10*ttokg/Drivers!X4</f>
        <v>36.472290704306488</v>
      </c>
      <c r="X11" s="53">
        <f>X10*ttokg/Drivers!Y4</f>
        <v>35.612527394917471</v>
      </c>
      <c r="Y11" s="53">
        <f>Y10*ttokg/Drivers!Z4</f>
        <v>37.511774218495937</v>
      </c>
      <c r="Z11" s="53">
        <f>Z10*ttokg/Drivers!AA4</f>
        <v>38.157007520290051</v>
      </c>
      <c r="AA11" s="53">
        <f>AA10*ttokg/Drivers!AB4</f>
        <v>38.557018315600764</v>
      </c>
      <c r="AB11" s="53">
        <f>AB10*ttokg/Drivers!AC4</f>
        <v>38.708195842715284</v>
      </c>
      <c r="AC11" s="53">
        <f>AC10*ttokg/Drivers!AD4</f>
        <v>38.633193796157812</v>
      </c>
      <c r="AD11" s="53">
        <f>AD10*ttokg/Drivers!AE4</f>
        <v>38.722571476493329</v>
      </c>
      <c r="AE11" s="53">
        <f>AE10*ttokg/Drivers!AF4</f>
        <v>38.744754938850996</v>
      </c>
      <c r="AF11" s="53">
        <f>AF10*ttokg/Drivers!AG4</f>
        <v>38.705709433010988</v>
      </c>
      <c r="AG11" s="53">
        <f>AG10*ttokg/Drivers!AH4</f>
        <v>35.169081452029133</v>
      </c>
      <c r="AH11" s="53">
        <f>AH10*ttokg/Drivers!AI4</f>
        <v>35.692265482365819</v>
      </c>
      <c r="AI11" s="53">
        <f>AI10*ttokg/Drivers!AJ4</f>
        <v>36.163897717888638</v>
      </c>
      <c r="AJ11" s="53">
        <f>AJ10*ttokg/Drivers!AK4</f>
        <v>36.629537551273295</v>
      </c>
      <c r="AK11" s="53">
        <f>AK10*ttokg/Drivers!AL4</f>
        <v>37.052283917473112</v>
      </c>
      <c r="AL11" s="53">
        <f>AL10*ttokg/Drivers!AM4</f>
        <v>37.496719171447921</v>
      </c>
      <c r="AM11" s="53">
        <f>AM10*ttokg/Drivers!AN4</f>
        <v>38.04712936368449</v>
      </c>
      <c r="AN11" s="53">
        <f>AN10*ttokg/Drivers!AO4</f>
        <v>38.571529940672754</v>
      </c>
      <c r="AO11" s="53">
        <f>AO10*ttokg/Drivers!AP4</f>
        <v>39.121950508840648</v>
      </c>
      <c r="AP11" s="53">
        <f>AP10*ttokg/Drivers!AQ4</f>
        <v>39.685740379464931</v>
      </c>
      <c r="AQ11" s="53">
        <f>AQ10*ttokg/Drivers!AR4</f>
        <v>40.26443910093419</v>
      </c>
      <c r="AR11" s="53">
        <f>AR10*ttokg/Drivers!AS4</f>
        <v>41.025340837351877</v>
      </c>
      <c r="AS11" s="53">
        <f>AS10*ttokg/Drivers!AT4</f>
        <v>41.708473548426831</v>
      </c>
      <c r="AT11" s="53">
        <f>AT10*ttokg/Drivers!AU4</f>
        <v>42.481106684322206</v>
      </c>
      <c r="AU11" s="53">
        <f>AU10*ttokg/Drivers!AV4</f>
        <v>43.302828032041383</v>
      </c>
      <c r="AV11" s="53">
        <f>AV10*ttokg/Drivers!AW4</f>
        <v>44.172920791604511</v>
      </c>
      <c r="AW11" s="53">
        <f>AW10*ttokg/Drivers!AX4</f>
        <v>45.031534064132742</v>
      </c>
      <c r="AX11" s="53">
        <f>AX10*ttokg/Drivers!AY4</f>
        <v>45.908718285144758</v>
      </c>
      <c r="AY11" s="53">
        <f>AY10*ttokg/Drivers!AZ4</f>
        <v>46.77122779180776</v>
      </c>
      <c r="AZ11" s="53">
        <f>AZ10*ttokg/Drivers!BA4</f>
        <v>47.649888976478039</v>
      </c>
      <c r="BA11" s="53">
        <f>BA10*ttokg/Drivers!BB4</f>
        <v>48.568585696432578</v>
      </c>
      <c r="BB11" s="53">
        <f>BB10*ttokg/Drivers!BC4</f>
        <v>49.452465422466403</v>
      </c>
      <c r="BC11" s="53">
        <f>BC10*ttokg/Drivers!BD4</f>
        <v>50.354038260294111</v>
      </c>
      <c r="BD11" s="53">
        <f>BD10*ttokg/Drivers!BE4</f>
        <v>51.267886483207512</v>
      </c>
      <c r="BE11" s="53">
        <f>BE10*ttokg/Drivers!BF4</f>
        <v>52.198870107333207</v>
      </c>
      <c r="BF11" s="53">
        <f>BF10*ttokg/Drivers!BG4</f>
        <v>53.171023711507999</v>
      </c>
      <c r="BG11" s="53">
        <f>BG10*ttokg/Drivers!BH4</f>
        <v>54.181564805630913</v>
      </c>
      <c r="BH11" s="53">
        <f>BH10*ttokg/Drivers!BI4</f>
        <v>55.214111886370596</v>
      </c>
      <c r="BI11" s="53">
        <f>BI10*ttokg/Drivers!BJ4</f>
        <v>56.219589243765967</v>
      </c>
      <c r="BJ11" s="53">
        <f>BJ10*ttokg/Drivers!BK4</f>
        <v>57.249000868516532</v>
      </c>
      <c r="BK11" s="53">
        <f>BK10*ttokg/Drivers!BL4</f>
        <v>58.304036724156063</v>
      </c>
    </row>
    <row r="12" spans="1:67" x14ac:dyDescent="0.25">
      <c r="A12" t="s">
        <v>328</v>
      </c>
      <c r="B12" t="s">
        <v>322</v>
      </c>
      <c r="C12" s="53">
        <f>C10/Drivers!D4</f>
        <v>3.1711517903189872E-2</v>
      </c>
      <c r="D12" s="53">
        <f>D10/Drivers!E4</f>
        <v>3.0568189199328188E-2</v>
      </c>
      <c r="E12" s="53">
        <f>E10/Drivers!F4</f>
        <v>3.035740517829584E-2</v>
      </c>
      <c r="F12" s="53">
        <f>F10/Drivers!G4</f>
        <v>2.7552275522755229E-2</v>
      </c>
      <c r="G12" s="53">
        <f>G10/Drivers!H4</f>
        <v>2.6821773432486134E-2</v>
      </c>
      <c r="H12" s="53">
        <f>H10/Drivers!I4</f>
        <v>3.3714841176550943E-2</v>
      </c>
      <c r="I12" s="53">
        <f>I10/Drivers!J4</f>
        <v>3.5202755918886504E-2</v>
      </c>
      <c r="J12" s="53">
        <f>J10/Drivers!K4</f>
        <v>3.654554057053986E-2</v>
      </c>
      <c r="K12" s="53">
        <f>K10/Drivers!L4</f>
        <v>3.6811282200142577E-2</v>
      </c>
      <c r="L12" s="53">
        <f>L10/Drivers!M4</f>
        <v>3.6221307497632478E-2</v>
      </c>
      <c r="M12" s="53">
        <f>M10/Drivers!N4</f>
        <v>2.855382355711792E-2</v>
      </c>
      <c r="N12" s="53">
        <f>N10/Drivers!O4</f>
        <v>3.4561245753190924E-2</v>
      </c>
      <c r="O12" s="53">
        <f>O10/Drivers!P4</f>
        <v>3.4907218411908775E-2</v>
      </c>
      <c r="P12" s="53">
        <f>P10/Drivers!Q4</f>
        <v>3.2706042287200317E-2</v>
      </c>
      <c r="Q12" s="53">
        <f>Q10/Drivers!R4</f>
        <v>3.4382420052943855E-2</v>
      </c>
      <c r="R12" s="53">
        <f>R10/Drivers!S4</f>
        <v>3.8324498057156799E-2</v>
      </c>
      <c r="S12" s="53">
        <f>S10/Drivers!T4</f>
        <v>3.4997297041404404E-2</v>
      </c>
      <c r="T12" s="53">
        <f>T10/Drivers!U4</f>
        <v>3.6624772527894527E-2</v>
      </c>
      <c r="U12" s="53">
        <f>U10/Drivers!V4</f>
        <v>3.6541167743626687E-2</v>
      </c>
      <c r="V12" s="53">
        <f>V10/Drivers!W4</f>
        <v>3.5422065700364075E-2</v>
      </c>
      <c r="W12" s="53">
        <f>W10/Drivers!X4</f>
        <v>3.6472290704306486E-2</v>
      </c>
      <c r="X12" s="53">
        <f>X10/Drivers!Y4</f>
        <v>3.5612527394917472E-2</v>
      </c>
      <c r="Y12" s="73"/>
      <c r="Z12" s="73"/>
      <c r="AA12" s="73"/>
      <c r="AB12" s="73"/>
      <c r="AC12" s="73"/>
      <c r="AD12" s="73"/>
      <c r="AE12" s="73"/>
      <c r="AF12" s="73"/>
      <c r="AG12" s="73"/>
      <c r="AH12" s="73"/>
      <c r="AI12" s="73"/>
      <c r="AJ12" s="73"/>
      <c r="AK12" s="73"/>
      <c r="AL12" s="73"/>
      <c r="AM12" s="73"/>
      <c r="AN12" s="73"/>
      <c r="AO12" s="73">
        <f>(AO13-AE13)/AE13</f>
        <v>8.4011915548571237E-2</v>
      </c>
      <c r="AP12" s="73"/>
      <c r="AQ12" s="73">
        <f>(AQ13-AE13)/AE13</f>
        <v>0.12558010376345316</v>
      </c>
      <c r="AR12" s="73"/>
      <c r="AS12" s="73"/>
      <c r="AT12" s="73"/>
      <c r="AU12" s="73"/>
      <c r="AV12" s="73"/>
      <c r="AW12" s="73"/>
      <c r="AX12" s="73"/>
      <c r="AY12" s="73"/>
      <c r="AZ12" s="73"/>
      <c r="BA12" s="73"/>
      <c r="BB12" s="73"/>
      <c r="BC12" s="73"/>
      <c r="BD12" s="73"/>
      <c r="BE12" s="73"/>
      <c r="BF12" s="73"/>
      <c r="BG12" s="73"/>
      <c r="BH12" s="73"/>
      <c r="BI12" s="73"/>
      <c r="BJ12" s="73"/>
      <c r="BK12" s="73"/>
    </row>
    <row r="13" spans="1:67" x14ac:dyDescent="0.25">
      <c r="A13" t="s">
        <v>329</v>
      </c>
      <c r="B13" t="s">
        <v>321</v>
      </c>
      <c r="C13" s="21">
        <v>2119000</v>
      </c>
      <c r="D13" s="21">
        <v>2163000</v>
      </c>
      <c r="E13" s="21">
        <v>2107000</v>
      </c>
      <c r="F13" s="21">
        <v>2002000</v>
      </c>
      <c r="G13" s="21">
        <v>2006000</v>
      </c>
      <c r="H13" s="21">
        <v>2297000</v>
      </c>
      <c r="I13" s="21">
        <v>2450000</v>
      </c>
      <c r="J13" s="21">
        <v>2437000</v>
      </c>
      <c r="K13" s="21">
        <v>2501000</v>
      </c>
      <c r="L13" s="21">
        <v>2543000</v>
      </c>
      <c r="M13" s="21">
        <v>2370000</v>
      </c>
      <c r="N13" s="21">
        <v>2358000</v>
      </c>
      <c r="O13" s="21">
        <v>2457000</v>
      </c>
      <c r="P13" s="21">
        <v>2354000</v>
      </c>
      <c r="Q13" s="21">
        <v>2505000</v>
      </c>
      <c r="R13" s="21">
        <v>2657000</v>
      </c>
      <c r="S13" s="21">
        <v>2513000</v>
      </c>
      <c r="T13" s="21">
        <v>2559000</v>
      </c>
      <c r="U13" s="21">
        <v>2625000</v>
      </c>
      <c r="V13" s="21">
        <v>2587000</v>
      </c>
      <c r="W13" s="21">
        <v>2711000</v>
      </c>
      <c r="X13" s="21">
        <v>2720000</v>
      </c>
      <c r="Y13" s="22">
        <f>((Relationships!$AI$18*'Intermediate calculations'!Y10)+Relationships!$AJ$18)</f>
        <v>2896222.1996302679</v>
      </c>
      <c r="Z13" s="22">
        <f>((Relationships!$AI$18*'Intermediate calculations'!Z10)+Relationships!$AJ$18)</f>
        <v>2953769.5703744451</v>
      </c>
      <c r="AA13" s="22">
        <f>((Relationships!$AI$18*'Intermediate calculations'!AA10)+Relationships!$AJ$18)</f>
        <v>2997693.8820025967</v>
      </c>
      <c r="AB13" s="22">
        <f>((Relationships!$AI$18*'Intermediate calculations'!AB10)+Relationships!$AJ$18)</f>
        <v>3027396.0923586376</v>
      </c>
      <c r="AC13" s="22">
        <f>((Relationships!$AI$18*'Intermediate calculations'!AC10)+Relationships!$AJ$18)</f>
        <v>3045517.4156589005</v>
      </c>
      <c r="AD13" s="22">
        <f>((Relationships!$AI$18*'Intermediate calculations'!AD10)+Relationships!$AJ$18)</f>
        <v>3073543.729234484</v>
      </c>
      <c r="AE13" s="22">
        <f>((Relationships!$AI$18*'Intermediate calculations'!AE10)+Relationships!$AJ$18)</f>
        <v>3097550.5194298578</v>
      </c>
      <c r="AF13" s="22">
        <f>((Relationships!$AI$18*'Intermediate calculations'!AF10)+Relationships!$AJ$18)</f>
        <v>3117789.5062065572</v>
      </c>
      <c r="AG13" s="22">
        <f>((Relationships!$AI$18*'Intermediate calculations'!AG10)+Relationships!$AJ$18)</f>
        <v>2919227.0463293511</v>
      </c>
      <c r="AH13" s="22">
        <f>((Relationships!$AI$18*'Intermediate calculations'!AH10)+Relationships!$AJ$18)</f>
        <v>2973106.6809080699</v>
      </c>
      <c r="AI13" s="22">
        <f>((Relationships!$AI$18*'Intermediate calculations'!AI10)+Relationships!$AJ$18)</f>
        <v>3024321.1509616515</v>
      </c>
      <c r="AJ13" s="22">
        <f>((Relationships!$AI$18*'Intermediate calculations'!AJ10)+Relationships!$AJ$18)</f>
        <v>3075709.3060699441</v>
      </c>
      <c r="AK13" s="22">
        <f>((Relationships!$AI$18*'Intermediate calculations'!AK10)+Relationships!$AJ$18)</f>
        <v>3124865.0234924527</v>
      </c>
      <c r="AL13" s="22">
        <f>((Relationships!$AI$18*'Intermediate calculations'!AL10)+Relationships!$AJ$18)</f>
        <v>3175942.7312566163</v>
      </c>
      <c r="AM13" s="22">
        <f>((Relationships!$AI$18*'Intermediate calculations'!AM10)+Relationships!$AJ$18)</f>
        <v>3236433.188282378</v>
      </c>
      <c r="AN13" s="22">
        <f>((Relationships!$AI$18*'Intermediate calculations'!AN10)+Relationships!$AJ$18)</f>
        <v>3295893.3282282809</v>
      </c>
      <c r="AO13" s="22">
        <f>((Relationships!$AI$18*'Intermediate calculations'!AO10)+Relationships!$AJ$18)</f>
        <v>3357781.672075632</v>
      </c>
      <c r="AP13" s="22">
        <f>((Relationships!$AI$18*'Intermediate calculations'!AP10)+Relationships!$AJ$18)</f>
        <v>3421287.1228555199</v>
      </c>
      <c r="AQ13" s="22">
        <f>((Relationships!$AI$18*'Intermediate calculations'!AQ10)+Relationships!$AJ$18)</f>
        <v>3486541.2350723976</v>
      </c>
      <c r="AR13" s="22">
        <f>((Relationships!$AI$18*'Intermediate calculations'!AR10)+Relationships!$AJ$18)</f>
        <v>3564282.1044490468</v>
      </c>
      <c r="AS13" s="22">
        <f>((Relationships!$AI$18*'Intermediate calculations'!AS10)+Relationships!$AJ$18)</f>
        <v>3637526.3365194341</v>
      </c>
      <c r="AT13" s="22">
        <f>((Relationships!$AI$18*'Intermediate calculations'!AT10)+Relationships!$AJ$18)</f>
        <v>3717935.2115666103</v>
      </c>
      <c r="AU13" s="22">
        <f>((Relationships!$AI$18*'Intermediate calculations'!AU10)+Relationships!$AJ$18)</f>
        <v>3802797.9053036356</v>
      </c>
      <c r="AV13" s="22">
        <f>((Relationships!$AI$18*'Intermediate calculations'!AV10)+Relationships!$AJ$18)</f>
        <v>3892154.2987858597</v>
      </c>
      <c r="AW13" s="22">
        <f>((Relationships!$AI$18*'Intermediate calculations'!AW10)+Relationships!$AJ$18)</f>
        <v>3982857.0478069885</v>
      </c>
      <c r="AX13" s="22">
        <f>((Relationships!$AI$18*'Intermediate calculations'!AX10)+Relationships!$AJ$18)</f>
        <v>4076024.7860847805</v>
      </c>
      <c r="AY13" s="22">
        <f>((Relationships!$AI$18*'Intermediate calculations'!AY10)+Relationships!$AJ$18)</f>
        <v>4169241.3684320431</v>
      </c>
      <c r="AZ13" s="22">
        <f>((Relationships!$AI$18*'Intermediate calculations'!AZ10)+Relationships!$AJ$18)</f>
        <v>4264771.9179490348</v>
      </c>
      <c r="BA13" s="22">
        <f>((Relationships!$AI$18*'Intermediate calculations'!BA10)+Relationships!$AJ$18)</f>
        <v>4364440.0553632276</v>
      </c>
      <c r="BB13" s="22">
        <f>((Relationships!$AI$18*'Intermediate calculations'!BB10)+Relationships!$AJ$18)</f>
        <v>4467170.420556711</v>
      </c>
      <c r="BC13" s="22">
        <f>((Relationships!$AI$18*'Intermediate calculations'!BC10)+Relationships!$AJ$18)</f>
        <v>4572555.7661424093</v>
      </c>
      <c r="BD13" s="22">
        <f>((Relationships!$AI$18*'Intermediate calculations'!BD10)+Relationships!$AJ$18)</f>
        <v>4680216.622331067</v>
      </c>
      <c r="BE13" s="22">
        <f>((Relationships!$AI$18*'Intermediate calculations'!BE10)+Relationships!$AJ$18)</f>
        <v>4790559.1256449092</v>
      </c>
      <c r="BF13" s="22">
        <f>((Relationships!$AI$18*'Intermediate calculations'!BF10)+Relationships!$AJ$18)</f>
        <v>4905513.2545777</v>
      </c>
      <c r="BG13" s="22">
        <f>((Relationships!$AI$18*'Intermediate calculations'!BG10)+Relationships!$AJ$18)</f>
        <v>5023541.2882357705</v>
      </c>
      <c r="BH13" s="22">
        <f>((Relationships!$AI$18*'Intermediate calculations'!BH10)+Relationships!$AJ$18)</f>
        <v>5144768.10983021</v>
      </c>
      <c r="BI13" s="22">
        <f>((Relationships!$AI$18*'Intermediate calculations'!BI10)+Relationships!$AJ$18)</f>
        <v>5265272.5318984939</v>
      </c>
      <c r="BJ13" s="22">
        <f>((Relationships!$AI$18*'Intermediate calculations'!BJ10)+Relationships!$AJ$18)</f>
        <v>5389157.0837128432</v>
      </c>
      <c r="BK13" s="22">
        <f>((Relationships!$AI$18*'Intermediate calculations'!BK10)+Relationships!$AJ$18)</f>
        <v>5516611.7941025728</v>
      </c>
    </row>
    <row r="14" spans="1:67" x14ac:dyDescent="0.25">
      <c r="A14" t="s">
        <v>2</v>
      </c>
      <c r="B14" t="s">
        <v>138</v>
      </c>
      <c r="C14" s="21">
        <v>887480</v>
      </c>
      <c r="D14" s="21">
        <v>1021720.0000000001</v>
      </c>
      <c r="E14" s="21">
        <v>883920</v>
      </c>
      <c r="F14" s="21">
        <v>937480</v>
      </c>
      <c r="G14" s="21">
        <v>869680</v>
      </c>
      <c r="H14" s="21">
        <v>930360</v>
      </c>
      <c r="I14" s="21">
        <v>933920</v>
      </c>
      <c r="J14" s="21">
        <v>900360</v>
      </c>
      <c r="K14" s="21">
        <v>889680.00000000012</v>
      </c>
      <c r="L14" s="21">
        <v>873920</v>
      </c>
      <c r="M14" s="21">
        <v>1125280</v>
      </c>
      <c r="N14" s="21">
        <v>1121720</v>
      </c>
      <c r="O14" s="21">
        <v>978160.00000000012</v>
      </c>
      <c r="P14" s="21">
        <v>889680.00000000012</v>
      </c>
      <c r="Q14" s="21">
        <v>859000</v>
      </c>
      <c r="R14" s="21">
        <v>919680</v>
      </c>
      <c r="S14" s="21">
        <v>899680</v>
      </c>
      <c r="T14" s="21">
        <v>893240.00000000012</v>
      </c>
      <c r="U14" s="21">
        <v>1093920</v>
      </c>
      <c r="V14" s="21">
        <v>1121040</v>
      </c>
      <c r="W14" s="21">
        <v>1121040</v>
      </c>
      <c r="X14" s="21">
        <v>1080360</v>
      </c>
      <c r="Y14" s="22">
        <f>((Relationships!$AI$19*'Intermediate calculations'!Y13)+Relationships!$AJ$19)</f>
        <v>1074298.1796278222</v>
      </c>
      <c r="Z14" s="22">
        <f>((Relationships!$AI$19*'Intermediate calculations'!Z13)+Relationships!$AJ$19)</f>
        <v>1084466.7423677559</v>
      </c>
      <c r="AA14" s="22">
        <f>((Relationships!$AI$19*'Intermediate calculations'!AA13)+Relationships!$AJ$19)</f>
        <v>1092228.1242141095</v>
      </c>
      <c r="AB14" s="22">
        <f>((Relationships!$AI$19*'Intermediate calculations'!AB13)+Relationships!$AJ$19)</f>
        <v>1097476.4750182279</v>
      </c>
      <c r="AC14" s="22">
        <f>((Relationships!$AI$19*'Intermediate calculations'!AC13)+Relationships!$AJ$19)</f>
        <v>1100678.4946852687</v>
      </c>
      <c r="AD14" s="22">
        <f>((Relationships!$AI$19*'Intermediate calculations'!AD13)+Relationships!$AJ$19)</f>
        <v>1105630.7162077646</v>
      </c>
      <c r="AE14" s="22">
        <f>((Relationships!$AI$19*'Intermediate calculations'!AE13)+Relationships!$AJ$19)</f>
        <v>1109872.6919771056</v>
      </c>
      <c r="AF14" s="22">
        <f>((Relationships!$AI$19*'Intermediate calculations'!AF13)+Relationships!$AJ$19)</f>
        <v>1113448.9006582359</v>
      </c>
      <c r="AG14" s="22">
        <f>((Relationships!$AI$19*'Intermediate calculations'!AG13)+Relationships!$AJ$19)</f>
        <v>1078363.1129854571</v>
      </c>
      <c r="AH14" s="22">
        <f>((Relationships!$AI$19*'Intermediate calculations'!AH13)+Relationships!$AJ$19)</f>
        <v>1087883.5904205418</v>
      </c>
      <c r="AI14" s="22">
        <f>((Relationships!$AI$19*'Intermediate calculations'!AI13)+Relationships!$AJ$19)</f>
        <v>1096933.1359549044</v>
      </c>
      <c r="AJ14" s="22">
        <f>((Relationships!$AI$19*'Intermediate calculations'!AJ13)+Relationships!$AJ$19)</f>
        <v>1106013.3714643777</v>
      </c>
      <c r="AK14" s="22">
        <f>((Relationships!$AI$19*'Intermediate calculations'!AK13)+Relationships!$AJ$19)</f>
        <v>1114699.1374719897</v>
      </c>
      <c r="AL14" s="22">
        <f>((Relationships!$AI$19*'Intermediate calculations'!AL13)+Relationships!$AJ$19)</f>
        <v>1123724.5172468675</v>
      </c>
      <c r="AM14" s="22">
        <f>((Relationships!$AI$19*'Intermediate calculations'!AM13)+Relationships!$AJ$19)</f>
        <v>1134413.1203833702</v>
      </c>
      <c r="AN14" s="22">
        <f>((Relationships!$AI$19*'Intermediate calculations'!AN13)+Relationships!$AJ$19)</f>
        <v>1144919.6675243848</v>
      </c>
      <c r="AO14" s="22">
        <f>((Relationships!$AI$19*'Intermediate calculations'!AO13)+Relationships!$AJ$19)</f>
        <v>1155855.2758613832</v>
      </c>
      <c r="AP14" s="22">
        <f>((Relationships!$AI$19*'Intermediate calculations'!AP13)+Relationships!$AJ$19)</f>
        <v>1167076.6253727921</v>
      </c>
      <c r="AQ14" s="22">
        <f>((Relationships!$AI$19*'Intermediate calculations'!AQ13)+Relationships!$AJ$19)</f>
        <v>1178606.9616077126</v>
      </c>
      <c r="AR14" s="22">
        <f>((Relationships!$AI$19*'Intermediate calculations'!AR13)+Relationships!$AJ$19)</f>
        <v>1192343.6953192768</v>
      </c>
      <c r="AS14" s="22">
        <f>((Relationships!$AI$19*'Intermediate calculations'!AS13)+Relationships!$AJ$19)</f>
        <v>1205285.877725088</v>
      </c>
      <c r="AT14" s="22">
        <f>((Relationships!$AI$19*'Intermediate calculations'!AT13)+Relationships!$AJ$19)</f>
        <v>1219494.0453649173</v>
      </c>
      <c r="AU14" s="22">
        <f>((Relationships!$AI$19*'Intermediate calculations'!AU13)+Relationships!$AJ$19)</f>
        <v>1234489.1983038899</v>
      </c>
      <c r="AV14" s="22">
        <f>((Relationships!$AI$19*'Intermediate calculations'!AV13)+Relationships!$AJ$19)</f>
        <v>1250278.3834845198</v>
      </c>
      <c r="AW14" s="22">
        <f>((Relationships!$AI$19*'Intermediate calculations'!AW13)+Relationships!$AJ$19)</f>
        <v>1266305.4683396365</v>
      </c>
      <c r="AX14" s="22">
        <f>((Relationships!$AI$19*'Intermediate calculations'!AX13)+Relationships!$AJ$19)</f>
        <v>1282768.1143261394</v>
      </c>
      <c r="AY14" s="22">
        <f>((Relationships!$AI$19*'Intermediate calculations'!AY13)+Relationships!$AJ$19)</f>
        <v>1299239.3910107692</v>
      </c>
      <c r="AZ14" s="22">
        <f>((Relationships!$AI$19*'Intermediate calculations'!AZ13)+Relationships!$AJ$19)</f>
        <v>1316119.5433753694</v>
      </c>
      <c r="BA14" s="22">
        <f>((Relationships!$AI$19*'Intermediate calculations'!BA13)+Relationships!$AJ$19)</f>
        <v>1333730.8033749596</v>
      </c>
      <c r="BB14" s="22">
        <f>((Relationships!$AI$19*'Intermediate calculations'!BB13)+Relationships!$AJ$19)</f>
        <v>1351883.1559543677</v>
      </c>
      <c r="BC14" s="22">
        <f>((Relationships!$AI$19*'Intermediate calculations'!BC13)+Relationships!$AJ$19)</f>
        <v>1370504.6409084161</v>
      </c>
      <c r="BD14" s="22">
        <f>((Relationships!$AI$19*'Intermediate calculations'!BD13)+Relationships!$AJ$19)</f>
        <v>1389528.2063056256</v>
      </c>
      <c r="BE14" s="22">
        <f>((Relationships!$AI$19*'Intermediate calculations'!BE13)+Relationships!$AJ$19)</f>
        <v>1409025.6160624675</v>
      </c>
      <c r="BF14" s="22">
        <f>((Relationships!$AI$19*'Intermediate calculations'!BF13)+Relationships!$AJ$19)</f>
        <v>1429337.89544468</v>
      </c>
      <c r="BG14" s="22">
        <f>((Relationships!$AI$19*'Intermediate calculations'!BG13)+Relationships!$AJ$19)</f>
        <v>1450193.330711364</v>
      </c>
      <c r="BH14" s="22">
        <f>((Relationships!$AI$19*'Intermediate calculations'!BH13)+Relationships!$AJ$19)</f>
        <v>1471613.9886007691</v>
      </c>
      <c r="BI14" s="22">
        <f>((Relationships!$AI$19*'Intermediate calculations'!BI13)+Relationships!$AJ$19)</f>
        <v>1492906.9992178483</v>
      </c>
      <c r="BJ14" s="22">
        <f>((Relationships!$AI$19*'Intermediate calculations'!BJ13)+Relationships!$AJ$19)</f>
        <v>1514797.2753736919</v>
      </c>
      <c r="BK14" s="22">
        <f>((Relationships!$AI$19*'Intermediate calculations'!BK13)+Relationships!$AJ$19)</f>
        <v>1537318.394972004</v>
      </c>
    </row>
    <row r="15" spans="1:67" x14ac:dyDescent="0.25">
      <c r="A15" t="s">
        <v>345</v>
      </c>
      <c r="B15" t="s">
        <v>321</v>
      </c>
      <c r="C15" s="21">
        <v>184000</v>
      </c>
      <c r="D15" s="21">
        <v>206000</v>
      </c>
      <c r="E15" s="21">
        <v>199000</v>
      </c>
      <c r="F15" s="21">
        <v>189000</v>
      </c>
      <c r="G15" s="21">
        <v>156000</v>
      </c>
      <c r="H15" s="21">
        <v>118000</v>
      </c>
      <c r="I15" s="21">
        <v>143000</v>
      </c>
      <c r="J15" s="21">
        <v>142000</v>
      </c>
      <c r="K15" s="21">
        <v>145000</v>
      </c>
      <c r="L15" s="21">
        <v>154000</v>
      </c>
      <c r="M15" s="21">
        <v>163000</v>
      </c>
      <c r="N15" s="21">
        <v>159000</v>
      </c>
      <c r="O15" s="21">
        <v>146000</v>
      </c>
      <c r="P15" s="21">
        <v>146000</v>
      </c>
      <c r="Q15" s="21">
        <v>153000</v>
      </c>
      <c r="R15" s="21">
        <v>168000</v>
      </c>
      <c r="S15" s="21">
        <v>176000</v>
      </c>
      <c r="T15" s="21">
        <v>203000</v>
      </c>
      <c r="U15" s="21">
        <v>189000</v>
      </c>
      <c r="V15" s="21">
        <v>180000</v>
      </c>
      <c r="W15" s="21">
        <v>174000</v>
      </c>
      <c r="X15" s="21">
        <v>155000</v>
      </c>
    </row>
    <row r="16" spans="1:67" x14ac:dyDescent="0.25">
      <c r="A16" t="s">
        <v>332</v>
      </c>
      <c r="B16" t="s">
        <v>321</v>
      </c>
      <c r="C16" s="22">
        <f>C15-C18</f>
        <v>172960</v>
      </c>
      <c r="D16" s="22">
        <f t="shared" ref="D16:X16" si="0">D15-D18</f>
        <v>193640</v>
      </c>
      <c r="E16" s="22">
        <f t="shared" si="0"/>
        <v>187060</v>
      </c>
      <c r="F16" s="22">
        <f t="shared" si="0"/>
        <v>177660</v>
      </c>
      <c r="G16" s="22">
        <f t="shared" si="0"/>
        <v>146640</v>
      </c>
      <c r="H16" s="22">
        <f t="shared" si="0"/>
        <v>110920</v>
      </c>
      <c r="I16" s="22">
        <f t="shared" si="0"/>
        <v>134420</v>
      </c>
      <c r="J16" s="22">
        <f t="shared" si="0"/>
        <v>133480</v>
      </c>
      <c r="K16" s="22">
        <f t="shared" si="0"/>
        <v>136300</v>
      </c>
      <c r="L16" s="22">
        <f t="shared" si="0"/>
        <v>144760</v>
      </c>
      <c r="M16" s="22">
        <f t="shared" si="0"/>
        <v>153220</v>
      </c>
      <c r="N16" s="22">
        <f t="shared" si="0"/>
        <v>149460</v>
      </c>
      <c r="O16" s="22">
        <f t="shared" si="0"/>
        <v>137240</v>
      </c>
      <c r="P16" s="22">
        <f t="shared" si="0"/>
        <v>137240</v>
      </c>
      <c r="Q16" s="22">
        <f t="shared" si="0"/>
        <v>143820</v>
      </c>
      <c r="R16" s="22">
        <f t="shared" si="0"/>
        <v>157920</v>
      </c>
      <c r="S16" s="22">
        <f t="shared" si="0"/>
        <v>165440</v>
      </c>
      <c r="T16" s="22">
        <f t="shared" si="0"/>
        <v>190820</v>
      </c>
      <c r="U16" s="22">
        <f t="shared" si="0"/>
        <v>177660</v>
      </c>
      <c r="V16" s="22">
        <f t="shared" si="0"/>
        <v>169200</v>
      </c>
      <c r="W16" s="22">
        <f t="shared" si="0"/>
        <v>163560</v>
      </c>
      <c r="X16" s="22">
        <f t="shared" si="0"/>
        <v>145700</v>
      </c>
      <c r="Y16" s="22">
        <f>((Relationships!$AI$7*'Intermediate calculations'!Y4)+Relationships!$AJ$7)*Drivers!Z4</f>
        <v>171087.63791127165</v>
      </c>
      <c r="Z16" s="22">
        <f>((Relationships!$AI$7*'Intermediate calculations'!Z4)+Relationships!$AJ$7)*Drivers!AA4</f>
        <v>172733.30389094638</v>
      </c>
      <c r="AA16" s="22">
        <f>((Relationships!$AI$7*'Intermediate calculations'!AA4)+Relationships!$AJ$7)*Drivers!AB4</f>
        <v>174360.22218834146</v>
      </c>
      <c r="AB16" s="22">
        <f>((Relationships!$AI$7*'Intermediate calculations'!AB4)+Relationships!$AJ$7)*Drivers!AC4</f>
        <v>175966.04245753255</v>
      </c>
      <c r="AC16" s="22">
        <f>((Relationships!$AI$7*'Intermediate calculations'!AC4)+Relationships!$AJ$7)*Drivers!AD4</f>
        <v>177680.84866065643</v>
      </c>
      <c r="AD16" s="22">
        <f>((Relationships!$AI$7*'Intermediate calculations'!AD4)+Relationships!$AJ$7)*Drivers!AE4</f>
        <v>179420.24253122343</v>
      </c>
      <c r="AE16" s="22">
        <f>((Relationships!$AI$7*'Intermediate calculations'!AE4)+Relationships!$AJ$7)*Drivers!AF4</f>
        <v>181149.66227006476</v>
      </c>
      <c r="AF16" s="22">
        <f>((Relationships!$AI$7*'Intermediate calculations'!AF4)+Relationships!$AJ$7)*Drivers!AG4</f>
        <v>182869.7169937299</v>
      </c>
      <c r="AG16" s="22">
        <f>((Relationships!$AI$7*'Intermediate calculations'!AG4)+Relationships!$AJ$7)*Drivers!AH4</f>
        <v>184068.83318650836</v>
      </c>
      <c r="AH16" s="22">
        <f>((Relationships!$AI$7*'Intermediate calculations'!AH4)+Relationships!$AJ$7)*Drivers!AI4</f>
        <v>185889.21354173461</v>
      </c>
      <c r="AI16" s="22">
        <f>((Relationships!$AI$7*'Intermediate calculations'!AI4)+Relationships!$AJ$7)*Drivers!AJ4</f>
        <v>187704.29839674468</v>
      </c>
      <c r="AJ16" s="22">
        <f>((Relationships!$AI$7*'Intermediate calculations'!AJ4)+Relationships!$AJ$7)*Drivers!AK4</f>
        <v>189520.57193966574</v>
      </c>
      <c r="AK16" s="22">
        <f>((Relationships!$AI$7*'Intermediate calculations'!AK4)+Relationships!$AJ$7)*Drivers!AL4</f>
        <v>191332.28682195168</v>
      </c>
      <c r="AL16" s="22">
        <f>((Relationships!$AI$7*'Intermediate calculations'!AL4)+Relationships!$AJ$7)*Drivers!AM4</f>
        <v>193149.28931224599</v>
      </c>
      <c r="AM16" s="22">
        <f>((Relationships!$AI$7*'Intermediate calculations'!AM4)+Relationships!$AJ$7)*Drivers!AN4</f>
        <v>195131.2339648917</v>
      </c>
      <c r="AN16" s="22">
        <f>((Relationships!$AI$7*'Intermediate calculations'!AN4)+Relationships!$AJ$7)*Drivers!AO4</f>
        <v>197111.77663765196</v>
      </c>
      <c r="AO16" s="22">
        <f>((Relationships!$AI$7*'Intermediate calculations'!AO4)+Relationships!$AJ$7)*Drivers!AP4</f>
        <v>199099.47653105162</v>
      </c>
      <c r="AP16" s="22">
        <f>((Relationships!$AI$7*'Intermediate calculations'!AP4)+Relationships!$AJ$7)*Drivers!AQ4</f>
        <v>201092.49091575501</v>
      </c>
      <c r="AQ16" s="22">
        <f>((Relationships!$AI$7*'Intermediate calculations'!AQ4)+Relationships!$AJ$7)*Drivers!AR4</f>
        <v>203091.30485899452</v>
      </c>
      <c r="AR16" s="22">
        <f>((Relationships!$AI$7*'Intermediate calculations'!AR4)+Relationships!$AJ$7)*Drivers!AS4</f>
        <v>205062.09158085482</v>
      </c>
      <c r="AS16" s="22">
        <f>((Relationships!$AI$7*'Intermediate calculations'!AS4)+Relationships!$AJ$7)*Drivers!AT4</f>
        <v>207023.34367509693</v>
      </c>
      <c r="AT16" s="22">
        <f>((Relationships!$AI$7*'Intermediate calculations'!AT4)+Relationships!$AJ$7)*Drivers!AU4</f>
        <v>209006.10105488819</v>
      </c>
      <c r="AU16" s="22">
        <f>((Relationships!$AI$7*'Intermediate calculations'!AU4)+Relationships!$AJ$7)*Drivers!AV4</f>
        <v>211003.89245226001</v>
      </c>
      <c r="AV16" s="22">
        <f>((Relationships!$AI$7*'Intermediate calculations'!AV4)+Relationships!$AJ$7)*Drivers!AW4</f>
        <v>213017.5316052282</v>
      </c>
      <c r="AW16" s="22">
        <f>((Relationships!$AI$7*'Intermediate calculations'!AW4)+Relationships!$AJ$7)*Drivers!AX4</f>
        <v>215107.90794656644</v>
      </c>
      <c r="AX16" s="22">
        <f>((Relationships!$AI$7*'Intermediate calculations'!AX4)+Relationships!$AJ$7)*Drivers!AY4</f>
        <v>217209.18484340564</v>
      </c>
      <c r="AY16" s="22">
        <f>((Relationships!$AI$7*'Intermediate calculations'!AY4)+Relationships!$AJ$7)*Drivers!AZ4</f>
        <v>219314.51122113896</v>
      </c>
      <c r="AZ16" s="22">
        <f>((Relationships!$AI$7*'Intermediate calculations'!AZ4)+Relationships!$AJ$7)*Drivers!BA4</f>
        <v>221430.84098659563</v>
      </c>
      <c r="BA16" s="22">
        <f>((Relationships!$AI$7*'Intermediate calculations'!BA4)+Relationships!$AJ$7)*Drivers!BB4</f>
        <v>223564.33144724127</v>
      </c>
      <c r="BB16" s="22">
        <f>((Relationships!$AI$7*'Intermediate calculations'!BB4)+Relationships!$AJ$7)*Drivers!BC4</f>
        <v>225969.95633572384</v>
      </c>
      <c r="BC16" s="22">
        <f>((Relationships!$AI$7*'Intermediate calculations'!BC4)+Relationships!$AJ$7)*Drivers!BD4</f>
        <v>228388.75490675701</v>
      </c>
      <c r="BD16" s="22">
        <f>((Relationships!$AI$7*'Intermediate calculations'!BD4)+Relationships!$AJ$7)*Drivers!BE4</f>
        <v>230819.97624872904</v>
      </c>
      <c r="BE16" s="22">
        <f>((Relationships!$AI$7*'Intermediate calculations'!BE4)+Relationships!$AJ$7)*Drivers!BF4</f>
        <v>233265.47398749104</v>
      </c>
      <c r="BF16" s="22">
        <f>((Relationships!$AI$7*'Intermediate calculations'!BF4)+Relationships!$AJ$7)*Drivers!BG4</f>
        <v>235732.5973874052</v>
      </c>
      <c r="BG16" s="22">
        <f>((Relationships!$AI$7*'Intermediate calculations'!BG4)+Relationships!$AJ$7)*Drivers!BH4</f>
        <v>238144.0845553611</v>
      </c>
      <c r="BH16" s="22">
        <f>((Relationships!$AI$7*'Intermediate calculations'!BH4)+Relationships!$AJ$7)*Drivers!BI4</f>
        <v>240574.21797484811</v>
      </c>
      <c r="BI16" s="22">
        <f>((Relationships!$AI$7*'Intermediate calculations'!BI4)+Relationships!$AJ$7)*Drivers!BJ4</f>
        <v>243009.02725505811</v>
      </c>
      <c r="BJ16" s="22">
        <f>((Relationships!$AI$7*'Intermediate calculations'!BJ4)+Relationships!$AJ$7)*Drivers!BK4</f>
        <v>245464.17269992991</v>
      </c>
      <c r="BK16" s="22">
        <f>((Relationships!$AI$7*'Intermediate calculations'!BK4)+Relationships!$AJ$7)*Drivers!BL4</f>
        <v>247941.3513676585</v>
      </c>
    </row>
    <row r="17" spans="1:63" x14ac:dyDescent="0.25">
      <c r="A17" t="s">
        <v>332</v>
      </c>
      <c r="B17" t="s">
        <v>322</v>
      </c>
      <c r="C17" s="22">
        <f>C16/Drivers!D4</f>
        <v>4.6999349927469751E-3</v>
      </c>
      <c r="D17" s="22">
        <f>D16/Drivers!E4</f>
        <v>5.1337590256356549E-3</v>
      </c>
      <c r="E17" s="22">
        <f>E16/Drivers!F4</f>
        <v>4.8370155133322145E-3</v>
      </c>
      <c r="F17" s="22">
        <f>F16/Drivers!G4</f>
        <v>4.4825432869713315E-3</v>
      </c>
      <c r="G17" s="22">
        <f>G16/Drivers!H4</f>
        <v>3.615022845716697E-3</v>
      </c>
      <c r="H17" s="22">
        <f>H16/Drivers!I4</f>
        <v>2.6769149486779026E-3</v>
      </c>
      <c r="I17" s="22">
        <f>I16/Drivers!J4</f>
        <v>3.1822155014234865E-3</v>
      </c>
      <c r="J17" s="22">
        <f>J16/Drivers!K4</f>
        <v>3.1050915056369576E-3</v>
      </c>
      <c r="K17" s="22">
        <f>K16/Drivers!L4</f>
        <v>3.1202598034076076E-3</v>
      </c>
      <c r="L17" s="22">
        <f>L16/Drivers!M4</f>
        <v>3.2648794977318042E-3</v>
      </c>
      <c r="M17" s="22">
        <f>M16/Drivers!N4</f>
        <v>3.4073339917613768E-3</v>
      </c>
      <c r="N17" s="22">
        <f>N16/Drivers!O4</f>
        <v>3.2796976446170891E-3</v>
      </c>
      <c r="O17" s="22">
        <f>O16/Drivers!P4</f>
        <v>2.9737223183428679E-3</v>
      </c>
      <c r="P17" s="22">
        <f>P16/Drivers!Q4</f>
        <v>2.9375505520257668E-3</v>
      </c>
      <c r="Q17" s="22">
        <f>Q16/Drivers!R4</f>
        <v>3.0411313973028199E-3</v>
      </c>
      <c r="R17" s="22">
        <f>R16/Drivers!S4</f>
        <v>3.2982042142704099E-3</v>
      </c>
      <c r="S17" s="22">
        <f>S16/Drivers!T4</f>
        <v>3.4118755583558893E-3</v>
      </c>
      <c r="T17" s="22">
        <f>T16/Drivers!U4</f>
        <v>3.8847910471221979E-3</v>
      </c>
      <c r="U17" s="22">
        <f>U16/Drivers!V4</f>
        <v>3.5689411002378874E-3</v>
      </c>
      <c r="V17" s="22">
        <f>V16/Drivers!W4</f>
        <v>3.3520209823834457E-3</v>
      </c>
      <c r="W17" s="22">
        <f>W16/Drivers!X4</f>
        <v>3.1934731625248227E-3</v>
      </c>
      <c r="X17" s="22">
        <f>X16/Drivers!Y4</f>
        <v>2.8016982945137554E-3</v>
      </c>
      <c r="Y17" s="73"/>
      <c r="Z17" s="73"/>
      <c r="AA17" s="73"/>
      <c r="AB17" s="73"/>
      <c r="AC17" s="73"/>
      <c r="AD17" s="73"/>
      <c r="AE17" s="73"/>
      <c r="AF17" s="73"/>
      <c r="AG17" s="73"/>
      <c r="AH17" s="73"/>
      <c r="AI17" s="73"/>
      <c r="AJ17" s="73"/>
      <c r="AK17" s="73"/>
      <c r="AL17" s="73"/>
      <c r="AM17" s="73"/>
      <c r="AN17" s="73"/>
      <c r="AO17" s="73"/>
      <c r="AP17" s="73"/>
      <c r="AQ17" s="73">
        <f>(AQ18-AD18)/AD18</f>
        <v>0.13193083452471538</v>
      </c>
      <c r="AR17" s="73"/>
      <c r="AS17" s="73"/>
      <c r="AT17" s="73"/>
      <c r="AU17" s="73"/>
      <c r="AV17" s="73"/>
      <c r="AW17" s="73"/>
      <c r="AX17" s="73"/>
      <c r="AY17" s="73"/>
      <c r="AZ17" s="73"/>
      <c r="BA17" s="73"/>
      <c r="BB17" s="73"/>
      <c r="BC17" s="73"/>
      <c r="BD17" s="73"/>
      <c r="BE17" s="73"/>
      <c r="BF17" s="73"/>
      <c r="BG17" s="73"/>
      <c r="BH17" s="73"/>
      <c r="BI17" s="73"/>
      <c r="BJ17" s="73"/>
      <c r="BK17" s="73"/>
    </row>
    <row r="18" spans="1:63" x14ac:dyDescent="0.25">
      <c r="A18" t="s">
        <v>344</v>
      </c>
      <c r="B18" t="s">
        <v>321</v>
      </c>
      <c r="C18" s="22">
        <f>C15*Constants!$H$24</f>
        <v>11040</v>
      </c>
      <c r="D18" s="22">
        <f>D15*Constants!$H$24</f>
        <v>12360</v>
      </c>
      <c r="E18" s="22">
        <f>E15*Constants!$H$24</f>
        <v>11940</v>
      </c>
      <c r="F18" s="22">
        <f>F15*Constants!$H$24</f>
        <v>11340</v>
      </c>
      <c r="G18" s="22">
        <f>G15*Constants!$H$24</f>
        <v>9360</v>
      </c>
      <c r="H18" s="22">
        <f>H15*Constants!$H$24</f>
        <v>7080</v>
      </c>
      <c r="I18" s="22">
        <f>I15*Constants!$H$24</f>
        <v>8580</v>
      </c>
      <c r="J18" s="22">
        <f>J15*Constants!$H$24</f>
        <v>8520</v>
      </c>
      <c r="K18" s="22">
        <f>K15*Constants!$H$24</f>
        <v>8700</v>
      </c>
      <c r="L18" s="22">
        <f>L15*Constants!$H$24</f>
        <v>9240</v>
      </c>
      <c r="M18" s="22">
        <f>M15*Constants!$H$24</f>
        <v>9780</v>
      </c>
      <c r="N18" s="22">
        <f>N15*Constants!$H$24</f>
        <v>9540</v>
      </c>
      <c r="O18" s="22">
        <f>O15*Constants!$H$24</f>
        <v>8760</v>
      </c>
      <c r="P18" s="22">
        <f>P15*Constants!$H$24</f>
        <v>8760</v>
      </c>
      <c r="Q18" s="22">
        <f>Q15*Constants!$H$24</f>
        <v>9180</v>
      </c>
      <c r="R18" s="22">
        <f>R15*Constants!$H$24</f>
        <v>10080</v>
      </c>
      <c r="S18" s="22">
        <f>S15*Constants!$H$24</f>
        <v>10560</v>
      </c>
      <c r="T18" s="22">
        <f>T15*Constants!$H$24</f>
        <v>12180</v>
      </c>
      <c r="U18" s="22">
        <f>U15*Constants!$H$24</f>
        <v>11340</v>
      </c>
      <c r="V18" s="22">
        <f>V15*Constants!$H$24</f>
        <v>10800</v>
      </c>
      <c r="W18" s="22">
        <f>W15*Constants!$H$24</f>
        <v>10440</v>
      </c>
      <c r="X18" s="22">
        <f>X15*Constants!$H$24</f>
        <v>9300</v>
      </c>
      <c r="Y18" s="22">
        <f>((Relationships!$AI$8*(Drivers!Z5/Drivers!Z4))+Relationships!$AJ$8)*Drivers!Z4</f>
        <v>10920.487526251383</v>
      </c>
      <c r="Z18" s="22">
        <f>((Relationships!$AI$8*(Drivers!AA5/Drivers!AA4))+Relationships!$AJ$8)*Drivers!AA4</f>
        <v>11025.530035592325</v>
      </c>
      <c r="AA18" s="22">
        <f>((Relationships!$AI$8*(Drivers!AB5/Drivers!AB4))+Relationships!$AJ$8)*Drivers!AB4</f>
        <v>11129.375884362222</v>
      </c>
      <c r="AB18" s="22">
        <f>((Relationships!$AI$8*(Drivers!AC5/Drivers!AC4))+Relationships!$AJ$8)*Drivers!AC4</f>
        <v>11231.875050480803</v>
      </c>
      <c r="AC18" s="22">
        <f>((Relationships!$AI$8*(Drivers!AD5/Drivers!AD4))+Relationships!$AJ$8)*Drivers!AD4</f>
        <v>11341.330765573817</v>
      </c>
      <c r="AD18" s="22">
        <f>((Relationships!$AI$8*(Drivers!AE5/Drivers!AE4))+Relationships!$AJ$8)*Drivers!AE4</f>
        <v>11452.355906248305</v>
      </c>
      <c r="AE18" s="22">
        <f>((Relationships!$AI$8*(Drivers!AF5/Drivers!AF4))+Relationships!$AJ$8)*Drivers!AF4</f>
        <v>11562.744400216901</v>
      </c>
      <c r="AF18" s="22">
        <f>((Relationships!$AI$8*(Drivers!AG5/Drivers!AG4))+Relationships!$AJ$8)*Drivers!AG4</f>
        <v>11672.535127259356</v>
      </c>
      <c r="AG18" s="22">
        <f>((Relationships!$AI$8*(Drivers!AH5/Drivers!AH4))+Relationships!$AJ$8)*Drivers!AH4</f>
        <v>11749.074458713299</v>
      </c>
      <c r="AH18" s="22">
        <f>((Relationships!$AI$8*(Drivers!AI5/Drivers!AI4))+Relationships!$AJ$8)*Drivers!AI4</f>
        <v>11865.268949472424</v>
      </c>
      <c r="AI18" s="22">
        <f>((Relationships!$AI$8*(Drivers!AJ5/Drivers!AJ4))+Relationships!$AJ$8)*Drivers!AJ4</f>
        <v>11981.12542957945</v>
      </c>
      <c r="AJ18" s="22">
        <f>((Relationships!$AI$8*(Drivers!AK5/Drivers!AK4))+Relationships!$AJ$8)*Drivers!AK4</f>
        <v>12097.057783382921</v>
      </c>
      <c r="AK18" s="22">
        <f>((Relationships!$AI$8*(Drivers!AL5/Drivers!AL4))+Relationships!$AJ$8)*Drivers!AL4</f>
        <v>12212.69915884798</v>
      </c>
      <c r="AL18" s="22">
        <f>((Relationships!$AI$8*(Drivers!AM5/Drivers!AM4))+Relationships!$AJ$8)*Drivers!AM4</f>
        <v>12328.678041207191</v>
      </c>
      <c r="AM18" s="22">
        <f>((Relationships!$AI$8*(Drivers!AN5/Drivers!AN4))+Relationships!$AJ$8)*Drivers!AN4</f>
        <v>12455.185146695218</v>
      </c>
      <c r="AN18" s="22">
        <f>((Relationships!$AI$8*(Drivers!AO5/Drivers!AO4))+Relationships!$AJ$8)*Drivers!AO4</f>
        <v>12581.602764105446</v>
      </c>
      <c r="AO18" s="22">
        <f>((Relationships!$AI$8*(Drivers!AP5/Drivers!AP4))+Relationships!$AJ$8)*Drivers!AP4</f>
        <v>12708.477225386274</v>
      </c>
      <c r="AP18" s="22">
        <f>((Relationships!$AI$8*(Drivers!AQ5/Drivers!AQ4))+Relationships!$AJ$8)*Drivers!AQ4</f>
        <v>12835.690909516279</v>
      </c>
      <c r="AQ18" s="22">
        <f>((Relationships!$AI$8*(Drivers!AR5/Drivers!AR4))+Relationships!$AJ$8)*Drivers!AR4</f>
        <v>12963.274778233697</v>
      </c>
      <c r="AR18" s="22">
        <f>((Relationships!$AI$8*(Drivers!AS5/Drivers!AS4))+Relationships!$AJ$8)*Drivers!AS4</f>
        <v>13089.069675373714</v>
      </c>
      <c r="AS18" s="22">
        <f>((Relationships!$AI$8*(Drivers!AT5/Drivers!AT4))+Relationships!$AJ$8)*Drivers!AT4</f>
        <v>13214.255979261507</v>
      </c>
      <c r="AT18" s="22">
        <f>((Relationships!$AI$8*(Drivers!AU5/Drivers!AU4))+Relationships!$AJ$8)*Drivers!AU4</f>
        <v>13340.814960950314</v>
      </c>
      <c r="AU18" s="22">
        <f>((Relationships!$AI$8*(Drivers!AV5/Drivers!AV4))+Relationships!$AJ$8)*Drivers!AV4</f>
        <v>13468.333560782556</v>
      </c>
      <c r="AV18" s="22">
        <f>((Relationships!$AI$8*(Drivers!AW5/Drivers!AW4))+Relationships!$AJ$8)*Drivers!AW4</f>
        <v>13596.863719482653</v>
      </c>
      <c r="AW18" s="22">
        <f>((Relationships!$AI$8*(Drivers!AX5/Drivers!AX4))+Relationships!$AJ$8)*Drivers!AX4</f>
        <v>13730.291996589349</v>
      </c>
      <c r="AX18" s="22">
        <f>((Relationships!$AI$8*(Drivers!AY5/Drivers!AY4))+Relationships!$AJ$8)*Drivers!AY4</f>
        <v>13864.416053834408</v>
      </c>
      <c r="AY18" s="22">
        <f>((Relationships!$AI$8*(Drivers!AZ5/Drivers!AZ4))+Relationships!$AJ$8)*Drivers!AZ4</f>
        <v>13998.79858858334</v>
      </c>
      <c r="AZ18" s="22">
        <f>((Relationships!$AI$8*(Drivers!BA5/Drivers!BA4))+Relationships!$AJ$8)*Drivers!BA4</f>
        <v>14133.883467229512</v>
      </c>
      <c r="BA18" s="22">
        <f>((Relationships!$AI$8*(Drivers!BB5/Drivers!BB4))+Relationships!$AJ$8)*Drivers!BB4</f>
        <v>14270.063709398381</v>
      </c>
      <c r="BB18" s="22">
        <f>((Relationships!$AI$8*(Drivers!BC5/Drivers!BC4))+Relationships!$AJ$8)*Drivers!BC4</f>
        <v>14423.614234195142</v>
      </c>
      <c r="BC18" s="22">
        <f>((Relationships!$AI$8*(Drivers!BD5/Drivers!BD4))+Relationships!$AJ$8)*Drivers!BD4</f>
        <v>14578.005632346194</v>
      </c>
      <c r="BD18" s="22">
        <f>((Relationships!$AI$8*(Drivers!BE5/Drivers!BE4))+Relationships!$AJ$8)*Drivers!BE4</f>
        <v>14733.189973323135</v>
      </c>
      <c r="BE18" s="22">
        <f>((Relationships!$AI$8*(Drivers!BF5/Drivers!BF4))+Relationships!$AJ$8)*Drivers!BF4</f>
        <v>14889.285573669646</v>
      </c>
      <c r="BF18" s="22">
        <f>((Relationships!$AI$8*(Drivers!BG5/Drivers!BG4))+Relationships!$AJ$8)*Drivers!BG4</f>
        <v>15046.761535366293</v>
      </c>
      <c r="BG18" s="22">
        <f>((Relationships!$AI$8*(Drivers!BH5/Drivers!BH4))+Relationships!$AJ$8)*Drivers!BH4</f>
        <v>15200.686248214544</v>
      </c>
      <c r="BH18" s="22">
        <f>((Relationships!$AI$8*(Drivers!BI5/Drivers!BI4))+Relationships!$AJ$8)*Drivers!BI4</f>
        <v>15355.801147330734</v>
      </c>
      <c r="BI18" s="22">
        <f>((Relationships!$AI$8*(Drivers!BJ5/Drivers!BJ4))+Relationships!$AJ$8)*Drivers!BJ4</f>
        <v>15511.214505642012</v>
      </c>
      <c r="BJ18" s="22">
        <f>((Relationships!$AI$8*(Drivers!BK5/Drivers!BK4))+Relationships!$AJ$8)*Drivers!BK4</f>
        <v>15667.925917016808</v>
      </c>
      <c r="BK18" s="22">
        <f>((Relationships!$AI$8*(Drivers!BL5/Drivers!BL4))+Relationships!$AJ$8)*Drivers!BL4</f>
        <v>15826.043704318632</v>
      </c>
    </row>
    <row r="19" spans="1:63" x14ac:dyDescent="0.25">
      <c r="A19" t="s">
        <v>344</v>
      </c>
      <c r="B19" t="s">
        <v>322</v>
      </c>
      <c r="C19" s="22">
        <f>C18/Drivers!D4</f>
        <v>2.9999585060087078E-4</v>
      </c>
      <c r="D19" s="22">
        <f>D18/Drivers!E4</f>
        <v>3.2768674631716946E-4</v>
      </c>
      <c r="E19" s="22">
        <f>E18/Drivers!F4</f>
        <v>3.0874567106375841E-4</v>
      </c>
      <c r="F19" s="22">
        <f>F18/Drivers!G4</f>
        <v>2.8611978427476583E-4</v>
      </c>
      <c r="G19" s="22">
        <f>G18/Drivers!H4</f>
        <v>2.3074613908829981E-4</v>
      </c>
      <c r="H19" s="22">
        <f>H18/Drivers!I4</f>
        <v>1.7086691161773848E-4</v>
      </c>
      <c r="I19" s="22">
        <f>I18/Drivers!J4</f>
        <v>2.0312013838873316E-4</v>
      </c>
      <c r="J19" s="22">
        <f>J18/Drivers!K4</f>
        <v>1.9819733014703986E-4</v>
      </c>
      <c r="K19" s="22">
        <f>K18/Drivers!L4</f>
        <v>1.9916551936644304E-4</v>
      </c>
      <c r="L19" s="22">
        <f>L18/Drivers!M4</f>
        <v>2.0839656368500879E-4</v>
      </c>
      <c r="M19" s="22">
        <f>M18/Drivers!N4</f>
        <v>2.1748940372944957E-4</v>
      </c>
      <c r="N19" s="22">
        <f>N18/Drivers!O4</f>
        <v>2.093424028478993E-4</v>
      </c>
      <c r="O19" s="22">
        <f>O18/Drivers!P4</f>
        <v>1.8981206287294901E-4</v>
      </c>
      <c r="P19" s="22">
        <f>P18/Drivers!Q4</f>
        <v>1.8750322672504894E-4</v>
      </c>
      <c r="Q19" s="22">
        <f>Q18/Drivers!R4</f>
        <v>1.941147700406055E-4</v>
      </c>
      <c r="R19" s="22">
        <f>R18/Drivers!S4</f>
        <v>2.1052367325130275E-4</v>
      </c>
      <c r="S19" s="22">
        <f>S18/Drivers!T4</f>
        <v>2.1777929095888654E-4</v>
      </c>
      <c r="T19" s="22">
        <f>T18/Drivers!U4</f>
        <v>2.4796538598652329E-4</v>
      </c>
      <c r="U19" s="22">
        <f>U18/Drivers!V4</f>
        <v>2.2780475107901408E-4</v>
      </c>
      <c r="V19" s="22">
        <f>V18/Drivers!W4</f>
        <v>2.1395878610958166E-4</v>
      </c>
      <c r="W19" s="22">
        <f>W18/Drivers!X4</f>
        <v>2.0383871250158445E-4</v>
      </c>
      <c r="X19" s="22">
        <f>X18/Drivers!Y4</f>
        <v>1.788318060327929E-4</v>
      </c>
      <c r="Y19" s="73"/>
      <c r="Z19" s="73"/>
      <c r="AA19" s="73"/>
      <c r="AB19" s="73"/>
      <c r="AC19" s="73"/>
      <c r="AD19" s="73"/>
      <c r="AE19" s="73"/>
      <c r="AF19" s="73"/>
      <c r="AG19" s="73"/>
      <c r="AH19" s="73"/>
      <c r="AI19" s="73"/>
      <c r="AJ19" s="73"/>
      <c r="AK19" s="73"/>
      <c r="AL19" s="73"/>
      <c r="AM19" s="73"/>
      <c r="AN19" s="73"/>
      <c r="AO19" s="73">
        <f>(AO22-AD22)/AD22</f>
        <v>0.1579547688794091</v>
      </c>
      <c r="AP19" s="73"/>
      <c r="AQ19" s="73">
        <f>(AQ22-AD22)/AD22</f>
        <v>0.1899950566747575</v>
      </c>
      <c r="AR19" s="73"/>
      <c r="AS19" s="73"/>
      <c r="AT19" s="73"/>
      <c r="AU19" s="73"/>
      <c r="AV19" s="73"/>
      <c r="AW19" s="73"/>
      <c r="AX19" s="73"/>
      <c r="AY19" s="73"/>
      <c r="AZ19" s="73"/>
      <c r="BA19" s="73"/>
      <c r="BB19" s="73"/>
      <c r="BC19" s="73"/>
      <c r="BD19" s="73"/>
      <c r="BE19" s="73"/>
      <c r="BF19" s="73"/>
      <c r="BG19" s="73"/>
      <c r="BH19" s="73"/>
      <c r="BI19" s="73"/>
      <c r="BJ19" s="73"/>
      <c r="BK19" s="73"/>
    </row>
    <row r="20" spans="1:63" x14ac:dyDescent="0.25">
      <c r="A20" t="s">
        <v>850</v>
      </c>
      <c r="C20" s="21">
        <f>'Activity data'!H13/'Intermediate calculations'!C18</f>
        <v>251.26811594202903</v>
      </c>
      <c r="D20" s="21">
        <f>'Activity data'!I13/'Intermediate calculations'!D18</f>
        <v>198.46278317152112</v>
      </c>
      <c r="E20" s="21">
        <f>'Activity data'!J13/'Intermediate calculations'!E18</f>
        <v>191.37353433835841</v>
      </c>
      <c r="F20" s="21">
        <f>'Activity data'!K13/'Intermediate calculations'!F18</f>
        <v>190.38800705467369</v>
      </c>
      <c r="G20" s="21">
        <f>'Activity data'!L13/'Intermediate calculations'!G18</f>
        <v>249.67948717948713</v>
      </c>
      <c r="H20" s="21">
        <f>'Activity data'!M13/'Intermediate calculations'!H18</f>
        <v>334.60451977401129</v>
      </c>
      <c r="I20" s="21">
        <f>'Activity data'!N13/'Intermediate calculations'!I18</f>
        <v>280.41958041958037</v>
      </c>
      <c r="J20" s="21">
        <f>'Activity data'!O13/'Intermediate calculations'!J18</f>
        <v>280.98591549295776</v>
      </c>
      <c r="K20" s="21">
        <f>'Activity data'!P13/'Intermediate calculations'!K18</f>
        <v>271.26436781609198</v>
      </c>
      <c r="L20" s="21">
        <f>'Activity data'!Q13/'Intermediate calculations'!L18</f>
        <v>251.62337662337669</v>
      </c>
      <c r="M20" s="21">
        <f>'Activity data'!R13/'Intermediate calculations'!M18</f>
        <v>240.79754601226995</v>
      </c>
      <c r="N20" s="21">
        <f>'Activity data'!S13/'Intermediate calculations'!N18</f>
        <v>254.40251572327048</v>
      </c>
      <c r="O20" s="21">
        <f>'Activity data'!T13/'Intermediate calculations'!O18</f>
        <v>252.96803652968043</v>
      </c>
      <c r="P20" s="21">
        <f>'Activity data'!U13/'Intermediate calculations'!P18</f>
        <v>246.57534246575344</v>
      </c>
      <c r="Q20" s="21">
        <f>'Activity data'!V13/'Intermediate calculations'!Q18</f>
        <v>235.72984749455344</v>
      </c>
      <c r="R20" s="21">
        <f>'Activity data'!W13/'Intermediate calculations'!R18</f>
        <v>211.9047619047619</v>
      </c>
      <c r="S20" s="21">
        <f>'Activity data'!X13/'Intermediate calculations'!S18</f>
        <v>206.53409090909091</v>
      </c>
      <c r="T20" s="21">
        <f>'Activity data'!Y13/'Intermediate calculations'!T18</f>
        <v>173.72742200328406</v>
      </c>
      <c r="U20" s="21">
        <f>'Activity data'!Z13/'Intermediate calculations'!U18</f>
        <v>186.4197530864198</v>
      </c>
      <c r="V20" s="21">
        <f>'Activity data'!AA13/'Intermediate calculations'!V18</f>
        <v>192.31481481481481</v>
      </c>
      <c r="W20" s="21">
        <f>'Activity data'!AB13/'Intermediate calculations'!W18</f>
        <v>196.55172413793105</v>
      </c>
      <c r="X20" s="21">
        <f>'Activity data'!AC13/'Intermediate calculations'!X18</f>
        <v>218.60215053763443</v>
      </c>
      <c r="Y20" s="21">
        <f>'Activity data'!AD13/'Intermediate calculations'!Y18</f>
        <v>188.23374944206117</v>
      </c>
      <c r="Z20" s="21">
        <f>'Activity data'!AE13/'Intermediate calculations'!Z18</f>
        <v>185.76823695614121</v>
      </c>
      <c r="AA20" s="21">
        <f>'Activity data'!AF13/'Intermediate calculations'!AA18</f>
        <v>183.37656024207647</v>
      </c>
      <c r="AB20" s="21">
        <f>'Activity data'!AG13/'Intermediate calculations'!AB18</f>
        <v>181.05926761288441</v>
      </c>
      <c r="AC20" s="21">
        <f>'Activity data'!AH13/'Intermediate calculations'!AC18</f>
        <v>178.63094835217549</v>
      </c>
      <c r="AD20" s="21">
        <f>'Activity data'!AI13/'Intermediate calculations'!AD18</f>
        <v>176.21523109745345</v>
      </c>
      <c r="AE20" s="21">
        <f>'Activity data'!AJ13/'Intermediate calculations'!AE18</f>
        <v>173.85935921576586</v>
      </c>
      <c r="AF20" s="21">
        <f>'Activity data'!AK13/'Intermediate calculations'!AF18</f>
        <v>171.56044287083185</v>
      </c>
      <c r="AG20" s="21">
        <f>'Activity data'!AL13/'Intermediate calculations'!AG18</f>
        <v>169.98319684834371</v>
      </c>
      <c r="AH20" s="21">
        <f>'Activity data'!AM13/'Intermediate calculations'!AH18</f>
        <v>167.6276707735407</v>
      </c>
      <c r="AI20" s="21">
        <f>'Activity data'!AN13/'Intermediate calculations'!AI18</f>
        <v>165.32448616126098</v>
      </c>
      <c r="AJ20" s="21">
        <f>'Activity data'!AO13/'Intermediate calculations'!AJ18</f>
        <v>163.06395287858038</v>
      </c>
      <c r="AK20" s="21">
        <f>'Activity data'!AP13/'Intermediate calculations'!AK18</f>
        <v>160.85184930919164</v>
      </c>
      <c r="AL20" s="21">
        <f>'Activity data'!AQ13/'Intermediate calculations'!AL18</f>
        <v>158.67496990205734</v>
      </c>
      <c r="AM20" s="21">
        <f>'Activity data'!AR13/'Intermediate calculations'!AM18</f>
        <v>156.34670794423144</v>
      </c>
      <c r="AN20" s="21">
        <f>'Activity data'!AS13/'Intermediate calculations'!AN18</f>
        <v>154.06686428550151</v>
      </c>
      <c r="AO20" s="21">
        <f>'Activity data'!AT13/'Intermediate calculations'!AO18</f>
        <v>151.82438546936604</v>
      </c>
      <c r="AP20" s="21">
        <f>'Activity data'!AU13/'Intermediate calculations'!AP18</f>
        <v>149.62042050384997</v>
      </c>
      <c r="AQ20" s="21">
        <f>'Activity data'!AV13/'Intermediate calculations'!AQ18</f>
        <v>147.45348786067149</v>
      </c>
      <c r="AR20" s="22">
        <f>AQ20+Constants!$I$36</f>
        <v>146.10854233314689</v>
      </c>
      <c r="AS20" s="22">
        <f>AR20+Constants!$I$36</f>
        <v>144.76359680562229</v>
      </c>
      <c r="AT20" s="22">
        <f>AS20+Constants!$I$36</f>
        <v>143.41865127809768</v>
      </c>
      <c r="AU20" s="22">
        <f>AT20+Constants!$I$36</f>
        <v>142.07370575057308</v>
      </c>
      <c r="AV20" s="22">
        <f>AU20+Constants!$I$36</f>
        <v>140.72876022304848</v>
      </c>
      <c r="AW20" s="22">
        <f>AV20+Constants!$I$36</f>
        <v>139.38381469552388</v>
      </c>
      <c r="AX20" s="22">
        <f>AW20+Constants!$I$36</f>
        <v>138.03886916799928</v>
      </c>
      <c r="AY20" s="22">
        <f>AX20+Constants!$I$36</f>
        <v>136.69392364047468</v>
      </c>
      <c r="AZ20" s="22">
        <f>AY20+Constants!$I$36</f>
        <v>135.34897811295008</v>
      </c>
      <c r="BA20" s="22">
        <f>AZ20+Constants!$I$36</f>
        <v>134.00403258542548</v>
      </c>
      <c r="BB20" s="22">
        <f>BA20+Constants!$J$36</f>
        <v>132.99532343978203</v>
      </c>
      <c r="BC20" s="22">
        <f>BB20+Constants!$J$36</f>
        <v>131.98661429413858</v>
      </c>
      <c r="BD20" s="22">
        <f>BC20+Constants!$J$36</f>
        <v>130.97790514849513</v>
      </c>
      <c r="BE20" s="22">
        <f>BD20+Constants!$J$36</f>
        <v>129.96919600285167</v>
      </c>
      <c r="BF20" s="22">
        <f>BE20+Constants!$J$36</f>
        <v>128.96048685720822</v>
      </c>
      <c r="BG20" s="22">
        <f>BF20+Constants!$J$36</f>
        <v>127.95177771156476</v>
      </c>
      <c r="BH20" s="22">
        <f>BG20+Constants!$J$36</f>
        <v>126.94306856592129</v>
      </c>
      <c r="BI20" s="22">
        <f>BH20+Constants!$J$36</f>
        <v>125.93435942027783</v>
      </c>
      <c r="BJ20" s="22">
        <f>BI20+Constants!$J$36</f>
        <v>124.92565027463436</v>
      </c>
      <c r="BK20" s="22">
        <f>BJ20+Constants!$J$36</f>
        <v>123.9169411289909</v>
      </c>
    </row>
    <row r="21" spans="1:63" x14ac:dyDescent="0.25">
      <c r="A21" t="s">
        <v>670</v>
      </c>
      <c r="B21" t="s">
        <v>669</v>
      </c>
      <c r="C21" s="53">
        <f>(C16+C18)*ttokg/Drivers!D4</f>
        <v>4.9999308433478458</v>
      </c>
      <c r="D21" s="53">
        <f>(D16+D18)*ttokg/Drivers!E4</f>
        <v>5.4614457719528247</v>
      </c>
      <c r="E21" s="53">
        <f>(E16+E18)*ttokg/Drivers!F4</f>
        <v>5.1457611843959734</v>
      </c>
      <c r="F21" s="53">
        <f>(F16+F18)*ttokg/Drivers!G4</f>
        <v>4.7686630712460971</v>
      </c>
      <c r="G21" s="53">
        <f>(G16+G18)*ttokg/Drivers!H4</f>
        <v>3.8457689848049967</v>
      </c>
      <c r="H21" s="53">
        <f>(H16+H18)*ttokg/Drivers!I4</f>
        <v>2.8477818602956413</v>
      </c>
      <c r="I21" s="53">
        <f>(I16+I18)*ttokg/Drivers!J4</f>
        <v>3.3853356398122196</v>
      </c>
      <c r="J21" s="53">
        <f>(J16+J18)*ttokg/Drivers!K4</f>
        <v>3.3032888357839978</v>
      </c>
      <c r="K21" s="53">
        <f>(K16+K18)*ttokg/Drivers!L4</f>
        <v>3.3194253227740504</v>
      </c>
      <c r="L21" s="53">
        <f>(L16+L18)*ttokg/Drivers!M4</f>
        <v>3.4732760614168128</v>
      </c>
      <c r="M21" s="53">
        <f>(M16+M18)*ttokg/Drivers!N4</f>
        <v>3.6248233954908264</v>
      </c>
      <c r="N21" s="53">
        <f>(N16+N18)*ttokg/Drivers!O4</f>
        <v>3.4890400474649885</v>
      </c>
      <c r="O21" s="53">
        <f>(O16+O18)*ttokg/Drivers!P4</f>
        <v>3.163534381215817</v>
      </c>
      <c r="P21" s="53">
        <f>(P16+P18)*ttokg/Drivers!Q4</f>
        <v>3.1250537787508157</v>
      </c>
      <c r="Q21" s="53">
        <f>(Q16+Q18)*ttokg/Drivers!R4</f>
        <v>3.2352461673434254</v>
      </c>
      <c r="R21" s="53">
        <f>(R16+R18)*ttokg/Drivers!S4</f>
        <v>3.5087278875217125</v>
      </c>
      <c r="S21" s="53">
        <f>(S16+S18)*ttokg/Drivers!T4</f>
        <v>3.6296548493147758</v>
      </c>
      <c r="T21" s="53">
        <f>(T16+T18)*ttokg/Drivers!U4</f>
        <v>4.132756433108721</v>
      </c>
      <c r="U21" s="53">
        <f>(U16+U18)*ttokg/Drivers!V4</f>
        <v>3.7967458513169015</v>
      </c>
      <c r="V21" s="53">
        <f>(V16+V18)*ttokg/Drivers!W4</f>
        <v>3.5659797684930274</v>
      </c>
      <c r="W21" s="53">
        <f>(W16+W18)*ttokg/Drivers!X4</f>
        <v>3.3973118750264071</v>
      </c>
      <c r="X21" s="53">
        <f>(X16+X18)*ttokg/Drivers!Y4</f>
        <v>2.9805301005465483</v>
      </c>
      <c r="Y21" s="53">
        <f>(Y16+Y18)*ttokg/Drivers!Z4</f>
        <v>3.4320182204476293</v>
      </c>
      <c r="Z21" s="53">
        <f>(Z16+Z18)*ttokg/Drivers!AA4</f>
        <v>3.4338454961398694</v>
      </c>
      <c r="AA21" s="53">
        <f>(AA16+AA18)*ttokg/Drivers!AB4</f>
        <v>3.43499255690192</v>
      </c>
      <c r="AB21" s="53">
        <f>(AB16+AB18)*ttokg/Drivers!AC4</f>
        <v>3.435428936022487</v>
      </c>
      <c r="AC21" s="53">
        <f>(AC16+AC18)*ttokg/Drivers!AD4</f>
        <v>3.4352122427669598</v>
      </c>
      <c r="AD21" s="53">
        <f>(AD16+AD18)*ttokg/Drivers!AE4</f>
        <v>3.4354705140175668</v>
      </c>
      <c r="AE21" s="53">
        <f>(AE16+AE18)*ttokg/Drivers!AF4</f>
        <v>3.4355347023070029</v>
      </c>
      <c r="AF21" s="53">
        <f>(AF16+AF18)*ttokg/Drivers!AG4</f>
        <v>3.4354217461426129</v>
      </c>
      <c r="AG21" s="53">
        <f>(AG16+AG18)*ttokg/Drivers!AH4</f>
        <v>3.4256159674375972</v>
      </c>
      <c r="AH21" s="53">
        <f>(AH16+AH18)*ttokg/Drivers!AI4</f>
        <v>3.4270147995255362</v>
      </c>
      <c r="AI21" s="53">
        <f>(AI16+AI18)*ttokg/Drivers!AJ4</f>
        <v>3.4282908919983743</v>
      </c>
      <c r="AJ21" s="53">
        <f>(AJ16+AJ18)*ttokg/Drivers!AK4</f>
        <v>3.4295649754646096</v>
      </c>
      <c r="AK21" s="53">
        <f>(AK16+AK18)*ttokg/Drivers!AL4</f>
        <v>3.4307340506092068</v>
      </c>
      <c r="AL21" s="53">
        <f>(AL16+AL18)*ttokg/Drivers!AM4</f>
        <v>3.4319759209802156</v>
      </c>
      <c r="AM21" s="53">
        <f>(AM16+AM18)*ttokg/Drivers!AN4</f>
        <v>3.4335323293783135</v>
      </c>
      <c r="AN21" s="53">
        <f>(AN16+AN18)*ttokg/Drivers!AO4</f>
        <v>3.4350343767603504</v>
      </c>
      <c r="AO21" s="53">
        <f>(AO16+AO18)*ttokg/Drivers!AP4</f>
        <v>3.4366313554941392</v>
      </c>
      <c r="AP21" s="53">
        <f>(AP16+AP18)*ttokg/Drivers!AQ4</f>
        <v>3.438289071943549</v>
      </c>
      <c r="AQ21" s="53">
        <f>(AQ16+AQ18)*ttokg/Drivers!AR4</f>
        <v>3.4400140394884371</v>
      </c>
      <c r="AR21" s="53">
        <f>(AR16+AR18)*ttokg/Drivers!AS4</f>
        <v>3.4423187626133194</v>
      </c>
      <c r="AS21" s="53">
        <f>(AS16+AS18)*ttokg/Drivers!AT4</f>
        <v>3.4444239748717584</v>
      </c>
      <c r="AT21" s="53">
        <f>(AT16+AT18)*ttokg/Drivers!AU4</f>
        <v>3.4468468343150058</v>
      </c>
      <c r="AU21" s="53">
        <f>(AU16+AU18)*ttokg/Drivers!AV4</f>
        <v>3.449473247040137</v>
      </c>
      <c r="AV21" s="53">
        <f>(AV16+AV18)*ttokg/Drivers!AW4</f>
        <v>3.4523111256473147</v>
      </c>
      <c r="AW21" s="53">
        <f>(AW16+AW18)*ttokg/Drivers!AX4</f>
        <v>3.4551700740243811</v>
      </c>
      <c r="AX21" s="53">
        <f>(AX16+AX18)*ttokg/Drivers!AY4</f>
        <v>3.458152140792667</v>
      </c>
      <c r="AY21" s="53">
        <f>(AY16+AY18)*ttokg/Drivers!AZ4</f>
        <v>3.4611459762091288</v>
      </c>
      <c r="AZ21" s="53">
        <f>(AZ16+AZ18)*ttokg/Drivers!BA4</f>
        <v>3.4642600663544552</v>
      </c>
      <c r="BA21" s="53">
        <f>(BA16+BA18)*ttokg/Drivers!BB4</f>
        <v>3.467586814776102</v>
      </c>
      <c r="BB21" s="53">
        <f>(BB16+BB18)*ttokg/Drivers!BC4</f>
        <v>3.4708572438605381</v>
      </c>
      <c r="BC21" s="53">
        <f>(BC16+BC18)*ttokg/Drivers!BD4</f>
        <v>3.4742651542895797</v>
      </c>
      <c r="BD21" s="53">
        <f>(BD16+BD18)*ttokg/Drivers!BE4</f>
        <v>3.47779530139504</v>
      </c>
      <c r="BE21" s="53">
        <f>(BE16+BE18)*ttokg/Drivers!BF4</f>
        <v>3.4814718900176578</v>
      </c>
      <c r="BF21" s="53">
        <f>(BF16+BF18)*ttokg/Drivers!BG4</f>
        <v>3.4853994744930823</v>
      </c>
      <c r="BG21" s="53">
        <f>(BG16+BG18)*ttokg/Drivers!BH4</f>
        <v>3.4895801412352574</v>
      </c>
      <c r="BH21" s="53">
        <f>(BH16+BH18)*ttokg/Drivers!BI4</f>
        <v>3.4939575366925602</v>
      </c>
      <c r="BI21" s="53">
        <f>(BI16+BI18)*ttokg/Drivers!BJ4</f>
        <v>3.4983253616013368</v>
      </c>
      <c r="BJ21" s="53">
        <f>(BJ16+BJ18)*ttokg/Drivers!BK4</f>
        <v>3.5029073479064774</v>
      </c>
      <c r="BK21" s="53">
        <f>(BK16+BK18)*ttokg/Drivers!BL4</f>
        <v>3.5077219592766524</v>
      </c>
    </row>
    <row r="22" spans="1:63" x14ac:dyDescent="0.25">
      <c r="A22" t="s">
        <v>333</v>
      </c>
      <c r="B22" t="s">
        <v>321</v>
      </c>
      <c r="C22" s="21">
        <v>157160</v>
      </c>
      <c r="D22" s="21">
        <v>178840</v>
      </c>
      <c r="E22" s="21">
        <v>164160</v>
      </c>
      <c r="F22" s="21">
        <v>156060</v>
      </c>
      <c r="G22" s="21">
        <v>125940</v>
      </c>
      <c r="H22" s="21">
        <v>87720</v>
      </c>
      <c r="I22" s="21">
        <v>97720</v>
      </c>
      <c r="J22" s="21">
        <v>94080</v>
      </c>
      <c r="K22" s="21">
        <v>88200</v>
      </c>
      <c r="L22" s="21">
        <v>95660</v>
      </c>
      <c r="M22" s="21">
        <v>98520</v>
      </c>
      <c r="N22" s="21">
        <v>95860</v>
      </c>
      <c r="O22" s="21">
        <v>96340</v>
      </c>
      <c r="P22" s="21">
        <v>105640</v>
      </c>
      <c r="Q22" s="21">
        <v>111120</v>
      </c>
      <c r="R22" s="21">
        <v>124520</v>
      </c>
      <c r="S22" s="21">
        <v>124740</v>
      </c>
      <c r="T22" s="21">
        <v>148520</v>
      </c>
      <c r="U22" s="21">
        <v>149260</v>
      </c>
      <c r="V22" s="21">
        <v>151300</v>
      </c>
      <c r="W22" s="21">
        <v>153460</v>
      </c>
      <c r="X22" s="21">
        <v>139500</v>
      </c>
      <c r="Y22" s="22">
        <f>((Relationships!$AI$23*'Intermediate calculations'!Y16)+Relationships!$AJ$23)</f>
        <v>149231.18193635793</v>
      </c>
      <c r="Z22" s="22">
        <f>((Relationships!$AI$23*'Intermediate calculations'!Z16)+Relationships!$AJ$23)</f>
        <v>151343.64427064304</v>
      </c>
      <c r="AA22" s="22">
        <f>((Relationships!$AI$23*'Intermediate calculations'!AA16)+Relationships!$AJ$23)</f>
        <v>153432.04110612097</v>
      </c>
      <c r="AB22" s="22">
        <f>((Relationships!$AI$23*'Intermediate calculations'!AB16)+Relationships!$AJ$23)</f>
        <v>155493.35541667641</v>
      </c>
      <c r="AC22" s="22">
        <f>((Relationships!$AI$23*'Intermediate calculations'!AC16)+Relationships!$AJ$23)</f>
        <v>157694.56973321325</v>
      </c>
      <c r="AD22" s="22">
        <f>((Relationships!$AI$23*'Intermediate calculations'!AD16)+Relationships!$AJ$23)</f>
        <v>159927.3460568664</v>
      </c>
      <c r="AE22" s="22">
        <f>((Relationships!$AI$23*'Intermediate calculations'!AE16)+Relationships!$AJ$23)</f>
        <v>162147.31906693836</v>
      </c>
      <c r="AF22" s="22">
        <f>((Relationships!$AI$23*'Intermediate calculations'!AF16)+Relationships!$AJ$23)</f>
        <v>164355.27065707211</v>
      </c>
      <c r="AG22" s="22">
        <f>((Relationships!$AI$23*'Intermediate calculations'!AG16)+Relationships!$AJ$23)</f>
        <v>165894.51848923336</v>
      </c>
      <c r="AH22" s="22">
        <f>((Relationships!$AI$23*'Intermediate calculations'!AH16)+Relationships!$AJ$23)</f>
        <v>168231.25327137188</v>
      </c>
      <c r="AI22" s="22">
        <f>((Relationships!$AI$23*'Intermediate calculations'!AI16)+Relationships!$AJ$23)</f>
        <v>170561.19047436249</v>
      </c>
      <c r="AJ22" s="22">
        <f>((Relationships!$AI$23*'Intermediate calculations'!AJ16)+Relationships!$AJ$23)</f>
        <v>172892.65353890107</v>
      </c>
      <c r="AK22" s="22">
        <f>((Relationships!$AI$23*'Intermediate calculations'!AK16)+Relationships!$AJ$23)</f>
        <v>175218.26486985249</v>
      </c>
      <c r="AL22" s="22">
        <f>((Relationships!$AI$23*'Intermediate calculations'!AL16)+Relationships!$AJ$23)</f>
        <v>177550.66364910395</v>
      </c>
      <c r="AM22" s="22">
        <f>((Relationships!$AI$23*'Intermediate calculations'!AM16)+Relationships!$AJ$23)</f>
        <v>180094.79075573551</v>
      </c>
      <c r="AN22" s="22">
        <f>((Relationships!$AI$23*'Intermediate calculations'!AN16)+Relationships!$AJ$23)</f>
        <v>182637.11820816141</v>
      </c>
      <c r="AO22" s="22">
        <f>((Relationships!$AI$23*'Intermediate calculations'!AO16)+Relationships!$AJ$23)</f>
        <v>185188.63304077601</v>
      </c>
      <c r="AP22" s="22">
        <f>((Relationships!$AI$23*'Intermediate calculations'!AP16)+Relationships!$AJ$23)</f>
        <v>187746.969830485</v>
      </c>
      <c r="AQ22" s="22">
        <f>((Relationships!$AI$23*'Intermediate calculations'!AQ16)+Relationships!$AJ$23)</f>
        <v>190312.75123478429</v>
      </c>
      <c r="AR22" s="22">
        <f>((Relationships!$AI$23*'Intermediate calculations'!AR16)+Relationships!$AJ$23)</f>
        <v>192842.55544187009</v>
      </c>
      <c r="AS22" s="22">
        <f>((Relationships!$AI$23*'Intermediate calculations'!AS16)+Relationships!$AJ$23)</f>
        <v>195360.12050567675</v>
      </c>
      <c r="AT22" s="22">
        <f>((Relationships!$AI$23*'Intermediate calculations'!AT16)+Relationships!$AJ$23)</f>
        <v>197905.29087108877</v>
      </c>
      <c r="AU22" s="22">
        <f>((Relationships!$AI$23*'Intermediate calculations'!AU16)+Relationships!$AJ$23)</f>
        <v>200469.75968239698</v>
      </c>
      <c r="AV22" s="22">
        <f>((Relationships!$AI$23*'Intermediate calculations'!AV16)+Relationships!$AJ$23)</f>
        <v>203054.57149598739</v>
      </c>
      <c r="AW22" s="22">
        <f>((Relationships!$AI$23*'Intermediate calculations'!AW16)+Relationships!$AJ$23)</f>
        <v>205737.8871506202</v>
      </c>
      <c r="AX22" s="22">
        <f>((Relationships!$AI$23*'Intermediate calculations'!AX16)+Relationships!$AJ$23)</f>
        <v>208435.19532451444</v>
      </c>
      <c r="AY22" s="22">
        <f>((Relationships!$AI$23*'Intermediate calculations'!AY16)+Relationships!$AJ$23)</f>
        <v>211137.70162243131</v>
      </c>
      <c r="AZ22" s="22">
        <f>((Relationships!$AI$23*'Intermediate calculations'!AZ16)+Relationships!$AJ$23)</f>
        <v>213854.33244039191</v>
      </c>
      <c r="BA22" s="22">
        <f>((Relationships!$AI$23*'Intermediate calculations'!BA16)+Relationships!$AJ$23)</f>
        <v>216592.99161809534</v>
      </c>
      <c r="BB22" s="22">
        <f>((Relationships!$AI$23*'Intermediate calculations'!BB16)+Relationships!$AJ$23)</f>
        <v>219680.97668317074</v>
      </c>
      <c r="BC22" s="22">
        <f>((Relationships!$AI$23*'Intermediate calculations'!BC16)+Relationships!$AJ$23)</f>
        <v>222785.87217146429</v>
      </c>
      <c r="BD22" s="22">
        <f>((Relationships!$AI$23*'Intermediate calculations'!BD16)+Relationships!$AJ$23)</f>
        <v>225906.71417382566</v>
      </c>
      <c r="BE22" s="22">
        <f>((Relationships!$AI$23*'Intermediate calculations'!BE16)+Relationships!$AJ$23)</f>
        <v>229045.88210068239</v>
      </c>
      <c r="BF22" s="22">
        <f>((Relationships!$AI$23*'Intermediate calculations'!BF16)+Relationships!$AJ$23)</f>
        <v>232212.80984952129</v>
      </c>
      <c r="BG22" s="22">
        <f>((Relationships!$AI$23*'Intermediate calculations'!BG16)+Relationships!$AJ$23)</f>
        <v>235308.32004103999</v>
      </c>
      <c r="BH22" s="22">
        <f>((Relationships!$AI$23*'Intermediate calculations'!BH16)+Relationships!$AJ$23)</f>
        <v>238427.7655295883</v>
      </c>
      <c r="BI22" s="22">
        <f>((Relationships!$AI$23*'Intermediate calculations'!BI16)+Relationships!$AJ$23)</f>
        <v>241553.21319584447</v>
      </c>
      <c r="BJ22" s="22">
        <f>((Relationships!$AI$23*'Intermediate calculations'!BJ16)+Relationships!$AJ$23)</f>
        <v>244704.76541940591</v>
      </c>
      <c r="BK22" s="22">
        <f>((Relationships!$AI$23*'Intermediate calculations'!BK16)+Relationships!$AJ$23)</f>
        <v>247884.60063232409</v>
      </c>
    </row>
    <row r="23" spans="1:63" x14ac:dyDescent="0.25">
      <c r="A23" t="s">
        <v>849</v>
      </c>
      <c r="B23" t="s">
        <v>848</v>
      </c>
      <c r="C23" s="21">
        <f>'Activity data'!$H$11/'Intermediate calculations'!C22</f>
        <v>190.75464494782386</v>
      </c>
      <c r="D23" s="21">
        <f>'Activity data'!$H$11/'Intermediate calculations'!D22</f>
        <v>167.63028405278462</v>
      </c>
      <c r="E23" s="21">
        <f>'Activity data'!$H$11/'Intermediate calculations'!E22</f>
        <v>182.62061403508773</v>
      </c>
      <c r="F23" s="21">
        <f>'Activity data'!$H$11/'Intermediate calculations'!F22</f>
        <v>192.09919261822375</v>
      </c>
      <c r="G23" s="21">
        <f>'Activity data'!$H$11/'Intermediate calculations'!G22</f>
        <v>238.04192472606002</v>
      </c>
      <c r="H23" s="21">
        <f>'Activity data'!$H$11/'Intermediate calculations'!H22</f>
        <v>341.75786593707249</v>
      </c>
      <c r="I23" s="21">
        <f>'Activity data'!$H$11/'Intermediate calculations'!I22</f>
        <v>306.78469095374538</v>
      </c>
      <c r="J23" s="21">
        <f>'Activity data'!$H$11/'Intermediate calculations'!J22</f>
        <v>318.65433673469386</v>
      </c>
      <c r="K23" s="21">
        <f>'Activity data'!$H$11/'Intermediate calculations'!K22</f>
        <v>339.89795918367349</v>
      </c>
      <c r="L23" s="21">
        <f>'Activity data'!$H$11/'Intermediate calculations'!L22</f>
        <v>313.39117708551117</v>
      </c>
      <c r="M23" s="21">
        <f>'Activity data'!$H$11/'Intermediate calculations'!M22</f>
        <v>304.2935444579781</v>
      </c>
      <c r="N23" s="21">
        <f>'Activity data'!$H$11/'Intermediate calculations'!N22</f>
        <v>312.73732526601293</v>
      </c>
      <c r="O23" s="21">
        <f>'Activity data'!$H$11/'Intermediate calculations'!O22</f>
        <v>311.17915715175423</v>
      </c>
      <c r="P23" s="21">
        <f>'Activity data'!$H$11/'Intermediate calculations'!P22</f>
        <v>283.78455130632335</v>
      </c>
      <c r="Q23" s="21">
        <f>'Activity data'!$H$11/'Intermediate calculations'!Q22</f>
        <v>269.78941684665227</v>
      </c>
      <c r="R23" s="21">
        <f>'Activity data'!$H$11/'Intermediate calculations'!R22</f>
        <v>240.75650497911982</v>
      </c>
      <c r="S23" s="21">
        <f>'Activity data'!$H$11/'Intermediate calculations'!S22</f>
        <v>240.33189033189032</v>
      </c>
      <c r="T23" s="21">
        <f>'Activity data'!$H$11/'Intermediate calculations'!T22</f>
        <v>201.85160247778077</v>
      </c>
      <c r="U23" s="21">
        <f>'Activity data'!$H$11/'Intermediate calculations'!U22</f>
        <v>200.85086426370091</v>
      </c>
      <c r="V23" s="21">
        <f>'Activity data'!$H$11/'Intermediate calculations'!V22</f>
        <v>198.14276272306677</v>
      </c>
      <c r="W23" s="21">
        <f>'Activity data'!$H$11/'Intermediate calculations'!W22</f>
        <v>195.35383813371561</v>
      </c>
      <c r="X23" s="21">
        <f>'Activity data'!$H$11/'Intermediate calculations'!X22</f>
        <v>214.90322580645162</v>
      </c>
      <c r="Y23" s="21">
        <f>'Activity data'!$H$11/'Intermediate calculations'!Y22</f>
        <v>200.88965061460837</v>
      </c>
      <c r="Z23" s="21">
        <f>'Activity data'!$H$11/'Intermediate calculations'!Z22</f>
        <v>198.08562258742433</v>
      </c>
      <c r="AA23" s="21">
        <f>'Activity data'!$H$11/'Intermediate calculations'!AA22</f>
        <v>195.38943615607045</v>
      </c>
      <c r="AB23" s="21">
        <f>'Activity data'!$H$11/'Intermediate calculations'!AB22</f>
        <v>192.79923518059732</v>
      </c>
      <c r="AC23" s="21">
        <f>'Activity data'!$H$11/'Intermediate calculations'!AC22</f>
        <v>190.10800467459529</v>
      </c>
      <c r="AD23" s="21">
        <f>'Activity data'!$H$11/'Intermediate calculations'!AD22</f>
        <v>187.45387039274806</v>
      </c>
      <c r="AE23" s="21">
        <f>'Activity data'!$H$11/'Intermediate calculations'!AE22</f>
        <v>184.88742319337354</v>
      </c>
      <c r="AF23" s="21">
        <f>'Activity data'!$H$11/'Intermediate calculations'!AF22</f>
        <v>182.40364230576637</v>
      </c>
      <c r="AG23" s="21">
        <f>'Activity data'!$H$11/'Intermediate calculations'!AG22</f>
        <v>180.71121501187909</v>
      </c>
      <c r="AH23" s="21">
        <f>'Activity data'!$H$11/'Intermediate calculations'!AH22</f>
        <v>178.20113336278379</v>
      </c>
      <c r="AI23" s="21">
        <f>'Activity data'!$H$11/'Intermediate calculations'!AI22</f>
        <v>175.76683134435686</v>
      </c>
      <c r="AJ23" s="21">
        <f>'Activity data'!$H$11/'Intermediate calculations'!AJ22</f>
        <v>173.39660989849222</v>
      </c>
      <c r="AK23" s="21">
        <f>'Activity data'!$H$11/'Intermediate calculations'!AK22</f>
        <v>171.09517676292259</v>
      </c>
      <c r="AL23" s="21">
        <f>'Activity data'!$H$11/'Intermediate calculations'!AL22</f>
        <v>168.84758065026412</v>
      </c>
      <c r="AM23" s="21">
        <f>'Activity data'!$H$11/'Intermediate calculations'!AM22</f>
        <v>166.46233838412817</v>
      </c>
      <c r="AN23" s="21">
        <f>'Activity data'!$H$11/'Intermediate calculations'!AN22</f>
        <v>164.14516552890038</v>
      </c>
      <c r="AO23" s="21">
        <f>'Activity data'!$H$11/'Intermediate calculations'!AO22</f>
        <v>161.88358598337422</v>
      </c>
      <c r="AP23" s="21">
        <f>'Activity data'!$H$11/'Intermediate calculations'!AP22</f>
        <v>159.67767696633271</v>
      </c>
      <c r="AQ23" s="21">
        <f>'Activity data'!$H$11/'Intermediate calculations'!AQ22</f>
        <v>157.52491520137622</v>
      </c>
      <c r="AR23" s="22">
        <f>AQ23+Constants!$I$35</f>
        <v>156.14650065728239</v>
      </c>
      <c r="AS23" s="22">
        <f>AR23+Constants!$I$35</f>
        <v>154.76808611318856</v>
      </c>
      <c r="AT23" s="22">
        <f>AS23+Constants!$I$35</f>
        <v>153.38967156909473</v>
      </c>
      <c r="AU23" s="22">
        <f>AT23+Constants!$I$35</f>
        <v>152.0112570250009</v>
      </c>
      <c r="AV23" s="22">
        <f>AU23+Constants!$I$35</f>
        <v>150.63284248090707</v>
      </c>
      <c r="AW23" s="22">
        <f>AV23+Constants!$I$35</f>
        <v>149.25442793681324</v>
      </c>
      <c r="AX23" s="22">
        <f>AW23+Constants!$I$35</f>
        <v>147.87601339271941</v>
      </c>
      <c r="AY23" s="22">
        <f>AX23+Constants!$I$35</f>
        <v>146.49759884862559</v>
      </c>
      <c r="AZ23" s="22">
        <f>AY23+Constants!$I$35</f>
        <v>145.11918430453176</v>
      </c>
      <c r="BA23" s="22">
        <f>AZ23+Constants!$I$35</f>
        <v>143.74076976043793</v>
      </c>
      <c r="BB23" s="22">
        <f>BA23+Constants!$J$35</f>
        <v>142.70695885236756</v>
      </c>
      <c r="BC23" s="22">
        <f>BB23+Constants!$J$35</f>
        <v>141.67314794429717</v>
      </c>
      <c r="BD23" s="22">
        <f>BC23+Constants!$J$35</f>
        <v>140.63933703622678</v>
      </c>
      <c r="BE23" s="22">
        <f>BD23+Constants!$J$35</f>
        <v>139.60552612815638</v>
      </c>
      <c r="BF23" s="22">
        <f>BE23+Constants!$J$35</f>
        <v>138.57171522008599</v>
      </c>
      <c r="BG23" s="22">
        <f>BF23+Constants!$J$35</f>
        <v>137.5379043120156</v>
      </c>
      <c r="BH23" s="22">
        <f>BG23+Constants!$J$35</f>
        <v>136.50409340394521</v>
      </c>
      <c r="BI23" s="22">
        <f>BH23+Constants!$J$35</f>
        <v>135.47028249587481</v>
      </c>
      <c r="BJ23" s="22">
        <f>BI23+Constants!$J$35</f>
        <v>134.43647158780442</v>
      </c>
      <c r="BK23" s="22">
        <f>BJ23+Constants!$J$35</f>
        <v>133.40266067973403</v>
      </c>
    </row>
    <row r="24" spans="1:63" x14ac:dyDescent="0.25">
      <c r="A24" t="s">
        <v>335</v>
      </c>
      <c r="B24" t="s">
        <v>321</v>
      </c>
      <c r="C24" s="21">
        <v>125000</v>
      </c>
      <c r="D24" s="21">
        <v>130000</v>
      </c>
      <c r="E24" s="21">
        <v>112000</v>
      </c>
      <c r="F24" s="21">
        <v>129000</v>
      </c>
      <c r="G24" s="21">
        <v>122000</v>
      </c>
      <c r="H24" s="21">
        <v>124000</v>
      </c>
      <c r="I24" s="21">
        <v>131000</v>
      </c>
      <c r="J24" s="21">
        <v>133000</v>
      </c>
      <c r="K24" s="21">
        <v>130000</v>
      </c>
      <c r="L24" s="21">
        <v>126000</v>
      </c>
      <c r="M24" s="21">
        <v>131000</v>
      </c>
      <c r="N24" s="21">
        <v>115000</v>
      </c>
      <c r="O24" s="21">
        <v>123000</v>
      </c>
      <c r="P24" s="21">
        <v>146000</v>
      </c>
      <c r="Q24" s="21">
        <v>174000</v>
      </c>
      <c r="R24" s="21">
        <v>182000</v>
      </c>
      <c r="S24" s="21">
        <v>193000</v>
      </c>
      <c r="T24" s="21">
        <v>206000</v>
      </c>
      <c r="U24" s="21">
        <v>198000</v>
      </c>
      <c r="V24" s="21">
        <v>199000</v>
      </c>
      <c r="W24" s="21">
        <v>215000</v>
      </c>
      <c r="X24" s="21">
        <v>231000</v>
      </c>
      <c r="Y24" s="22">
        <f>((Relationships!$AI$9*LN('Intermediate calculations'!Y4))+Relationships!$AJ$9)*Drivers!Z4</f>
        <v>235484.26170925083</v>
      </c>
      <c r="Z24" s="22">
        <f>((Relationships!$AI$9*LN('Intermediate calculations'!Z4))+Relationships!$AJ$9)*Drivers!AA4</f>
        <v>243356.71212714326</v>
      </c>
      <c r="AA24" s="22">
        <f>((Relationships!$AI$9*LN('Intermediate calculations'!AA4))+Relationships!$AJ$9)*Drivers!AB4</f>
        <v>249153.76472807382</v>
      </c>
      <c r="AB24" s="22">
        <f>((Relationships!$AI$9*LN('Intermediate calculations'!AB4))+Relationships!$AJ$9)*Drivers!AC4</f>
        <v>252784.43173580713</v>
      </c>
      <c r="AC24" s="22">
        <f>((Relationships!$AI$9*LN('Intermediate calculations'!AC4))+Relationships!$AJ$9)*Drivers!AD4</f>
        <v>254578.61673216819</v>
      </c>
      <c r="AD24" s="22">
        <f>((Relationships!$AI$9*LN('Intermediate calculations'!AD4))+Relationships!$AJ$9)*Drivers!AE4</f>
        <v>257876.08365386393</v>
      </c>
      <c r="AE24" s="22">
        <f>((Relationships!$AI$9*LN('Intermediate calculations'!AE4))+Relationships!$AJ$9)*Drivers!AF4</f>
        <v>260563.50688263608</v>
      </c>
      <c r="AF24" s="22">
        <f>((Relationships!$AI$9*LN('Intermediate calculations'!AF4))+Relationships!$AJ$9)*Drivers!AG4</f>
        <v>262679.08999646857</v>
      </c>
      <c r="AG24" s="22">
        <f>((Relationships!$AI$9*LN('Intermediate calculations'!AG4))+Relationships!$AJ$9)*Drivers!AH4</f>
        <v>231587.14328451842</v>
      </c>
      <c r="AH24" s="22">
        <f>((Relationships!$AI$9*LN('Intermediate calculations'!AH4))+Relationships!$AJ$9)*Drivers!AI4</f>
        <v>238795.36239068393</v>
      </c>
      <c r="AI24" s="22">
        <f>((Relationships!$AI$9*LN('Intermediate calculations'!AI4))+Relationships!$AJ$9)*Drivers!AJ4</f>
        <v>245599.08907735784</v>
      </c>
      <c r="AJ24" s="22">
        <f>((Relationships!$AI$9*LN('Intermediate calculations'!AJ4))+Relationships!$AJ$9)*Drivers!AK4</f>
        <v>252429.17597198705</v>
      </c>
      <c r="AK24" s="22">
        <f>((Relationships!$AI$9*LN('Intermediate calculations'!AK4))+Relationships!$AJ$9)*Drivers!AL4</f>
        <v>258920.44544941609</v>
      </c>
      <c r="AL24" s="22">
        <f>((Relationships!$AI$9*LN('Intermediate calculations'!AL4))+Relationships!$AJ$9)*Drivers!AM4</f>
        <v>265703.4156841191</v>
      </c>
      <c r="AM24" s="22">
        <f>((Relationships!$AI$9*LN('Intermediate calculations'!AM4))+Relationships!$AJ$9)*Drivers!AN4</f>
        <v>273834.1443524179</v>
      </c>
      <c r="AN24" s="22">
        <f>((Relationships!$AI$9*LN('Intermediate calculations'!AN4))+Relationships!$AJ$9)*Drivers!AO4</f>
        <v>281808.50163614564</v>
      </c>
      <c r="AO24" s="22">
        <f>((Relationships!$AI$9*LN('Intermediate calculations'!AO4))+Relationships!$AJ$9)*Drivers!AP4</f>
        <v>290151.38780628407</v>
      </c>
      <c r="AP24" s="22">
        <f>((Relationships!$AI$9*LN('Intermediate calculations'!AP4))+Relationships!$AJ$9)*Drivers!AQ4</f>
        <v>298739.70254883397</v>
      </c>
      <c r="AQ24" s="22">
        <f>((Relationships!$AI$9*LN('Intermediate calculations'!AQ4))+Relationships!$AJ$9)*Drivers!AR4</f>
        <v>307593.41191153845</v>
      </c>
      <c r="AR24" s="22">
        <f>((Relationships!$AI$9*LN('Intermediate calculations'!AR4))+Relationships!$AJ$9)*Drivers!AS4</f>
        <v>318377.88320487889</v>
      </c>
      <c r="AS24" s="22">
        <f>((Relationships!$AI$9*LN('Intermediate calculations'!AS4))+Relationships!$AJ$9)*Drivers!AT4</f>
        <v>328479.89916790457</v>
      </c>
      <c r="AT24" s="22">
        <f>((Relationships!$AI$9*LN('Intermediate calculations'!AT4))+Relationships!$AJ$9)*Drivers!AU4</f>
        <v>339669.29409970535</v>
      </c>
      <c r="AU24" s="22">
        <f>((Relationships!$AI$9*LN('Intermediate calculations'!AU4))+Relationships!$AJ$9)*Drivers!AV4</f>
        <v>351534.64580947766</v>
      </c>
      <c r="AV24" s="22">
        <f>((Relationships!$AI$9*LN('Intermediate calculations'!AV4))+Relationships!$AJ$9)*Drivers!AW4</f>
        <v>364082.00703335053</v>
      </c>
      <c r="AW24" s="22">
        <f>((Relationships!$AI$9*LN('Intermediate calculations'!AW4))+Relationships!$AJ$9)*Drivers!AX4</f>
        <v>376793.82902950479</v>
      </c>
      <c r="AX24" s="22">
        <f>((Relationships!$AI$9*LN('Intermediate calculations'!AX4))+Relationships!$AJ$9)*Drivers!AY4</f>
        <v>389879.76283119287</v>
      </c>
      <c r="AY24" s="22">
        <f>((Relationships!$AI$9*LN('Intermediate calculations'!AY4))+Relationships!$AJ$9)*Drivers!AZ4</f>
        <v>402973.1097228424</v>
      </c>
      <c r="AZ24" s="22">
        <f>((Relationships!$AI$9*LN('Intermediate calculations'!AZ4))+Relationships!$AJ$9)*Drivers!BA4</f>
        <v>416417.64775635087</v>
      </c>
      <c r="BA24" s="22">
        <f>((Relationships!$AI$9*LN('Intermediate calculations'!BA4))+Relationships!$AJ$9)*Drivers!BB4</f>
        <v>430490.1481530164</v>
      </c>
      <c r="BB24" s="22">
        <f>((Relationships!$AI$9*LN('Intermediate calculations'!BB4))+Relationships!$AJ$9)*Drivers!BC4</f>
        <v>444878.21145064459</v>
      </c>
      <c r="BC24" s="22">
        <f>((Relationships!$AI$9*LN('Intermediate calculations'!BC4))+Relationships!$AJ$9)*Drivers!BD4</f>
        <v>459669.22155609133</v>
      </c>
      <c r="BD24" s="22">
        <f>((Relationships!$AI$9*LN('Intermediate calculations'!BD4))+Relationships!$AJ$9)*Drivers!BE4</f>
        <v>474805.58624423586</v>
      </c>
      <c r="BE24" s="22">
        <f>((Relationships!$AI$9*LN('Intermediate calculations'!BE4))+Relationships!$AJ$9)*Drivers!BF4</f>
        <v>490348.94493654923</v>
      </c>
      <c r="BF24" s="22">
        <f>((Relationships!$AI$9*LN('Intermediate calculations'!BF4))+Relationships!$AJ$9)*Drivers!BG4</f>
        <v>506592.21077129187</v>
      </c>
      <c r="BG24" s="22">
        <f>((Relationships!$AI$9*LN('Intermediate calculations'!BG4))+Relationships!$AJ$9)*Drivers!BH4</f>
        <v>523344.47448566055</v>
      </c>
      <c r="BH24" s="22">
        <f>((Relationships!$AI$9*LN('Intermediate calculations'!BH4))+Relationships!$AJ$9)*Drivers!BI4</f>
        <v>540582.21874610358</v>
      </c>
      <c r="BI24" s="22">
        <f>((Relationships!$AI$9*LN('Intermediate calculations'!BI4))+Relationships!$AJ$9)*Drivers!BJ4</f>
        <v>557710.32429943664</v>
      </c>
      <c r="BJ24" s="22">
        <f>((Relationships!$AI$9*LN('Intermediate calculations'!BJ4))+Relationships!$AJ$9)*Drivers!BK4</f>
        <v>575351.43269159016</v>
      </c>
      <c r="BK24" s="22">
        <f>((Relationships!$AI$9*LN('Intermediate calculations'!BK4))+Relationships!$AJ$9)*Drivers!BL4</f>
        <v>593534.38460986223</v>
      </c>
    </row>
    <row r="25" spans="1:63" x14ac:dyDescent="0.25">
      <c r="A25" t="s">
        <v>335</v>
      </c>
      <c r="B25" t="s">
        <v>669</v>
      </c>
      <c r="C25" s="53">
        <f>C24*ttokg/Drivers!D4</f>
        <v>3.3966921490134823</v>
      </c>
      <c r="D25" s="53">
        <f>D24*ttokg/Drivers!E4</f>
        <v>3.4465434483197437</v>
      </c>
      <c r="E25" s="53">
        <f>E24*ttokg/Drivers!F4</f>
        <v>2.896106797247985</v>
      </c>
      <c r="F25" s="53">
        <f>F24*ttokg/Drivers!G4</f>
        <v>3.2548017787870185</v>
      </c>
      <c r="G25" s="53">
        <f>G24*ttokg/Drivers!H4</f>
        <v>3.0075885650398053</v>
      </c>
      <c r="H25" s="53">
        <f>H24*ttokg/Drivers!I4</f>
        <v>2.9925843277683009</v>
      </c>
      <c r="I25" s="53">
        <f>I24*ttokg/Drivers!J4</f>
        <v>3.1012515301776276</v>
      </c>
      <c r="J25" s="53">
        <f>J24*ttokg/Drivers!K4</f>
        <v>3.0939254588681102</v>
      </c>
      <c r="K25" s="53">
        <f>K24*ttokg/Drivers!L4</f>
        <v>2.9760364962801833</v>
      </c>
      <c r="L25" s="53">
        <f>L24*ttokg/Drivers!M4</f>
        <v>2.8417713229773924</v>
      </c>
      <c r="M25" s="53">
        <f>M24*ttokg/Drivers!N4</f>
        <v>2.9132016245969217</v>
      </c>
      <c r="N25" s="53">
        <f>N24*ttokg/Drivers!O4</f>
        <v>2.5235195311853693</v>
      </c>
      <c r="O25" s="53">
        <f>O24*ttokg/Drivers!P4</f>
        <v>2.6651693759557911</v>
      </c>
      <c r="P25" s="53">
        <f>P24*ttokg/Drivers!Q4</f>
        <v>3.1250537787508157</v>
      </c>
      <c r="Q25" s="53">
        <f>Q24*ttokg/Drivers!R4</f>
        <v>3.67929956286115</v>
      </c>
      <c r="R25" s="53">
        <f>R24*ttokg/Drivers!S4</f>
        <v>3.8011218781485221</v>
      </c>
      <c r="S25" s="53">
        <f>S24*ttokg/Drivers!T4</f>
        <v>3.9802465108963165</v>
      </c>
      <c r="T25" s="53">
        <f>T24*ttokg/Drivers!U4</f>
        <v>4.1938316513320029</v>
      </c>
      <c r="U25" s="53">
        <f>U24*ttokg/Drivers!V4</f>
        <v>3.9775432728081821</v>
      </c>
      <c r="V25" s="53">
        <f>V24*ttokg/Drivers!W4</f>
        <v>3.9423887440561804</v>
      </c>
      <c r="W25" s="53">
        <f>W24*ttokg/Drivers!X4</f>
        <v>4.197827891555618</v>
      </c>
      <c r="X25" s="53">
        <f>X24*ttokg/Drivers!Y4</f>
        <v>4.4419513111371138</v>
      </c>
      <c r="Y25" s="53">
        <f>Y24*ttokg/Drivers!Z4</f>
        <v>4.4403856963640269</v>
      </c>
      <c r="Z25" s="53">
        <f>Z24*ttokg/Drivers!AA4</f>
        <v>4.5475329378029539</v>
      </c>
      <c r="AA25" s="53">
        <f>AA24*ttokg/Drivers!AB4</f>
        <v>4.6139586060754407</v>
      </c>
      <c r="AB25" s="53">
        <f>AB24*ttokg/Drivers!AC4</f>
        <v>4.6390630992143302</v>
      </c>
      <c r="AC25" s="53">
        <f>AC24*ttokg/Drivers!AD4</f>
        <v>4.626608282687406</v>
      </c>
      <c r="AD25" s="53">
        <f>AD24*ttokg/Drivers!AE4</f>
        <v>4.6414503124889288</v>
      </c>
      <c r="AE25" s="53">
        <f>AE24*ttokg/Drivers!AF4</f>
        <v>4.6451340913493535</v>
      </c>
      <c r="AF25" s="53">
        <f>AF24*ttokg/Drivers!AG4</f>
        <v>4.6386502067920636</v>
      </c>
      <c r="AG25" s="53">
        <f>AG24*ttokg/Drivers!AH4</f>
        <v>4.0513588641036824</v>
      </c>
      <c r="AH25" s="53">
        <f>AH24*ttokg/Drivers!AI4</f>
        <v>4.1382386414797194</v>
      </c>
      <c r="AI25" s="53">
        <f>AI24*ttokg/Drivers!AJ4</f>
        <v>4.2165577438407205</v>
      </c>
      <c r="AJ25" s="53">
        <f>AJ24*ttokg/Drivers!AK4</f>
        <v>4.2938817497662072</v>
      </c>
      <c r="AK25" s="53">
        <f>AK24*ttokg/Drivers!AL4</f>
        <v>4.3640828798701401</v>
      </c>
      <c r="AL25" s="53">
        <f>AL24*ttokg/Drivers!AM4</f>
        <v>4.4378856599331105</v>
      </c>
      <c r="AM25" s="53">
        <f>AM24*ttokg/Drivers!AN4</f>
        <v>4.5292866052873419</v>
      </c>
      <c r="AN25" s="53">
        <f>AN24*ttokg/Drivers!AO4</f>
        <v>4.616368402022009</v>
      </c>
      <c r="AO25" s="53">
        <f>AO24*ttokg/Drivers!AP4</f>
        <v>4.7077710704001712</v>
      </c>
      <c r="AP25" s="53">
        <f>AP24*ttokg/Drivers!AQ4</f>
        <v>4.8013938409866155</v>
      </c>
      <c r="AQ25" s="53">
        <f>AQ24*ttokg/Drivers!AR4</f>
        <v>4.8974923707079681</v>
      </c>
      <c r="AR25" s="53">
        <f>AR24*ttokg/Drivers!AS4</f>
        <v>5.0238474764294905</v>
      </c>
      <c r="AS25" s="53">
        <f>AS24*ttokg/Drivers!AT4</f>
        <v>5.1372882819874919</v>
      </c>
      <c r="AT25" s="53">
        <f>AT24*ttokg/Drivers!AU4</f>
        <v>5.2655915002580151</v>
      </c>
      <c r="AU25" s="53">
        <f>AU24*ttokg/Drivers!AV4</f>
        <v>5.4020462917183654</v>
      </c>
      <c r="AV25" s="53">
        <f>AV24*ttokg/Drivers!AW4</f>
        <v>5.5465336247868118</v>
      </c>
      <c r="AW25" s="53">
        <f>AW24*ttokg/Drivers!AX4</f>
        <v>5.6891146778081518</v>
      </c>
      <c r="AX25" s="53">
        <f>AX24*ttokg/Drivers!AY4</f>
        <v>5.8347796167594606</v>
      </c>
      <c r="AY25" s="53">
        <f>AY24*ttokg/Drivers!AZ4</f>
        <v>5.9780076772095736</v>
      </c>
      <c r="AZ25" s="53">
        <f>AZ24*ttokg/Drivers!BA4</f>
        <v>6.1239178802866698</v>
      </c>
      <c r="BA25" s="53">
        <f>BA24*ttokg/Drivers!BB4</f>
        <v>6.2764763719026639</v>
      </c>
      <c r="BB25" s="53">
        <f>BB24*ttokg/Drivers!BC4</f>
        <v>6.4232531643357014</v>
      </c>
      <c r="BC25" s="53">
        <f>BC24*ttokg/Drivers!BD4</f>
        <v>6.5729680694109618</v>
      </c>
      <c r="BD25" s="53">
        <f>BD24*ttokg/Drivers!BE4</f>
        <v>6.7247214211161168</v>
      </c>
      <c r="BE25" s="53">
        <f>BE24*ttokg/Drivers!BF4</f>
        <v>6.8793202722177433</v>
      </c>
      <c r="BF25" s="53">
        <f>BF24*ttokg/Drivers!BG4</f>
        <v>7.0407557974031532</v>
      </c>
      <c r="BG25" s="53">
        <f>BG24*ttokg/Drivers!BH4</f>
        <v>7.2085659372314455</v>
      </c>
      <c r="BH25" s="53">
        <f>BH24*ttokg/Drivers!BI4</f>
        <v>7.3800303843538222</v>
      </c>
      <c r="BI25" s="53">
        <f>BI24*ttokg/Drivers!BJ4</f>
        <v>7.5469996416358827</v>
      </c>
      <c r="BJ25" s="53">
        <f>BJ24*ttokg/Drivers!BK4</f>
        <v>7.7179434159117832</v>
      </c>
      <c r="BK25" s="53">
        <f>BK24*ttokg/Drivers!BL4</f>
        <v>7.8931423420003917</v>
      </c>
    </row>
    <row r="26" spans="1:63" x14ac:dyDescent="0.25">
      <c r="A26" t="s">
        <v>335</v>
      </c>
      <c r="B26" t="s">
        <v>322</v>
      </c>
      <c r="C26" s="75">
        <f>C24/Drivers!D4</f>
        <v>3.3966921490134823E-3</v>
      </c>
      <c r="D26" s="75">
        <f>D24/Drivers!E4</f>
        <v>3.446543448319744E-3</v>
      </c>
      <c r="E26" s="75">
        <f>E24/Drivers!F4</f>
        <v>2.8961067972479849E-3</v>
      </c>
      <c r="F26" s="75">
        <f>F24/Drivers!G4</f>
        <v>3.2548017787870187E-3</v>
      </c>
      <c r="G26" s="75">
        <f>G24/Drivers!H4</f>
        <v>3.0075885650398052E-3</v>
      </c>
      <c r="H26" s="75">
        <f>H24/Drivers!I4</f>
        <v>2.9925843277683012E-3</v>
      </c>
      <c r="I26" s="75">
        <f>I24/Drivers!J4</f>
        <v>3.1012515301776277E-3</v>
      </c>
      <c r="J26" s="75">
        <f>J24/Drivers!K4</f>
        <v>3.0939254588681106E-3</v>
      </c>
      <c r="K26" s="75">
        <f>K24/Drivers!L4</f>
        <v>2.9760364962801832E-3</v>
      </c>
      <c r="L26" s="75">
        <f>L24/Drivers!M4</f>
        <v>2.8417713229773925E-3</v>
      </c>
      <c r="M26" s="75">
        <f>M24/Drivers!N4</f>
        <v>2.9132016245969217E-3</v>
      </c>
      <c r="N26" s="75">
        <f>N24/Drivers!O4</f>
        <v>2.5235195311853692E-3</v>
      </c>
      <c r="O26" s="75">
        <f>O24/Drivers!P4</f>
        <v>2.665169375955791E-3</v>
      </c>
      <c r="P26" s="75">
        <f>P24/Drivers!Q4</f>
        <v>3.125053778750816E-3</v>
      </c>
      <c r="Q26" s="75">
        <f>Q24/Drivers!R4</f>
        <v>3.6792995628611501E-3</v>
      </c>
      <c r="R26" s="75">
        <f>R24/Drivers!S4</f>
        <v>3.801121878148522E-3</v>
      </c>
      <c r="S26" s="75">
        <f>S24/Drivers!T4</f>
        <v>3.9802465108963164E-3</v>
      </c>
      <c r="T26" s="75">
        <f>T24/Drivers!U4</f>
        <v>4.1938316513320025E-3</v>
      </c>
      <c r="U26" s="75">
        <f>U24/Drivers!V4</f>
        <v>3.9775432728081823E-3</v>
      </c>
      <c r="V26" s="75">
        <f>V24/Drivers!W4</f>
        <v>3.9423887440561802E-3</v>
      </c>
      <c r="W26" s="75">
        <f>W24/Drivers!X4</f>
        <v>4.1978278915556179E-3</v>
      </c>
      <c r="X26" s="75">
        <f>X24/Drivers!Y4</f>
        <v>4.4419513111371139E-3</v>
      </c>
      <c r="Y26" s="74"/>
      <c r="Z26" s="74"/>
      <c r="AA26" s="74"/>
      <c r="AB26" s="74"/>
      <c r="AC26" s="74"/>
      <c r="AD26" s="74"/>
      <c r="AE26" s="74"/>
      <c r="AF26" s="74"/>
      <c r="AG26" s="74"/>
      <c r="AH26" s="74"/>
      <c r="AI26" s="74"/>
      <c r="AJ26" s="74"/>
      <c r="AK26" s="74"/>
      <c r="AL26" s="74"/>
      <c r="AM26" s="74"/>
      <c r="AN26" s="74"/>
      <c r="AO26" s="74">
        <f>(AO27-AD27)/AD27</f>
        <v>0.118221029726349</v>
      </c>
      <c r="AP26" s="74"/>
      <c r="AQ26" s="74">
        <f>(AQ27-AE27)/AE27</f>
        <v>0.17058636505485722</v>
      </c>
      <c r="AR26" s="74"/>
      <c r="AS26" s="74"/>
      <c r="AT26" s="74"/>
      <c r="AU26" s="74"/>
      <c r="AV26" s="74"/>
      <c r="AW26" s="74"/>
      <c r="AX26" s="74"/>
      <c r="AY26" s="74"/>
      <c r="AZ26" s="74"/>
      <c r="BA26" s="74"/>
      <c r="BB26" s="74"/>
      <c r="BC26" s="74"/>
      <c r="BD26" s="74"/>
      <c r="BE26" s="74"/>
      <c r="BF26" s="74"/>
      <c r="BG26" s="74"/>
      <c r="BH26" s="74"/>
      <c r="BI26" s="74"/>
      <c r="BJ26" s="74"/>
      <c r="BK26" s="74"/>
    </row>
    <row r="27" spans="1:63" x14ac:dyDescent="0.25">
      <c r="A27" t="s">
        <v>336</v>
      </c>
      <c r="B27" t="s">
        <v>321</v>
      </c>
      <c r="C27" s="21">
        <v>126200</v>
      </c>
      <c r="D27" s="21">
        <v>130800</v>
      </c>
      <c r="E27" s="21">
        <v>112700</v>
      </c>
      <c r="F27" s="21">
        <v>129600</v>
      </c>
      <c r="G27" s="21">
        <v>119600</v>
      </c>
      <c r="H27" s="21">
        <v>119000</v>
      </c>
      <c r="I27" s="21">
        <v>126500</v>
      </c>
      <c r="J27" s="21">
        <v>127900</v>
      </c>
      <c r="K27" s="21">
        <v>125000</v>
      </c>
      <c r="L27" s="21">
        <v>119200</v>
      </c>
      <c r="M27" s="21">
        <v>123000</v>
      </c>
      <c r="N27" s="21">
        <v>106900</v>
      </c>
      <c r="O27" s="21">
        <v>116600</v>
      </c>
      <c r="P27" s="21">
        <v>135000</v>
      </c>
      <c r="Q27" s="21">
        <v>156800</v>
      </c>
      <c r="R27" s="21">
        <v>159700</v>
      </c>
      <c r="S27" s="21">
        <v>171400</v>
      </c>
      <c r="T27" s="21">
        <v>187100</v>
      </c>
      <c r="U27" s="21">
        <v>181700</v>
      </c>
      <c r="V27" s="21">
        <v>180700</v>
      </c>
      <c r="W27" s="21">
        <v>191900</v>
      </c>
      <c r="X27" s="21">
        <v>205100</v>
      </c>
      <c r="Y27" s="22">
        <f>((Relationships!$AI$25*'Intermediate calculations'!Y24)+Relationships!$AJ$25)</f>
        <v>212524.91891853997</v>
      </c>
      <c r="Z27" s="22">
        <f>((Relationships!$AI$25*'Intermediate calculations'!Z24)+Relationships!$AJ$25)</f>
        <v>219200.82836926018</v>
      </c>
      <c r="AA27" s="22">
        <f>((Relationships!$AI$25*'Intermediate calculations'!AA24)+Relationships!$AJ$25)</f>
        <v>224116.78162276256</v>
      </c>
      <c r="AB27" s="22">
        <f>((Relationships!$AI$25*'Intermediate calculations'!AB24)+Relationships!$AJ$25)</f>
        <v>227195.62021846298</v>
      </c>
      <c r="AC27" s="22">
        <f>((Relationships!$AI$25*'Intermediate calculations'!AC24)+Relationships!$AJ$25)</f>
        <v>228717.10538988104</v>
      </c>
      <c r="AD27" s="22">
        <f>((Relationships!$AI$25*'Intermediate calculations'!AD24)+Relationships!$AJ$25)</f>
        <v>231513.38728655115</v>
      </c>
      <c r="AE27" s="22">
        <f>((Relationships!$AI$25*'Intermediate calculations'!AE24)+Relationships!$AJ$25)</f>
        <v>233792.34659130193</v>
      </c>
      <c r="AF27" s="22">
        <f>((Relationships!$AI$25*'Intermediate calculations'!AF24)+Relationships!$AJ$25)</f>
        <v>235586.38028522255</v>
      </c>
      <c r="AG27" s="22">
        <f>((Relationships!$AI$25*'Intermediate calculations'!AG24)+Relationships!$AJ$25)</f>
        <v>209220.1271013548</v>
      </c>
      <c r="AH27" s="22">
        <f>((Relationships!$AI$25*'Intermediate calculations'!AH24)+Relationships!$AJ$25)</f>
        <v>215332.76236728704</v>
      </c>
      <c r="AI27" s="22">
        <f>((Relationships!$AI$25*'Intermediate calculations'!AI24)+Relationships!$AJ$25)</f>
        <v>221102.38438795434</v>
      </c>
      <c r="AJ27" s="22">
        <f>((Relationships!$AI$25*'Intermediate calculations'!AJ24)+Relationships!$AJ$25)</f>
        <v>226894.36010436696</v>
      </c>
      <c r="AK27" s="22">
        <f>((Relationships!$AI$25*'Intermediate calculations'!AK24)+Relationships!$AJ$25)</f>
        <v>232399.01557390776</v>
      </c>
      <c r="AL27" s="22">
        <f>((Relationships!$AI$25*'Intermediate calculations'!AL24)+Relationships!$AJ$25)</f>
        <v>238151.03593479694</v>
      </c>
      <c r="AM27" s="22">
        <f>((Relationships!$AI$25*'Intermediate calculations'!AM24)+Relationships!$AJ$25)</f>
        <v>245045.9676875039</v>
      </c>
      <c r="AN27" s="22">
        <f>((Relationships!$AI$25*'Intermediate calculations'!AN24)+Relationships!$AJ$25)</f>
        <v>251808.29508595448</v>
      </c>
      <c r="AO27" s="22">
        <f>((Relationships!$AI$25*'Intermediate calculations'!AO24)+Relationships!$AJ$25)</f>
        <v>258883.13832700226</v>
      </c>
      <c r="AP27" s="22">
        <f>((Relationships!$AI$25*'Intermediate calculations'!AP24)+Relationships!$AJ$25)</f>
        <v>266166.10722639842</v>
      </c>
      <c r="AQ27" s="22">
        <f>((Relationships!$AI$25*'Intermediate calculations'!AQ24)+Relationships!$AJ$25)</f>
        <v>273674.13317395747</v>
      </c>
      <c r="AR27" s="22">
        <f>((Relationships!$AI$25*'Intermediate calculations'!AR24)+Relationships!$AJ$25)</f>
        <v>282819.46277356986</v>
      </c>
      <c r="AS27" s="22">
        <f>((Relationships!$AI$25*'Intermediate calculations'!AS24)+Relationships!$AJ$25)</f>
        <v>291386.06405512406</v>
      </c>
      <c r="AT27" s="22">
        <f>((Relationships!$AI$25*'Intermediate calculations'!AT24)+Relationships!$AJ$25)</f>
        <v>300874.77257760323</v>
      </c>
      <c r="AU27" s="22">
        <f>((Relationships!$AI$25*'Intermediate calculations'!AU24)+Relationships!$AJ$25)</f>
        <v>310936.69858673448</v>
      </c>
      <c r="AV27" s="22">
        <f>((Relationships!$AI$25*'Intermediate calculations'!AV24)+Relationships!$AJ$25)</f>
        <v>321576.97485772532</v>
      </c>
      <c r="AW27" s="22">
        <f>((Relationships!$AI$25*'Intermediate calculations'!AW24)+Relationships!$AJ$25)</f>
        <v>332356.71535721759</v>
      </c>
      <c r="AX27" s="22">
        <f>((Relationships!$AI$25*'Intermediate calculations'!AX24)+Relationships!$AJ$25)</f>
        <v>343453.70606542658</v>
      </c>
      <c r="AY27" s="22">
        <f>((Relationships!$AI$25*'Intermediate calculations'!AY24)+Relationships!$AJ$25)</f>
        <v>354556.98314124742</v>
      </c>
      <c r="AZ27" s="22">
        <f>((Relationships!$AI$25*'Intermediate calculations'!AZ24)+Relationships!$AJ$25)</f>
        <v>365958.07349482703</v>
      </c>
      <c r="BA27" s="22">
        <f>((Relationships!$AI$25*'Intermediate calculations'!BA24)+Relationships!$AJ$25)</f>
        <v>377891.68163541844</v>
      </c>
      <c r="BB27" s="22">
        <f>((Relationships!$AI$25*'Intermediate calculations'!BB24)+Relationships!$AJ$25)</f>
        <v>390092.88998191839</v>
      </c>
      <c r="BC27" s="22">
        <f>((Relationships!$AI$25*'Intermediate calculations'!BC24)+Relationships!$AJ$25)</f>
        <v>402635.80088094762</v>
      </c>
      <c r="BD27" s="22">
        <f>((Relationships!$AI$25*'Intermediate calculations'!BD24)+Relationships!$AJ$25)</f>
        <v>415471.57560256019</v>
      </c>
      <c r="BE27" s="22">
        <f>((Relationships!$AI$25*'Intermediate calculations'!BE24)+Relationships!$AJ$25)</f>
        <v>428652.48493596294</v>
      </c>
      <c r="BF27" s="22">
        <f>((Relationships!$AI$25*'Intermediate calculations'!BF24)+Relationships!$AJ$25)</f>
        <v>442426.92188259156</v>
      </c>
      <c r="BG27" s="22">
        <f>((Relationships!$AI$25*'Intermediate calculations'!BG24)+Relationships!$AJ$25)</f>
        <v>456632.99365378113</v>
      </c>
      <c r="BH27" s="22">
        <f>((Relationships!$AI$25*'Intermediate calculations'!BH24)+Relationships!$AJ$25)</f>
        <v>471250.75733709917</v>
      </c>
      <c r="BI27" s="22">
        <f>((Relationships!$AI$25*'Intermediate calculations'!BI24)+Relationships!$AJ$25)</f>
        <v>485775.54640106659</v>
      </c>
      <c r="BJ27" s="22">
        <f>((Relationships!$AI$25*'Intermediate calculations'!BJ24)+Relationships!$AJ$25)</f>
        <v>500735.36653136427</v>
      </c>
      <c r="BK27" s="22">
        <f>((Relationships!$AI$25*'Intermediate calculations'!BK24)+Relationships!$AJ$25)</f>
        <v>516154.67489274754</v>
      </c>
    </row>
    <row r="28" spans="1:63" x14ac:dyDescent="0.25">
      <c r="A28" t="s">
        <v>851</v>
      </c>
      <c r="B28" t="s">
        <v>848</v>
      </c>
      <c r="C28" s="21">
        <f>'Activity data'!H17/'Intermediate calculations'!C27</f>
        <v>12.07606973058637</v>
      </c>
      <c r="D28" s="21">
        <f>'Activity data'!I17/'Intermediate calculations'!D27</f>
        <v>12.729357798165138</v>
      </c>
      <c r="E28" s="21">
        <f>'Activity data'!J17/'Intermediate calculations'!E27</f>
        <v>14.676131322094054</v>
      </c>
      <c r="F28" s="21">
        <f>'Activity data'!K17/'Intermediate calculations'!F27</f>
        <v>12.75462962962963</v>
      </c>
      <c r="G28" s="21">
        <f>'Activity data'!L17/'Intermediate calculations'!G27</f>
        <v>13.127090301003344</v>
      </c>
      <c r="H28" s="21">
        <f>'Activity data'!M17/'Intermediate calculations'!H27</f>
        <v>13.319327731092438</v>
      </c>
      <c r="I28" s="21">
        <f>'Activity data'!N17/'Intermediate calculations'!I27</f>
        <v>13.494071146245059</v>
      </c>
      <c r="J28" s="21">
        <f>'Activity data'!O17/'Intermediate calculations'!J27</f>
        <v>13.28381548084441</v>
      </c>
      <c r="K28" s="21">
        <f>'Activity data'!P17/'Intermediate calculations'!K27</f>
        <v>13.888</v>
      </c>
      <c r="L28" s="21">
        <f>'Activity data'!Q17/'Intermediate calculations'!L27</f>
        <v>14.932885906040269</v>
      </c>
      <c r="M28" s="21">
        <f>'Activity data'!R17/'Intermediate calculations'!M27</f>
        <v>13.390243902439025</v>
      </c>
      <c r="N28" s="21">
        <f>'Activity data'!S17/'Intermediate calculations'!N27</f>
        <v>15.696913002806362</v>
      </c>
      <c r="O28" s="21">
        <f>'Activity data'!T17/'Intermediate calculations'!O27</f>
        <v>14.665523156089193</v>
      </c>
      <c r="P28" s="21">
        <f>'Activity data'!U17/'Intermediate calculations'!P27</f>
        <v>12.318518518518518</v>
      </c>
      <c r="Q28" s="21">
        <f>'Activity data'!V17/'Intermediate calculations'!Q27</f>
        <v>10.605867346938776</v>
      </c>
      <c r="R28" s="21">
        <f>'Activity data'!W17/'Intermediate calculations'!R27</f>
        <v>10.338134001252348</v>
      </c>
      <c r="S28" s="21">
        <f>'Activity data'!X17/'Intermediate calculations'!S27</f>
        <v>9.4632438739789961</v>
      </c>
      <c r="T28" s="21">
        <f>'Activity data'!Y17/'Intermediate calculations'!T27</f>
        <v>8.824158204168894</v>
      </c>
      <c r="U28" s="21">
        <f>'Activity data'!Z17/'Intermediate calculations'!U27</f>
        <v>8.8882773802971933</v>
      </c>
      <c r="V28" s="21">
        <f>'Activity data'!AA17/'Intermediate calculations'!V27</f>
        <v>8.9263973436635311</v>
      </c>
      <c r="W28" s="21">
        <f>'Activity data'!AB17/'Intermediate calculations'!W27</f>
        <v>8.306409588327254</v>
      </c>
      <c r="X28" s="21">
        <f>'Activity data'!AC17/'Intermediate calculations'!X27</f>
        <v>7.7230619210141391</v>
      </c>
      <c r="Y28" s="21">
        <f>'Activity data'!AD17/'Intermediate calculations'!Y27</f>
        <v>7.3757266617650616</v>
      </c>
      <c r="Z28" s="21">
        <f>'Activity data'!AE17/'Intermediate calculations'!Z27</f>
        <v>7.1220924439598443</v>
      </c>
      <c r="AA28" s="21">
        <f>'Activity data'!AF17/'Intermediate calculations'!AA27</f>
        <v>6.9455303953290439</v>
      </c>
      <c r="AB28" s="21">
        <f>'Activity data'!AG17/'Intermediate calculations'!AB27</f>
        <v>6.8390645339993199</v>
      </c>
      <c r="AC28" s="21">
        <f>'Activity data'!AH17/'Intermediate calculations'!AC27</f>
        <v>6.7875712067991696</v>
      </c>
      <c r="AD28" s="21">
        <f>'Activity data'!AI17/'Intermediate calculations'!AD27</f>
        <v>6.694800596030408</v>
      </c>
      <c r="AE28" s="21">
        <f>'Activity data'!AJ17/'Intermediate calculations'!AE27</f>
        <v>6.6209292171490608</v>
      </c>
      <c r="AF28" s="21">
        <f>'Activity data'!AK17/'Intermediate calculations'!AF27</f>
        <v>6.5638402591163185</v>
      </c>
      <c r="AG28" s="21">
        <f>'Activity data'!AL17/'Intermediate calculations'!AG27</f>
        <v>7.5076284977300975</v>
      </c>
      <c r="AH28" s="21">
        <f>'Activity data'!AM17/'Intermediate calculations'!AH27</f>
        <v>7.2670220885357413</v>
      </c>
      <c r="AI28" s="21">
        <f>'Activity data'!AN17/'Intermediate calculations'!AI27</f>
        <v>7.0528104571797936</v>
      </c>
      <c r="AJ28" s="21">
        <f>'Activity data'!AO17/'Intermediate calculations'!AJ27</f>
        <v>6.8493471270112298</v>
      </c>
      <c r="AK28" s="21">
        <f>'Activity data'!AP17/'Intermediate calculations'!AK27</f>
        <v>6.6659111766772572</v>
      </c>
      <c r="AL28" s="21">
        <f>'Activity data'!AQ17/'Intermediate calculations'!AL27</f>
        <v>6.4838093030391724</v>
      </c>
      <c r="AM28" s="21">
        <f>'Activity data'!AR17/'Intermediate calculations'!AM27</f>
        <v>6.2774330435415431</v>
      </c>
      <c r="AN28" s="21">
        <f>'Activity data'!AS17/'Intermediate calculations'!AN27</f>
        <v>6.0866319298269405</v>
      </c>
      <c r="AO28" s="21">
        <f>'Activity data'!AT17/'Intermediate calculations'!AO27</f>
        <v>5.8982952299481921</v>
      </c>
      <c r="AP28" s="21">
        <f>'Activity data'!AU17/'Intermediate calculations'!AP27</f>
        <v>5.7154787525037802</v>
      </c>
      <c r="AQ28" s="21">
        <f>'Activity data'!AV17/'Intermediate calculations'!AQ27</f>
        <v>5.5377872728926851</v>
      </c>
      <c r="AR28" s="22">
        <f>AQ28+Constants!$I$37</f>
        <v>5.3994484876412407</v>
      </c>
      <c r="AS28" s="22">
        <f>AR28+Constants!$I$37</f>
        <v>5.2611097023897964</v>
      </c>
      <c r="AT28" s="22">
        <f>AS28+Constants!$I$37</f>
        <v>5.122770917138352</v>
      </c>
      <c r="AU28" s="22">
        <f>AT28+Constants!$I$37</f>
        <v>4.9844321318869076</v>
      </c>
      <c r="AV28" s="22">
        <f>AU28+Constants!$I$37</f>
        <v>4.8460933466354632</v>
      </c>
      <c r="AW28" s="22">
        <f>AV28+Constants!$I$37</f>
        <v>4.7077545613840188</v>
      </c>
      <c r="AX28" s="22">
        <f>AW28+Constants!$I$37</f>
        <v>4.5694157761325744</v>
      </c>
      <c r="AY28" s="22">
        <f>AX28+Constants!$I$37</f>
        <v>4.4310769908811301</v>
      </c>
      <c r="AZ28" s="22">
        <f>AY28+Constants!$I$37</f>
        <v>4.2927382056296857</v>
      </c>
      <c r="BA28" s="22">
        <f>AZ28+Constants!$I$37</f>
        <v>4.1543994203782413</v>
      </c>
      <c r="BB28" s="22">
        <f>BA28+Constants!$J$37</f>
        <v>4.0463222444005504</v>
      </c>
      <c r="BC28" s="22">
        <f>BB28+Constants!$J$37</f>
        <v>3.9382450684228596</v>
      </c>
      <c r="BD28" s="22">
        <f>BC28+Constants!$J$37</f>
        <v>3.8301678924451688</v>
      </c>
      <c r="BE28" s="22">
        <f>BD28+Constants!$J$37</f>
        <v>3.7220907164674779</v>
      </c>
      <c r="BF28" s="22">
        <f>BE28+Constants!$J$37</f>
        <v>3.6140135404897871</v>
      </c>
      <c r="BG28" s="22">
        <f>BF28+Constants!$J$37</f>
        <v>3.5059363645120962</v>
      </c>
      <c r="BH28" s="22">
        <f>BG28+Constants!$J$37</f>
        <v>3.3978591885344054</v>
      </c>
      <c r="BI28" s="22">
        <f>BH28+Constants!$J$37</f>
        <v>3.2897820125567145</v>
      </c>
      <c r="BJ28" s="22">
        <f>BI28+Constants!$J$37</f>
        <v>3.1817048365790237</v>
      </c>
      <c r="BK28" s="22">
        <f>BJ28+Constants!$J$37</f>
        <v>3.0736276606013329</v>
      </c>
    </row>
    <row r="29" spans="1:63" x14ac:dyDescent="0.25">
      <c r="A29" t="s">
        <v>338</v>
      </c>
      <c r="B29" t="s">
        <v>321</v>
      </c>
      <c r="C29" s="21">
        <v>209000</v>
      </c>
      <c r="D29" s="21">
        <v>214000</v>
      </c>
      <c r="E29" s="21">
        <v>223000</v>
      </c>
      <c r="F29" s="21">
        <v>218000</v>
      </c>
      <c r="G29" s="21">
        <v>233000</v>
      </c>
      <c r="H29" s="21">
        <v>272000</v>
      </c>
      <c r="I29" s="21">
        <v>263000</v>
      </c>
      <c r="J29" s="21">
        <v>293000</v>
      </c>
      <c r="K29" s="21">
        <v>302000</v>
      </c>
      <c r="L29" s="21">
        <v>299000</v>
      </c>
      <c r="M29" s="21">
        <v>310000</v>
      </c>
      <c r="N29" s="21">
        <v>308000</v>
      </c>
      <c r="O29" s="21">
        <v>313000</v>
      </c>
      <c r="P29" s="21">
        <v>305000</v>
      </c>
      <c r="Q29" s="21">
        <v>329000</v>
      </c>
      <c r="R29" s="21">
        <v>357000</v>
      </c>
      <c r="S29" s="21">
        <v>392000</v>
      </c>
      <c r="T29" s="21">
        <v>416000</v>
      </c>
      <c r="U29" s="21">
        <v>404000</v>
      </c>
      <c r="V29" s="21">
        <v>379000</v>
      </c>
      <c r="W29" s="21">
        <v>386000</v>
      </c>
      <c r="X29" s="21">
        <v>426000</v>
      </c>
      <c r="Y29" s="22">
        <f>((Relationships!$AI$10*LN('Intermediate calculations'!Y4))+Relationships!$AJ$10)*Drivers!Z4</f>
        <v>430555.49434441631</v>
      </c>
      <c r="Z29" s="22">
        <f>((Relationships!$AI$10*LN('Intermediate calculations'!Z4))+Relationships!$AJ$10)*Drivers!AA4</f>
        <v>440087.55096496653</v>
      </c>
      <c r="AA29" s="22">
        <f>((Relationships!$AI$10*LN('Intermediate calculations'!AA4))+Relationships!$AJ$10)*Drivers!AB4</f>
        <v>447601.19868970563</v>
      </c>
      <c r="AB29" s="22">
        <f>((Relationships!$AI$10*LN('Intermediate calculations'!AB4))+Relationships!$AJ$10)*Drivers!AC4</f>
        <v>453007.37578913511</v>
      </c>
      <c r="AC29" s="22">
        <f>((Relationships!$AI$10*LN('Intermediate calculations'!AC4))+Relationships!$AJ$10)*Drivers!AD4</f>
        <v>456778.88664765458</v>
      </c>
      <c r="AD29" s="22">
        <f>((Relationships!$AI$10*LN('Intermediate calculations'!AD4))+Relationships!$AJ$10)*Drivers!AE4</f>
        <v>462024.32856371417</v>
      </c>
      <c r="AE29" s="22">
        <f>((Relationships!$AI$10*LN('Intermediate calculations'!AE4))+Relationships!$AJ$10)*Drivers!AF4</f>
        <v>466671.63760110107</v>
      </c>
      <c r="AF29" s="22">
        <f>((Relationships!$AI$10*LN('Intermediate calculations'!AF4))+Relationships!$AJ$10)*Drivers!AG4</f>
        <v>470758.27143102954</v>
      </c>
      <c r="AG29" s="22">
        <f>((Relationships!$AI$10*LN('Intermediate calculations'!AG4))+Relationships!$AJ$10)*Drivers!AH4</f>
        <v>442285.73673138855</v>
      </c>
      <c r="AH29" s="22">
        <f>((Relationships!$AI$10*LN('Intermediate calculations'!AH4))+Relationships!$AJ$10)*Drivers!AI4</f>
        <v>451392.95919574483</v>
      </c>
      <c r="AI29" s="22">
        <f>((Relationships!$AI$10*LN('Intermediate calculations'!AI4))+Relationships!$AJ$10)*Drivers!AJ4</f>
        <v>460103.58672592533</v>
      </c>
      <c r="AJ29" s="22">
        <f>((Relationships!$AI$10*LN('Intermediate calculations'!AJ4))+Relationships!$AJ$10)*Drivers!AK4</f>
        <v>468840.0597934816</v>
      </c>
      <c r="AK29" s="22">
        <f>((Relationships!$AI$10*LN('Intermediate calculations'!AK4))+Relationships!$AJ$10)*Drivers!AL4</f>
        <v>477244.33069347939</v>
      </c>
      <c r="AL29" s="22">
        <f>((Relationships!$AI$10*LN('Intermediate calculations'!AL4))+Relationships!$AJ$10)*Drivers!AM4</f>
        <v>485934.607069235</v>
      </c>
      <c r="AM29" s="22">
        <f>((Relationships!$AI$10*LN('Intermediate calculations'!AM4))+Relationships!$AJ$10)*Drivers!AN4</f>
        <v>496116.42701064463</v>
      </c>
      <c r="AN29" s="22">
        <f>((Relationships!$AI$10*LN('Intermediate calculations'!AN4))+Relationships!$AJ$10)*Drivers!AO4</f>
        <v>506144.92864472495</v>
      </c>
      <c r="AO29" s="22">
        <f>((Relationships!$AI$10*LN('Intermediate calculations'!AO4))+Relationships!$AJ$10)*Drivers!AP4</f>
        <v>516534.76381320634</v>
      </c>
      <c r="AP29" s="22">
        <f>((Relationships!$AI$10*LN('Intermediate calculations'!AP4))+Relationships!$AJ$10)*Drivers!AQ4</f>
        <v>527165.23567743157</v>
      </c>
      <c r="AQ29" s="22">
        <f>((Relationships!$AI$10*LN('Intermediate calculations'!AQ4))+Relationships!$AJ$10)*Drivers!AR4</f>
        <v>538055.92045751621</v>
      </c>
      <c r="AR29" s="22">
        <f>((Relationships!$AI$10*LN('Intermediate calculations'!AR4))+Relationships!$AJ$10)*Drivers!AS4</f>
        <v>550764.64559042128</v>
      </c>
      <c r="AS29" s="22">
        <f>((Relationships!$AI$10*LN('Intermediate calculations'!AS4))+Relationships!$AJ$10)*Drivers!AT4</f>
        <v>562804.23997254367</v>
      </c>
      <c r="AT29" s="22">
        <f>((Relationships!$AI$10*LN('Intermediate calculations'!AT4))+Relationships!$AJ$10)*Drivers!AU4</f>
        <v>575909.98280159733</v>
      </c>
      <c r="AU29" s="22">
        <f>((Relationships!$AI$10*LN('Intermediate calculations'!AU4))+Relationships!$AJ$10)*Drivers!AV4</f>
        <v>589678.48463494331</v>
      </c>
      <c r="AV29" s="22">
        <f>((Relationships!$AI$10*LN('Intermediate calculations'!AV4))+Relationships!$AJ$10)*Drivers!AW4</f>
        <v>604115.68006955693</v>
      </c>
      <c r="AW29" s="22">
        <f>((Relationships!$AI$10*LN('Intermediate calculations'!AW4))+Relationships!$AJ$10)*Drivers!AX4</f>
        <v>618798.05487882136</v>
      </c>
      <c r="AX29" s="22">
        <f>((Relationships!$AI$10*LN('Intermediate calculations'!AX4))+Relationships!$AJ$10)*Drivers!AY4</f>
        <v>633847.23713775584</v>
      </c>
      <c r="AY29" s="22">
        <f>((Relationships!$AI$10*LN('Intermediate calculations'!AY4))+Relationships!$AJ$10)*Drivers!AZ4</f>
        <v>648903.68771192944</v>
      </c>
      <c r="AZ29" s="22">
        <f>((Relationships!$AI$10*LN('Intermediate calculations'!AZ4))+Relationships!$AJ$10)*Drivers!BA4</f>
        <v>664304.47262485593</v>
      </c>
      <c r="BA29" s="22">
        <f>((Relationships!$AI$10*LN('Intermediate calculations'!BA4))+Relationships!$AJ$10)*Drivers!BB4</f>
        <v>680320.95923313685</v>
      </c>
      <c r="BB29" s="22">
        <f>((Relationships!$AI$10*LN('Intermediate calculations'!BB4))+Relationships!$AJ$10)*Drivers!BC4</f>
        <v>696960.86286399642</v>
      </c>
      <c r="BC29" s="22">
        <f>((Relationships!$AI$10*LN('Intermediate calculations'!BC4))+Relationships!$AJ$10)*Drivers!BD4</f>
        <v>713995.84591939615</v>
      </c>
      <c r="BD29" s="22">
        <f>((Relationships!$AI$10*LN('Intermediate calculations'!BD4))+Relationships!$AJ$10)*Drivers!BE4</f>
        <v>731369.44071043981</v>
      </c>
      <c r="BE29" s="22">
        <f>((Relationships!$AI$10*LN('Intermediate calculations'!BE4))+Relationships!$AJ$10)*Drivers!BF4</f>
        <v>749142.08314043214</v>
      </c>
      <c r="BF29" s="22">
        <f>((Relationships!$AI$10*LN('Intermediate calculations'!BF4))+Relationships!$AJ$10)*Drivers!BG4</f>
        <v>767600.96735729941</v>
      </c>
      <c r="BG29" s="22">
        <f>((Relationships!$AI$10*LN('Intermediate calculations'!BG4))+Relationships!$AJ$10)*Drivers!BH4</f>
        <v>786469.51987443503</v>
      </c>
      <c r="BH29" s="22">
        <f>((Relationships!$AI$10*LN('Intermediate calculations'!BH4))+Relationships!$AJ$10)*Drivers!BI4</f>
        <v>805814.07415985595</v>
      </c>
      <c r="BI29" s="22">
        <f>((Relationships!$AI$10*LN('Intermediate calculations'!BI4))+Relationships!$AJ$10)*Drivers!BJ4</f>
        <v>825051.13041966001</v>
      </c>
      <c r="BJ29" s="22">
        <f>((Relationships!$AI$10*LN('Intermediate calculations'!BJ4))+Relationships!$AJ$10)*Drivers!BK4</f>
        <v>844791.17334311095</v>
      </c>
      <c r="BK29" s="22">
        <f>((Relationships!$AI$10*LN('Intermediate calculations'!BK4))+Relationships!$AJ$10)*Drivers!BL4</f>
        <v>865062.48055439314</v>
      </c>
    </row>
    <row r="30" spans="1:63" x14ac:dyDescent="0.25">
      <c r="A30" t="s">
        <v>338</v>
      </c>
      <c r="B30" t="s">
        <v>669</v>
      </c>
      <c r="C30" s="53">
        <f>C29*ttokg/Drivers!D4</f>
        <v>5.6792692731505428</v>
      </c>
      <c r="D30" s="53">
        <f>D29*ttokg/Drivers!E4</f>
        <v>5.6735407533878863</v>
      </c>
      <c r="E30" s="53">
        <f>E29*ttokg/Drivers!F4</f>
        <v>5.7663554980919702</v>
      </c>
      <c r="F30" s="53">
        <f>F29*ttokg/Drivers!G4</f>
        <v>5.5003626959346512</v>
      </c>
      <c r="G30" s="53">
        <f>G29*ttokg/Drivers!H4</f>
        <v>5.7440011119202836</v>
      </c>
      <c r="H30" s="53">
        <f>H29*ttokg/Drivers!I4</f>
        <v>6.5643785254272409</v>
      </c>
      <c r="I30" s="53">
        <f>I29*ttokg/Drivers!J4</f>
        <v>6.2261767361581377</v>
      </c>
      <c r="J30" s="53">
        <f>J29*ttokg/Drivers!K4</f>
        <v>6.8159410484838823</v>
      </c>
      <c r="K30" s="53">
        <f>K29*ttokg/Drivers!L4</f>
        <v>6.9135617067431951</v>
      </c>
      <c r="L30" s="53">
        <f>L29*ttokg/Drivers!M4</f>
        <v>6.7435684569066696</v>
      </c>
      <c r="M30" s="53">
        <f>M29*ttokg/Drivers!N4</f>
        <v>6.8938359055347007</v>
      </c>
      <c r="N30" s="53">
        <f>N29*ttokg/Drivers!O4</f>
        <v>6.7586436139573367</v>
      </c>
      <c r="O30" s="53">
        <f>O29*ttokg/Drivers!P4</f>
        <v>6.7820976802777446</v>
      </c>
      <c r="P30" s="53">
        <f>P29*ttokg/Drivers!Q4</f>
        <v>6.5283657706780742</v>
      </c>
      <c r="Q30" s="53">
        <f>Q29*ttokg/Drivers!R4</f>
        <v>6.956836529777692</v>
      </c>
      <c r="R30" s="53">
        <f>R29*ttokg/Drivers!S4</f>
        <v>7.4560467609836394</v>
      </c>
      <c r="S30" s="53">
        <f>S29*ttokg/Drivers!T4</f>
        <v>8.0842312552919999</v>
      </c>
      <c r="T30" s="53">
        <f>T29*ttokg/Drivers!U4</f>
        <v>8.4690969269617149</v>
      </c>
      <c r="U30" s="53">
        <f>U29*ttokg/Drivers!V4</f>
        <v>8.115795364719725</v>
      </c>
      <c r="V30" s="53">
        <f>V29*ttokg/Drivers!W4</f>
        <v>7.5083685125492075</v>
      </c>
      <c r="W30" s="53">
        <f>W29*ttokg/Drivers!X4</f>
        <v>7.5365654239091562</v>
      </c>
      <c r="X30" s="53">
        <f>X29*ttokg/Drivers!Y4</f>
        <v>8.1916504698892236</v>
      </c>
      <c r="Y30" s="53">
        <f>Y29*ttokg/Drivers!Z4</f>
        <v>8.1187271060110255</v>
      </c>
      <c r="Z30" s="53">
        <f>Z29*ttokg/Drivers!AA4</f>
        <v>8.2237823482946411</v>
      </c>
      <c r="AA30" s="53">
        <f>AA29*ttokg/Drivers!AB4</f>
        <v>8.2889110868464009</v>
      </c>
      <c r="AB30" s="53">
        <f>AB29*ttokg/Drivers!AC4</f>
        <v>8.313525426643638</v>
      </c>
      <c r="AC30" s="53">
        <f>AC29*ttokg/Drivers!AD4</f>
        <v>8.3013137845120983</v>
      </c>
      <c r="AD30" s="53">
        <f>AD29*ttokg/Drivers!AE4</f>
        <v>8.315866030709385</v>
      </c>
      <c r="AE30" s="53">
        <f>AE29*ttokg/Drivers!AF4</f>
        <v>8.319477885531807</v>
      </c>
      <c r="AF30" s="53">
        <f>AF29*ttokg/Drivers!AG4</f>
        <v>8.313120595750414</v>
      </c>
      <c r="AG30" s="53">
        <f>AG29*ttokg/Drivers!AH4</f>
        <v>7.7372958384478867</v>
      </c>
      <c r="AH30" s="53">
        <f>AH29*ttokg/Drivers!AI4</f>
        <v>7.8224793293078791</v>
      </c>
      <c r="AI30" s="53">
        <f>AI29*ttokg/Drivers!AJ4</f>
        <v>7.8992692882790818</v>
      </c>
      <c r="AJ30" s="53">
        <f>AJ29*ttokg/Drivers!AK4</f>
        <v>7.9750835796014856</v>
      </c>
      <c r="AK30" s="53">
        <f>AK29*ttokg/Drivers!AL4</f>
        <v>8.0439140658800916</v>
      </c>
      <c r="AL30" s="53">
        <f>AL29*ttokg/Drivers!AM4</f>
        <v>8.1162758816076543</v>
      </c>
      <c r="AM30" s="53">
        <f>AM29*ttokg/Drivers!AN4</f>
        <v>8.2058922667818397</v>
      </c>
      <c r="AN30" s="53">
        <f>AN29*ttokg/Drivers!AO4</f>
        <v>8.2912738326681445</v>
      </c>
      <c r="AO30" s="53">
        <f>AO29*ttokg/Drivers!AP4</f>
        <v>8.380891907225033</v>
      </c>
      <c r="AP30" s="53">
        <f>AP29*ttokg/Drivers!AQ4</f>
        <v>8.4726867375457822</v>
      </c>
      <c r="AQ30" s="53">
        <f>AQ29*ttokg/Drivers!AR4</f>
        <v>8.5669089889765928</v>
      </c>
      <c r="AR30" s="53">
        <f>AR29*ttokg/Drivers!AS4</f>
        <v>8.6907970710875677</v>
      </c>
      <c r="AS30" s="53">
        <f>AS29*ttokg/Drivers!AT4</f>
        <v>8.8020229986308092</v>
      </c>
      <c r="AT30" s="53">
        <f>AT29*ttokg/Drivers!AU4</f>
        <v>8.9278211573156785</v>
      </c>
      <c r="AU30" s="53">
        <f>AU29*ttokg/Drivers!AV4</f>
        <v>9.0616117335835504</v>
      </c>
      <c r="AV30" s="53">
        <f>AV29*ttokg/Drivers!AW4</f>
        <v>9.2032780198880175</v>
      </c>
      <c r="AW30" s="53">
        <f>AW29*ttokg/Drivers!AX4</f>
        <v>9.3430752453606978</v>
      </c>
      <c r="AX30" s="53">
        <f>AX29*ttokg/Drivers!AY4</f>
        <v>9.485896145350754</v>
      </c>
      <c r="AY30" s="53">
        <f>AY29*ttokg/Drivers!AZ4</f>
        <v>9.6263277457384877</v>
      </c>
      <c r="AZ30" s="53">
        <f>AZ29*ttokg/Drivers!BA4</f>
        <v>9.769389121188409</v>
      </c>
      <c r="BA30" s="53">
        <f>BA29*ttokg/Drivers!BB4</f>
        <v>9.9189689804914529</v>
      </c>
      <c r="BB30" s="53">
        <f>BB29*ttokg/Drivers!BC4</f>
        <v>10.062880025550461</v>
      </c>
      <c r="BC30" s="53">
        <f>BC29*ttokg/Drivers!BD4</f>
        <v>10.209671817993552</v>
      </c>
      <c r="BD30" s="53">
        <f>BD29*ttokg/Drivers!BE4</f>
        <v>10.358462257361269</v>
      </c>
      <c r="BE30" s="53">
        <f>BE29*ttokg/Drivers!BF4</f>
        <v>10.510042639097092</v>
      </c>
      <c r="BF30" s="53">
        <f>BF29*ttokg/Drivers!BG4</f>
        <v>10.668326212092328</v>
      </c>
      <c r="BG30" s="53">
        <f>BG29*ttokg/Drivers!BH4</f>
        <v>10.832859938397915</v>
      </c>
      <c r="BH30" s="53">
        <f>BH29*ttokg/Drivers!BI4</f>
        <v>11.000976623377969</v>
      </c>
      <c r="BI30" s="53">
        <f>BI29*ttokg/Drivers!BJ4</f>
        <v>11.164685884970881</v>
      </c>
      <c r="BJ30" s="53">
        <f>BJ29*ttokg/Drivers!BK4</f>
        <v>11.332292062995249</v>
      </c>
      <c r="BK30" s="53">
        <f>BK29*ttokg/Drivers!BL4</f>
        <v>11.504070313007972</v>
      </c>
    </row>
    <row r="31" spans="1:63" x14ac:dyDescent="0.25">
      <c r="A31" t="s">
        <v>338</v>
      </c>
      <c r="B31" t="s">
        <v>322</v>
      </c>
      <c r="C31" s="53">
        <f>C29/Drivers!D4</f>
        <v>5.6792692731505428E-3</v>
      </c>
      <c r="D31" s="53">
        <f>D29/Drivers!E4</f>
        <v>5.6735407533878863E-3</v>
      </c>
      <c r="E31" s="53">
        <f>E29/Drivers!F4</f>
        <v>5.7663554980919695E-3</v>
      </c>
      <c r="F31" s="53">
        <f>F29/Drivers!G4</f>
        <v>5.5003626959346519E-3</v>
      </c>
      <c r="G31" s="53">
        <f>G29/Drivers!H4</f>
        <v>5.7440011119202841E-3</v>
      </c>
      <c r="H31" s="53">
        <f>H29/Drivers!I4</f>
        <v>6.5643785254272408E-3</v>
      </c>
      <c r="I31" s="53">
        <f>I29/Drivers!J4</f>
        <v>6.2261767361581379E-3</v>
      </c>
      <c r="J31" s="53">
        <f>J29/Drivers!K4</f>
        <v>6.8159410484838825E-3</v>
      </c>
      <c r="K31" s="53">
        <f>K29/Drivers!L4</f>
        <v>6.9135617067431947E-3</v>
      </c>
      <c r="L31" s="53">
        <f>L29/Drivers!M4</f>
        <v>6.7435684569066689E-3</v>
      </c>
      <c r="M31" s="53">
        <f>M29/Drivers!N4</f>
        <v>6.8938359055347002E-3</v>
      </c>
      <c r="N31" s="53">
        <f>N29/Drivers!O4</f>
        <v>6.7586436139573363E-3</v>
      </c>
      <c r="O31" s="53">
        <f>O29/Drivers!P4</f>
        <v>6.7820976802777447E-3</v>
      </c>
      <c r="P31" s="53">
        <f>P29/Drivers!Q4</f>
        <v>6.5283657706780738E-3</v>
      </c>
      <c r="Q31" s="53">
        <f>Q29/Drivers!R4</f>
        <v>6.9568365297776923E-3</v>
      </c>
      <c r="R31" s="53">
        <f>R29/Drivers!S4</f>
        <v>7.456046760983639E-3</v>
      </c>
      <c r="S31" s="53">
        <f>S29/Drivers!T4</f>
        <v>8.0842312552920001E-3</v>
      </c>
      <c r="T31" s="53">
        <f>T29/Drivers!U4</f>
        <v>8.4690969269617146E-3</v>
      </c>
      <c r="U31" s="53">
        <f>U29/Drivers!V4</f>
        <v>8.1157953647197252E-3</v>
      </c>
      <c r="V31" s="53">
        <f>V29/Drivers!W4</f>
        <v>7.5083685125492076E-3</v>
      </c>
      <c r="W31" s="53">
        <f>W29/Drivers!X4</f>
        <v>7.5365654239091563E-3</v>
      </c>
      <c r="X31" s="53">
        <f>X29/Drivers!Y4</f>
        <v>8.191650469889223E-3</v>
      </c>
      <c r="Y31" s="74"/>
      <c r="Z31" s="74"/>
      <c r="AA31" s="74"/>
      <c r="AB31" s="74"/>
      <c r="AC31" s="74"/>
      <c r="AD31" s="74"/>
      <c r="AE31" s="74"/>
      <c r="AF31" s="74"/>
      <c r="AG31" s="74"/>
      <c r="AH31" s="74"/>
      <c r="AI31" s="74"/>
      <c r="AJ31" s="74"/>
      <c r="AK31" s="74"/>
      <c r="AL31" s="74"/>
      <c r="AM31" s="74"/>
      <c r="AN31" s="74"/>
      <c r="AO31" s="74">
        <f>(AO32-AD32)/AD32</f>
        <v>0.11966684258612803</v>
      </c>
      <c r="AP31" s="74"/>
      <c r="AQ31" s="74">
        <f>(AQ32-AE32)/AE32</f>
        <v>0.15512737878789296</v>
      </c>
      <c r="AR31" s="74"/>
      <c r="AS31" s="74"/>
      <c r="AT31" s="74"/>
      <c r="AU31" s="74"/>
      <c r="AV31" s="74"/>
      <c r="AW31" s="74"/>
      <c r="AX31" s="74"/>
      <c r="AY31" s="74"/>
      <c r="AZ31" s="74"/>
      <c r="BA31" s="74"/>
      <c r="BB31" s="74"/>
      <c r="BC31" s="74"/>
      <c r="BD31" s="74"/>
      <c r="BE31" s="74"/>
      <c r="BF31" s="74"/>
      <c r="BG31" s="74"/>
      <c r="BH31" s="74"/>
      <c r="BI31" s="74"/>
      <c r="BJ31" s="74"/>
      <c r="BK31" s="74"/>
    </row>
    <row r="32" spans="1:63" x14ac:dyDescent="0.25">
      <c r="A32" t="s">
        <v>339</v>
      </c>
      <c r="B32" t="s">
        <v>321</v>
      </c>
      <c r="C32" s="21">
        <v>224000</v>
      </c>
      <c r="D32" s="21">
        <v>232000</v>
      </c>
      <c r="E32" s="21">
        <v>238000</v>
      </c>
      <c r="F32" s="21">
        <v>235000</v>
      </c>
      <c r="G32" s="21">
        <v>251000</v>
      </c>
      <c r="H32" s="21">
        <v>290000</v>
      </c>
      <c r="I32" s="21">
        <v>282000</v>
      </c>
      <c r="J32" s="21">
        <v>314000</v>
      </c>
      <c r="K32" s="21">
        <v>323000</v>
      </c>
      <c r="L32" s="21">
        <v>318000</v>
      </c>
      <c r="M32" s="21">
        <v>329000</v>
      </c>
      <c r="N32" s="21">
        <v>330000</v>
      </c>
      <c r="O32" s="21">
        <v>340000</v>
      </c>
      <c r="P32" s="21">
        <v>328000</v>
      </c>
      <c r="Q32" s="21">
        <v>348000</v>
      </c>
      <c r="R32" s="21">
        <v>375000</v>
      </c>
      <c r="S32" s="21">
        <v>412000</v>
      </c>
      <c r="T32" s="21">
        <v>438000</v>
      </c>
      <c r="U32" s="21">
        <v>426000</v>
      </c>
      <c r="V32" s="21">
        <v>404000</v>
      </c>
      <c r="W32" s="21">
        <v>413000</v>
      </c>
      <c r="X32" s="21">
        <v>452000</v>
      </c>
      <c r="Y32" s="22">
        <f>((Relationships!$AI$27*'Intermediate calculations'!Y29)+Relationships!$AJ$27)</f>
        <v>461239.92387887853</v>
      </c>
      <c r="Z32" s="22">
        <f>((Relationships!$AI$27*'Intermediate calculations'!Z29)+Relationships!$AJ$27)</f>
        <v>471607.97183232842</v>
      </c>
      <c r="AA32" s="22">
        <f>((Relationships!$AI$27*'Intermediate calculations'!AA29)+Relationships!$AJ$27)</f>
        <v>479780.59008424642</v>
      </c>
      <c r="AB32" s="22">
        <f>((Relationships!$AI$27*'Intermediate calculations'!AB29)+Relationships!$AJ$27)</f>
        <v>485660.90591146104</v>
      </c>
      <c r="AC32" s="22">
        <f>((Relationships!$AI$27*'Intermediate calculations'!AC29)+Relationships!$AJ$27)</f>
        <v>489763.19012930593</v>
      </c>
      <c r="AD32" s="22">
        <f>((Relationships!$AI$27*'Intermediate calculations'!AD29)+Relationships!$AJ$27)</f>
        <v>495468.67379224312</v>
      </c>
      <c r="AE32" s="22">
        <f>((Relationships!$AI$27*'Intermediate calculations'!AE29)+Relationships!$AJ$27)</f>
        <v>500523.56644261297</v>
      </c>
      <c r="AF32" s="22">
        <f>((Relationships!$AI$27*'Intermediate calculations'!AF29)+Relationships!$AJ$27)</f>
        <v>504968.61090715614</v>
      </c>
      <c r="AG32" s="22">
        <f>((Relationships!$AI$27*'Intermediate calculations'!AG29)+Relationships!$AJ$27)</f>
        <v>473998.94540121383</v>
      </c>
      <c r="AH32" s="22">
        <f>((Relationships!$AI$27*'Intermediate calculations'!AH29)+Relationships!$AJ$27)</f>
        <v>483904.8999073602</v>
      </c>
      <c r="AI32" s="22">
        <f>((Relationships!$AI$27*'Intermediate calculations'!AI29)+Relationships!$AJ$27)</f>
        <v>493379.47685677186</v>
      </c>
      <c r="AJ32" s="22">
        <f>((Relationships!$AI$27*'Intermediate calculations'!AJ29)+Relationships!$AJ$27)</f>
        <v>502882.16607844149</v>
      </c>
      <c r="AK32" s="22">
        <f>((Relationships!$AI$27*'Intermediate calculations'!AK29)+Relationships!$AJ$27)</f>
        <v>512023.51795806666</v>
      </c>
      <c r="AL32" s="22">
        <f>((Relationships!$AI$27*'Intermediate calculations'!AL29)+Relationships!$AJ$27)</f>
        <v>521475.95889282954</v>
      </c>
      <c r="AM32" s="22">
        <f>((Relationships!$AI$27*'Intermediate calculations'!AM29)+Relationships!$AJ$27)</f>
        <v>532550.75645313133</v>
      </c>
      <c r="AN32" s="22">
        <f>((Relationships!$AI$27*'Intermediate calculations'!AN29)+Relationships!$AJ$27)</f>
        <v>543458.78920854232</v>
      </c>
      <c r="AO32" s="22">
        <f>((Relationships!$AI$27*'Intermediate calculations'!AO29)+Relationships!$AJ$27)</f>
        <v>554759.84558529709</v>
      </c>
      <c r="AP32" s="22">
        <f>((Relationships!$AI$27*'Intermediate calculations'!AP29)+Relationships!$AJ$27)</f>
        <v>566322.64325253596</v>
      </c>
      <c r="AQ32" s="22">
        <f>((Relationships!$AI$27*'Intermediate calculations'!AQ29)+Relationships!$AJ$27)</f>
        <v>578168.4753264233</v>
      </c>
      <c r="AR32" s="22">
        <f>((Relationships!$AI$27*'Intermediate calculations'!AR29)+Relationships!$AJ$27)</f>
        <v>591991.79560770444</v>
      </c>
      <c r="AS32" s="22">
        <f>((Relationships!$AI$27*'Intermediate calculations'!AS29)+Relationships!$AJ$27)</f>
        <v>605087.30026771827</v>
      </c>
      <c r="AT32" s="22">
        <f>((Relationships!$AI$27*'Intermediate calculations'!AT29)+Relationships!$AJ$27)</f>
        <v>619342.45794526115</v>
      </c>
      <c r="AU32" s="22">
        <f>((Relationships!$AI$27*'Intermediate calculations'!AU29)+Relationships!$AJ$27)</f>
        <v>634318.50067538233</v>
      </c>
      <c r="AV32" s="22">
        <f>((Relationships!$AI$27*'Intermediate calculations'!AV29)+Relationships!$AJ$27)</f>
        <v>650021.88353786897</v>
      </c>
      <c r="AW32" s="22">
        <f>((Relationships!$AI$27*'Intermediate calculations'!AW29)+Relationships!$AJ$27)</f>
        <v>665991.94877696875</v>
      </c>
      <c r="AX32" s="22">
        <f>((Relationships!$AI$27*'Intermediate calculations'!AX29)+Relationships!$AJ$27)</f>
        <v>682360.99163225899</v>
      </c>
      <c r="AY32" s="22">
        <f>((Relationships!$AI$27*'Intermediate calculations'!AY29)+Relationships!$AJ$27)</f>
        <v>698737.94025688525</v>
      </c>
      <c r="AZ32" s="22">
        <f>((Relationships!$AI$27*'Intermediate calculations'!AZ29)+Relationships!$AJ$27)</f>
        <v>715489.4224243057</v>
      </c>
      <c r="BA32" s="22">
        <f>((Relationships!$AI$27*'Intermediate calculations'!BA29)+Relationships!$AJ$27)</f>
        <v>732910.60526143177</v>
      </c>
      <c r="BB32" s="22">
        <f>((Relationships!$AI$27*'Intermediate calculations'!BB29)+Relationships!$AJ$27)</f>
        <v>751009.88075394137</v>
      </c>
      <c r="BC32" s="22">
        <f>((Relationships!$AI$27*'Intermediate calculations'!BC29)+Relationships!$AJ$27)</f>
        <v>769538.88537859032</v>
      </c>
      <c r="BD32" s="22">
        <f>((Relationships!$AI$27*'Intermediate calculations'!BD29)+Relationships!$AJ$27)</f>
        <v>788436.1990526407</v>
      </c>
      <c r="BE32" s="22">
        <f>((Relationships!$AI$27*'Intermediate calculations'!BE29)+Relationships!$AJ$27)</f>
        <v>807767.55809811852</v>
      </c>
      <c r="BF32" s="22">
        <f>((Relationships!$AI$27*'Intermediate calculations'!BF29)+Relationships!$AJ$27)</f>
        <v>827845.34449261543</v>
      </c>
      <c r="BG32" s="22">
        <f>((Relationships!$AI$27*'Intermediate calculations'!BG29)+Relationships!$AJ$27)</f>
        <v>848368.72838524682</v>
      </c>
      <c r="BH32" s="22">
        <f>((Relationships!$AI$27*'Intermediate calculations'!BH29)+Relationships!$AJ$27)</f>
        <v>869409.86089771613</v>
      </c>
      <c r="BI32" s="22">
        <f>((Relationships!$AI$27*'Intermediate calculations'!BI29)+Relationships!$AJ$27)</f>
        <v>890334.06746976543</v>
      </c>
      <c r="BJ32" s="22">
        <f>((Relationships!$AI$27*'Intermediate calculations'!BJ29)+Relationships!$AJ$27)</f>
        <v>911805.37421717378</v>
      </c>
      <c r="BK32" s="22">
        <f>((Relationships!$AI$27*'Intermediate calculations'!BK29)+Relationships!$AJ$27)</f>
        <v>933854.53880066681</v>
      </c>
    </row>
    <row r="33" spans="1:63" x14ac:dyDescent="0.25">
      <c r="A33" t="s">
        <v>341</v>
      </c>
      <c r="B33" t="s">
        <v>321</v>
      </c>
      <c r="C33" s="21">
        <v>605000</v>
      </c>
      <c r="D33" s="21">
        <v>593000</v>
      </c>
      <c r="E33" s="21">
        <v>571000</v>
      </c>
      <c r="F33" s="21">
        <v>580000</v>
      </c>
      <c r="G33" s="21">
        <v>609000</v>
      </c>
      <c r="H33" s="21">
        <v>662000</v>
      </c>
      <c r="I33" s="21">
        <v>738000</v>
      </c>
      <c r="J33" s="21">
        <v>826000</v>
      </c>
      <c r="K33" s="21">
        <v>854000</v>
      </c>
      <c r="L33" s="21">
        <v>874000</v>
      </c>
      <c r="M33" s="21">
        <v>927000</v>
      </c>
      <c r="N33" s="21">
        <v>938000</v>
      </c>
      <c r="O33" s="21">
        <v>965000</v>
      </c>
      <c r="P33" s="21">
        <v>1032000</v>
      </c>
      <c r="Q33" s="21">
        <v>1196000</v>
      </c>
      <c r="R33" s="21">
        <v>1455000</v>
      </c>
      <c r="S33" s="21">
        <v>1664000</v>
      </c>
      <c r="T33" s="21">
        <v>1767000</v>
      </c>
      <c r="U33" s="21">
        <v>1813000</v>
      </c>
      <c r="V33" s="21">
        <v>1841000</v>
      </c>
      <c r="W33" s="21">
        <v>1887000</v>
      </c>
      <c r="X33" s="21">
        <v>1987000</v>
      </c>
      <c r="Y33" s="22">
        <f>((Relationships!$AI$11*LN('Intermediate calculations'!Y4))+Relationships!$AJ$11)*Drivers!Z4</f>
        <v>1954590.8543665721</v>
      </c>
      <c r="Z33" s="22">
        <f>((Relationships!$AI$11*LN('Intermediate calculations'!Z4))+Relationships!$AJ$11)*Drivers!AA4</f>
        <v>2022158.6913608492</v>
      </c>
      <c r="AA33" s="22">
        <f>((Relationships!$AI$11*LN('Intermediate calculations'!AA4))+Relationships!$AJ$11)*Drivers!AB4</f>
        <v>2071687.5388733204</v>
      </c>
      <c r="AB33" s="22">
        <f>((Relationships!$AI$11*LN('Intermediate calculations'!AB4))+Relationships!$AJ$11)*Drivers!AC4</f>
        <v>2102386.8091604854</v>
      </c>
      <c r="AC33" s="22">
        <f>((Relationships!$AI$11*LN('Intermediate calculations'!AC4))+Relationships!$AJ$11)*Drivers!AD4</f>
        <v>2117054.4491863605</v>
      </c>
      <c r="AD33" s="22">
        <f>((Relationships!$AI$11*LN('Intermediate calculations'!AD4))+Relationships!$AJ$11)*Drivers!AE4</f>
        <v>2144782.8921724218</v>
      </c>
      <c r="AE33" s="22">
        <f>((Relationships!$AI$11*LN('Intermediate calculations'!AE4))+Relationships!$AJ$11)*Drivers!AF4</f>
        <v>2167211.1580352788</v>
      </c>
      <c r="AF33" s="22">
        <f>((Relationships!$AI$11*LN('Intermediate calculations'!AF4))+Relationships!$AJ$11)*Drivers!AG4</f>
        <v>2184671.1668200232</v>
      </c>
      <c r="AG33" s="22">
        <f>((Relationships!$AI$11*LN('Intermediate calculations'!AG4))+Relationships!$AJ$11)*Drivers!AH4</f>
        <v>1913617.7593654378</v>
      </c>
      <c r="AH33" s="22">
        <f>((Relationships!$AI$11*LN('Intermediate calculations'!AH4))+Relationships!$AJ$11)*Drivers!AI4</f>
        <v>1975311.0434712218</v>
      </c>
      <c r="AI33" s="22">
        <f>((Relationships!$AI$11*LN('Intermediate calculations'!AI4))+Relationships!$AJ$11)*Drivers!AJ4</f>
        <v>2033490.0195320931</v>
      </c>
      <c r="AJ33" s="22">
        <f>((Relationships!$AI$11*LN('Intermediate calculations'!AJ4))+Relationships!$AJ$11)*Drivers!AK4</f>
        <v>2091898.0181577189</v>
      </c>
      <c r="AK33" s="22">
        <f>((Relationships!$AI$11*LN('Intermediate calculations'!AK4))+Relationships!$AJ$11)*Drivers!AL4</f>
        <v>2147362.3057927825</v>
      </c>
      <c r="AL33" s="22">
        <f>((Relationships!$AI$11*LN('Intermediate calculations'!AL4))+Relationships!$AJ$11)*Drivers!AM4</f>
        <v>2205360.9457831681</v>
      </c>
      <c r="AM33" s="22">
        <f>((Relationships!$AI$11*LN('Intermediate calculations'!AM4))+Relationships!$AJ$11)*Drivers!AN4</f>
        <v>2274991.3559340257</v>
      </c>
      <c r="AN33" s="22">
        <f>((Relationships!$AI$11*LN('Intermediate calculations'!AN4))+Relationships!$AJ$11)*Drivers!AO4</f>
        <v>2343263.1813722816</v>
      </c>
      <c r="AO33" s="22">
        <f>((Relationships!$AI$11*LN('Intermediate calculations'!AO4))+Relationships!$AJ$11)*Drivers!AP4</f>
        <v>2414736.8567692339</v>
      </c>
      <c r="AP33" s="22">
        <f>((Relationships!$AI$11*LN('Intermediate calculations'!AP4))+Relationships!$AJ$11)*Drivers!AQ4</f>
        <v>2488342.862882759</v>
      </c>
      <c r="AQ33" s="22">
        <f>((Relationships!$AI$11*LN('Intermediate calculations'!AQ4))+Relationships!$AJ$11)*Drivers!AR4</f>
        <v>2564254.6685819235</v>
      </c>
      <c r="AR33" s="22">
        <f>((Relationships!$AI$11*LN('Intermediate calculations'!AR4))+Relationships!$AJ$11)*Drivers!AS4</f>
        <v>2656975.626980593</v>
      </c>
      <c r="AS33" s="22">
        <f>((Relationships!$AI$11*LN('Intermediate calculations'!AS4))+Relationships!$AJ$11)*Drivers!AT4</f>
        <v>2743767.2820182214</v>
      </c>
      <c r="AT33" s="22">
        <f>((Relationships!$AI$11*LN('Intermediate calculations'!AT4))+Relationships!$AJ$11)*Drivers!AU4</f>
        <v>2840006.2949924939</v>
      </c>
      <c r="AU33" s="22">
        <f>((Relationships!$AI$11*LN('Intermediate calculations'!AU4))+Relationships!$AJ$11)*Drivers!AV4</f>
        <v>2942118.1506876117</v>
      </c>
      <c r="AV33" s="22">
        <f>((Relationships!$AI$11*LN('Intermediate calculations'!AV4))+Relationships!$AJ$11)*Drivers!AW4</f>
        <v>3050155.4364238461</v>
      </c>
      <c r="AW33" s="22">
        <f>((Relationships!$AI$11*LN('Intermediate calculations'!AW4))+Relationships!$AJ$11)*Drivers!AX4</f>
        <v>3159583.1940755807</v>
      </c>
      <c r="AX33" s="22">
        <f>((Relationships!$AI$11*LN('Intermediate calculations'!AX4))+Relationships!$AJ$11)*Drivers!AY4</f>
        <v>3272261.3071628502</v>
      </c>
      <c r="AY33" s="22">
        <f>((Relationships!$AI$11*LN('Intermediate calculations'!AY4))+Relationships!$AJ$11)*Drivers!AZ4</f>
        <v>3385003.8266209876</v>
      </c>
      <c r="AZ33" s="22">
        <f>((Relationships!$AI$11*LN('Intermediate calculations'!AZ4))+Relationships!$AJ$11)*Drivers!BA4</f>
        <v>3500797.5623559887</v>
      </c>
      <c r="BA33" s="22">
        <f>((Relationships!$AI$11*LN('Intermediate calculations'!BA4))+Relationships!$AJ$11)*Drivers!BB4</f>
        <v>3622047.1560730394</v>
      </c>
      <c r="BB33" s="22">
        <f>((Relationships!$AI$11*LN('Intermediate calculations'!BB4))+Relationships!$AJ$11)*Drivers!BC4</f>
        <v>3745894.7696939455</v>
      </c>
      <c r="BC33" s="22">
        <f>((Relationships!$AI$11*LN('Intermediate calculations'!BC4))+Relationships!$AJ$11)*Drivers!BD4</f>
        <v>3873243.2628222476</v>
      </c>
      <c r="BD33" s="22">
        <f>((Relationships!$AI$11*LN('Intermediate calculations'!BD4))+Relationships!$AJ$11)*Drivers!BE4</f>
        <v>4003592.263077057</v>
      </c>
      <c r="BE33" s="22">
        <f>((Relationships!$AI$11*LN('Intermediate calculations'!BE4))+Relationships!$AJ$11)*Drivers!BF4</f>
        <v>4137477.3056435995</v>
      </c>
      <c r="BF33" s="22">
        <f>((Relationships!$AI$11*LN('Intermediate calculations'!BF4))+Relationships!$AJ$11)*Drivers!BG4</f>
        <v>4277443.2762939641</v>
      </c>
      <c r="BG33" s="22">
        <f>((Relationships!$AI$11*LN('Intermediate calculations'!BG4))+Relationships!$AJ$11)*Drivers!BH4</f>
        <v>4421872.4122189684</v>
      </c>
      <c r="BH33" s="22">
        <f>((Relationships!$AI$11*LN('Intermediate calculations'!BH4))+Relationships!$AJ$11)*Drivers!BI4</f>
        <v>4570519.4966514409</v>
      </c>
      <c r="BI33" s="22">
        <f>((Relationships!$AI$11*LN('Intermediate calculations'!BI4))+Relationships!$AJ$11)*Drivers!BJ4</f>
        <v>4718214.01885847</v>
      </c>
      <c r="BJ33" s="22">
        <f>((Relationships!$AI$11*LN('Intermediate calculations'!BJ4))+Relationships!$AJ$11)*Drivers!BK4</f>
        <v>4870365.6085714865</v>
      </c>
      <c r="BK33" s="22">
        <f>((Relationships!$AI$11*LN('Intermediate calculations'!BK4))+Relationships!$AJ$11)*Drivers!BL4</f>
        <v>5027224.8392203888</v>
      </c>
    </row>
    <row r="34" spans="1:63" x14ac:dyDescent="0.25">
      <c r="A34" t="s">
        <v>341</v>
      </c>
      <c r="B34" t="s">
        <v>669</v>
      </c>
      <c r="C34" s="53">
        <f>C33*ttokg/Drivers!D4</f>
        <v>16.439990001225254</v>
      </c>
      <c r="D34" s="53">
        <f>D33*ttokg/Drivers!E4</f>
        <v>15.721540498873908</v>
      </c>
      <c r="E34" s="53">
        <f>E33*ttokg/Drivers!F4</f>
        <v>14.764973046683922</v>
      </c>
      <c r="F34" s="53">
        <f>F33*ttokg/Drivers!G4</f>
        <v>14.633992493771091</v>
      </c>
      <c r="G34" s="53">
        <f>G33*ttokg/Drivers!H4</f>
        <v>15.013290459911815</v>
      </c>
      <c r="H34" s="53">
        <f>H33*ttokg/Drivers!I4</f>
        <v>15.976538911150124</v>
      </c>
      <c r="I34" s="53">
        <f>I33*ttokg/Drivers!J4</f>
        <v>17.471172742527397</v>
      </c>
      <c r="J34" s="53">
        <f>J33*ttokg/Drivers!K4</f>
        <v>19.214905481391423</v>
      </c>
      <c r="K34" s="53">
        <f>K33*ttokg/Drivers!L4</f>
        <v>19.550270521717511</v>
      </c>
      <c r="L34" s="53">
        <f>L33*ttokg/Drivers!M4</f>
        <v>19.71196933557334</v>
      </c>
      <c r="M34" s="53">
        <f>M33*ttokg/Drivers!N4</f>
        <v>20.614793175582797</v>
      </c>
      <c r="N34" s="53">
        <f>N33*ttokg/Drivers!O4</f>
        <v>20.583141915233707</v>
      </c>
      <c r="O34" s="53">
        <f>O33*ttokg/Drivers!P4</f>
        <v>20.909662177214134</v>
      </c>
      <c r="P34" s="53">
        <f>P33*ttokg/Drivers!Q4</f>
        <v>22.089421230622204</v>
      </c>
      <c r="Q34" s="53">
        <f>Q33*ttokg/Drivers!R4</f>
        <v>25.289898144723768</v>
      </c>
      <c r="R34" s="53">
        <f>R33*ttokg/Drivers!S4</f>
        <v>30.388089740143403</v>
      </c>
      <c r="S34" s="53">
        <f>S33*ttokg/Drivers!T4</f>
        <v>34.316736757157884</v>
      </c>
      <c r="T34" s="53">
        <f>T33*ttokg/Drivers!U4</f>
        <v>35.973303533512855</v>
      </c>
      <c r="U34" s="53">
        <f>U33*ttokg/Drivers!V4</f>
        <v>36.420636129299162</v>
      </c>
      <c r="V34" s="53">
        <f>V33*ttokg/Drivers!W4</f>
        <v>36.472048632198131</v>
      </c>
      <c r="W34" s="53">
        <f>W33*ttokg/Drivers!X4</f>
        <v>36.843261541234661</v>
      </c>
      <c r="X34" s="53">
        <f>X33*ttokg/Drivers!Y4</f>
        <v>38.208472966361235</v>
      </c>
      <c r="Y34" s="53">
        <f>Y33*ttokg/Drivers!Z4</f>
        <v>36.85654917647652</v>
      </c>
      <c r="Z34" s="53">
        <f>Z33*ttokg/Drivers!AA4</f>
        <v>37.787465050988843</v>
      </c>
      <c r="AA34" s="53">
        <f>AA33*ttokg/Drivers!AB4</f>
        <v>38.364584053209633</v>
      </c>
      <c r="AB34" s="53">
        <f>AB33*ttokg/Drivers!AC4</f>
        <v>38.582696725740774</v>
      </c>
      <c r="AC34" s="53">
        <f>AC33*ttokg/Drivers!AD4</f>
        <v>38.474486880453632</v>
      </c>
      <c r="AD34" s="53">
        <f>AD33*ttokg/Drivers!AE4</f>
        <v>38.6034372945443</v>
      </c>
      <c r="AE34" s="53">
        <f>AE33*ttokg/Drivers!AF4</f>
        <v>38.635442674928349</v>
      </c>
      <c r="AF34" s="53">
        <f>AF33*ttokg/Drivers!AG4</f>
        <v>38.579109436836397</v>
      </c>
      <c r="AG34" s="53">
        <f>AG33*ttokg/Drivers!AH4</f>
        <v>33.476609115501212</v>
      </c>
      <c r="AH34" s="53">
        <f>AH33*ttokg/Drivers!AI4</f>
        <v>34.231437357902131</v>
      </c>
      <c r="AI34" s="53">
        <f>AI33*ttokg/Drivers!AJ4</f>
        <v>34.911888806640313</v>
      </c>
      <c r="AJ34" s="53">
        <f>AJ33*ttokg/Drivers!AK4</f>
        <v>35.583694665850871</v>
      </c>
      <c r="AK34" s="53">
        <f>AK33*ttokg/Drivers!AL4</f>
        <v>36.193615607770013</v>
      </c>
      <c r="AL34" s="53">
        <f>AL33*ttokg/Drivers!AM4</f>
        <v>36.834828378356498</v>
      </c>
      <c r="AM34" s="53">
        <f>AM33*ttokg/Drivers!AN4</f>
        <v>37.628937399111777</v>
      </c>
      <c r="AN34" s="53">
        <f>AN33*ttokg/Drivers!AO4</f>
        <v>38.385520824617657</v>
      </c>
      <c r="AO34" s="53">
        <f>AO33*ttokg/Drivers!AP4</f>
        <v>39.179644815336751</v>
      </c>
      <c r="AP34" s="53">
        <f>AP33*ttokg/Drivers!AQ4</f>
        <v>39.993057481722772</v>
      </c>
      <c r="AQ34" s="53">
        <f>AQ33*ttokg/Drivers!AR4</f>
        <v>40.827980020404219</v>
      </c>
      <c r="AR34" s="53">
        <f>AR33*ttokg/Drivers!AS4</f>
        <v>41.925777520015139</v>
      </c>
      <c r="AS34" s="53">
        <f>AS33*ttokg/Drivers!AT4</f>
        <v>42.911373091988999</v>
      </c>
      <c r="AT34" s="53">
        <f>AT33*ttokg/Drivers!AU4</f>
        <v>44.026096168710787</v>
      </c>
      <c r="AU34" s="53">
        <f>AU33*ttokg/Drivers!AV4</f>
        <v>45.211641683628343</v>
      </c>
      <c r="AV34" s="53">
        <f>AV33*ttokg/Drivers!AW4</f>
        <v>46.466975467429393</v>
      </c>
      <c r="AW34" s="53">
        <f>AW33*ttokg/Drivers!AX4</f>
        <v>47.705747122954605</v>
      </c>
      <c r="AX34" s="53">
        <f>AX33*ttokg/Drivers!AY4</f>
        <v>48.971312173520474</v>
      </c>
      <c r="AY34" s="53">
        <f>AY33*ttokg/Drivers!AZ4</f>
        <v>50.215705154226576</v>
      </c>
      <c r="AZ34" s="53">
        <f>AZ33*ttokg/Drivers!BA4</f>
        <v>51.483401106765079</v>
      </c>
      <c r="BA34" s="53">
        <f>BA33*ttokg/Drivers!BB4</f>
        <v>52.808858670858719</v>
      </c>
      <c r="BB34" s="53">
        <f>BB33*ttokg/Drivers!BC4</f>
        <v>54.084083718661795</v>
      </c>
      <c r="BC34" s="53">
        <f>BC33*ttokg/Drivers!BD4</f>
        <v>55.384835655099771</v>
      </c>
      <c r="BD34" s="53">
        <f>BD33*ttokg/Drivers!BE4</f>
        <v>56.703298008545453</v>
      </c>
      <c r="BE34" s="53">
        <f>BE33*ttokg/Drivers!BF4</f>
        <v>58.046482608906103</v>
      </c>
      <c r="BF34" s="53">
        <f>BF33*ttokg/Drivers!BG4</f>
        <v>59.44906555072626</v>
      </c>
      <c r="BG34" s="53">
        <f>BG33*ttokg/Drivers!BH4</f>
        <v>60.907032372572559</v>
      </c>
      <c r="BH34" s="53">
        <f>BH33*ttokg/Drivers!BI4</f>
        <v>62.396748520157082</v>
      </c>
      <c r="BI34" s="53">
        <f>BI33*ttokg/Drivers!BJ4</f>
        <v>63.847409592453616</v>
      </c>
      <c r="BJ34" s="53">
        <f>BJ33*ttokg/Drivers!BK4</f>
        <v>65.332602034045351</v>
      </c>
      <c r="BK34" s="53">
        <f>BK33*ttokg/Drivers!BL4</f>
        <v>66.854764054300119</v>
      </c>
    </row>
    <row r="35" spans="1:63" x14ac:dyDescent="0.25">
      <c r="A35" t="s">
        <v>341</v>
      </c>
      <c r="B35" t="s">
        <v>322</v>
      </c>
      <c r="C35" s="53">
        <f>C33/Drivers!D4</f>
        <v>1.6439990001225254E-2</v>
      </c>
      <c r="D35" s="53">
        <f>D33/Drivers!E4</f>
        <v>1.5721540498873907E-2</v>
      </c>
      <c r="E35" s="53">
        <f>E33/Drivers!F4</f>
        <v>1.4764973046683923E-2</v>
      </c>
      <c r="F35" s="53">
        <f>F33/Drivers!G4</f>
        <v>1.4633992493771092E-2</v>
      </c>
      <c r="G35" s="53">
        <f>G33/Drivers!H4</f>
        <v>1.5013290459911816E-2</v>
      </c>
      <c r="H35" s="53">
        <f>H33/Drivers!I4</f>
        <v>1.5976538911150123E-2</v>
      </c>
      <c r="I35" s="53">
        <f>I33/Drivers!J4</f>
        <v>1.7471172742527397E-2</v>
      </c>
      <c r="J35" s="53">
        <f>J33/Drivers!K4</f>
        <v>1.9214905481391424E-2</v>
      </c>
      <c r="K35" s="53">
        <f>K33/Drivers!L4</f>
        <v>1.9550270521717511E-2</v>
      </c>
      <c r="L35" s="53">
        <f>L33/Drivers!M4</f>
        <v>1.9711969335573339E-2</v>
      </c>
      <c r="M35" s="53">
        <f>M33/Drivers!N4</f>
        <v>2.0614793175582798E-2</v>
      </c>
      <c r="N35" s="53">
        <f>N33/Drivers!O4</f>
        <v>2.0583141915233708E-2</v>
      </c>
      <c r="O35" s="53">
        <f>O33/Drivers!P4</f>
        <v>2.0909662177214131E-2</v>
      </c>
      <c r="P35" s="53">
        <f>P33/Drivers!Q4</f>
        <v>2.2089421230622203E-2</v>
      </c>
      <c r="Q35" s="53">
        <f>Q33/Drivers!R4</f>
        <v>2.5289898144723769E-2</v>
      </c>
      <c r="R35" s="53">
        <f>R33/Drivers!S4</f>
        <v>3.0388089740143405E-2</v>
      </c>
      <c r="S35" s="53">
        <f>S33/Drivers!T4</f>
        <v>3.4316736757157879E-2</v>
      </c>
      <c r="T35" s="53">
        <f>T33/Drivers!U4</f>
        <v>3.5973303533512857E-2</v>
      </c>
      <c r="U35" s="53">
        <f>U33/Drivers!V4</f>
        <v>3.6420636129299161E-2</v>
      </c>
      <c r="V35" s="53">
        <f>V33/Drivers!W4</f>
        <v>3.6472048632198134E-2</v>
      </c>
      <c r="W35" s="53">
        <f>W33/Drivers!X4</f>
        <v>3.6843261541234656E-2</v>
      </c>
      <c r="X35" s="53">
        <f>X33/Drivers!Y4</f>
        <v>3.8208472966361234E-2</v>
      </c>
      <c r="Y35" s="74"/>
      <c r="Z35" s="74"/>
      <c r="AA35" s="74"/>
      <c r="AB35" s="74"/>
      <c r="AC35" s="74"/>
      <c r="AD35" s="74"/>
      <c r="AE35" s="74"/>
      <c r="AF35" s="74"/>
      <c r="AG35" s="74"/>
      <c r="AH35" s="74"/>
      <c r="AI35" s="74"/>
      <c r="AJ35" s="74"/>
      <c r="AK35" s="74"/>
      <c r="AL35" s="74"/>
      <c r="AM35" s="74"/>
      <c r="AN35" s="74"/>
      <c r="AO35" s="74">
        <f>(AO36-AD36)/AD36</f>
        <v>0.11216419395084669</v>
      </c>
      <c r="AP35" s="74"/>
      <c r="AQ35" s="74">
        <f>(AQ36-AE36)/AE36</f>
        <v>0.16344598885812084</v>
      </c>
      <c r="AR35" s="74"/>
      <c r="AS35" s="74"/>
      <c r="AT35" s="74"/>
      <c r="AU35" s="74"/>
      <c r="AV35" s="74"/>
      <c r="AW35" s="74"/>
      <c r="AX35" s="74"/>
      <c r="AY35" s="74"/>
      <c r="AZ35" s="74"/>
      <c r="BA35" s="74"/>
      <c r="BB35" s="74"/>
      <c r="BC35" s="74"/>
      <c r="BD35" s="74"/>
      <c r="BE35" s="74"/>
      <c r="BF35" s="74"/>
      <c r="BG35" s="74"/>
      <c r="BH35" s="74"/>
      <c r="BI35" s="74"/>
      <c r="BJ35" s="74"/>
      <c r="BK35" s="74"/>
    </row>
    <row r="36" spans="1:63" x14ac:dyDescent="0.25">
      <c r="A36" t="s">
        <v>342</v>
      </c>
      <c r="B36" t="s">
        <v>321</v>
      </c>
      <c r="C36" s="21">
        <v>609000</v>
      </c>
      <c r="D36" s="21">
        <v>593000</v>
      </c>
      <c r="E36" s="21">
        <v>564000</v>
      </c>
      <c r="F36" s="21">
        <v>577000</v>
      </c>
      <c r="G36" s="21">
        <v>607000</v>
      </c>
      <c r="H36" s="21">
        <v>647000</v>
      </c>
      <c r="I36" s="21">
        <v>699000</v>
      </c>
      <c r="J36" s="21">
        <v>753000</v>
      </c>
      <c r="K36" s="21">
        <v>777000</v>
      </c>
      <c r="L36" s="21">
        <v>803000</v>
      </c>
      <c r="M36" s="21">
        <v>850000</v>
      </c>
      <c r="N36" s="21">
        <v>869000</v>
      </c>
      <c r="O36" s="21">
        <v>896000</v>
      </c>
      <c r="P36" s="21">
        <v>925000</v>
      </c>
      <c r="Q36" s="21">
        <v>1043000</v>
      </c>
      <c r="R36" s="21">
        <v>1273000</v>
      </c>
      <c r="S36" s="21">
        <v>1427000</v>
      </c>
      <c r="T36" s="21">
        <v>1499000</v>
      </c>
      <c r="U36" s="21">
        <v>1584000</v>
      </c>
      <c r="V36" s="21">
        <v>1644000</v>
      </c>
      <c r="W36" s="21">
        <v>1681000</v>
      </c>
      <c r="X36" s="21">
        <v>1721000</v>
      </c>
      <c r="Y36" s="22">
        <f>((Relationships!$AI$29*'Intermediate calculations'!Y33)+Relationships!$AJ$29)</f>
        <v>1628678.0553378207</v>
      </c>
      <c r="Z36" s="22">
        <f>((Relationships!$AI$29*'Intermediate calculations'!Z33)+Relationships!$AJ$29)</f>
        <v>1678324.8590545105</v>
      </c>
      <c r="AA36" s="22">
        <f>((Relationships!$AI$29*'Intermediate calculations'!AA33)+Relationships!$AJ$29)</f>
        <v>1714717.1587069884</v>
      </c>
      <c r="AB36" s="22">
        <f>((Relationships!$AI$29*'Intermediate calculations'!AB33)+Relationships!$AJ$29)</f>
        <v>1737274.0543246709</v>
      </c>
      <c r="AC36" s="22">
        <f>((Relationships!$AI$29*'Intermediate calculations'!AC33)+Relationships!$AJ$29)</f>
        <v>1748051.3927410739</v>
      </c>
      <c r="AD36" s="22">
        <f>((Relationships!$AI$29*'Intermediate calculations'!AD33)+Relationships!$AJ$29)</f>
        <v>1768425.4142805678</v>
      </c>
      <c r="AE36" s="22">
        <f>((Relationships!$AI$29*'Intermediate calculations'!AE33)+Relationships!$AJ$29)</f>
        <v>1784905.0259202493</v>
      </c>
      <c r="AF36" s="22">
        <f>((Relationships!$AI$29*'Intermediate calculations'!AF33)+Relationships!$AJ$29)</f>
        <v>1797734.1124736832</v>
      </c>
      <c r="AG36" s="22">
        <f>((Relationships!$AI$29*'Intermediate calculations'!AG33)+Relationships!$AJ$29)</f>
        <v>1598572.2639483628</v>
      </c>
      <c r="AH36" s="22">
        <f>((Relationships!$AI$29*'Intermediate calculations'!AH33)+Relationships!$AJ$29)</f>
        <v>1643902.6238190993</v>
      </c>
      <c r="AI36" s="22">
        <f>((Relationships!$AI$29*'Intermediate calculations'!AI33)+Relationships!$AJ$29)</f>
        <v>1686650.7763931814</v>
      </c>
      <c r="AJ36" s="22">
        <f>((Relationships!$AI$29*'Intermediate calculations'!AJ33)+Relationships!$AJ$29)</f>
        <v>1729567.2078233713</v>
      </c>
      <c r="AK36" s="22">
        <f>((Relationships!$AI$29*'Intermediate calculations'!AK33)+Relationships!$AJ$29)</f>
        <v>1770320.6894204994</v>
      </c>
      <c r="AL36" s="22">
        <f>((Relationships!$AI$29*'Intermediate calculations'!AL33)+Relationships!$AJ$29)</f>
        <v>1812936.3365024314</v>
      </c>
      <c r="AM36" s="22">
        <f>((Relationships!$AI$29*'Intermediate calculations'!AM33)+Relationships!$AJ$29)</f>
        <v>1864098.6566128863</v>
      </c>
      <c r="AN36" s="22">
        <f>((Relationships!$AI$29*'Intermediate calculations'!AN33)+Relationships!$AJ$29)</f>
        <v>1914262.7297531925</v>
      </c>
      <c r="AO36" s="22">
        <f>((Relationships!$AI$29*'Intermediate calculations'!AO33)+Relationships!$AJ$29)</f>
        <v>1966779.4254355398</v>
      </c>
      <c r="AP36" s="22">
        <f>((Relationships!$AI$29*'Intermediate calculations'!AP33)+Relationships!$AJ$29)</f>
        <v>2020862.8932576214</v>
      </c>
      <c r="AQ36" s="22">
        <f>((Relationships!$AI$29*'Intermediate calculations'!AQ33)+Relationships!$AJ$29)</f>
        <v>2076640.5928996142</v>
      </c>
      <c r="AR36" s="22">
        <f>((Relationships!$AI$29*'Intermediate calculations'!AR33)+Relationships!$AJ$29)</f>
        <v>2144769.1497221747</v>
      </c>
      <c r="AS36" s="22">
        <f>((Relationships!$AI$29*'Intermediate calculations'!AS33)+Relationships!$AJ$29)</f>
        <v>2208541.0337069286</v>
      </c>
      <c r="AT36" s="22">
        <f>((Relationships!$AI$29*'Intermediate calculations'!AT33)+Relationships!$AJ$29)</f>
        <v>2279254.5506636184</v>
      </c>
      <c r="AU36" s="22">
        <f>((Relationships!$AI$29*'Intermediate calculations'!AU33)+Relationships!$AJ$29)</f>
        <v>2354283.2548867809</v>
      </c>
      <c r="AV36" s="22">
        <f>((Relationships!$AI$29*'Intermediate calculations'!AV33)+Relationships!$AJ$29)</f>
        <v>2433665.7859493787</v>
      </c>
      <c r="AW36" s="22">
        <f>((Relationships!$AI$29*'Intermediate calculations'!AW33)+Relationships!$AJ$29)</f>
        <v>2514069.993734709</v>
      </c>
      <c r="AX36" s="22">
        <f>((Relationships!$AI$29*'Intermediate calculations'!AX33)+Relationships!$AJ$29)</f>
        <v>2596862.4644199028</v>
      </c>
      <c r="AY36" s="22">
        <f>((Relationships!$AI$29*'Intermediate calculations'!AY33)+Relationships!$AJ$29)</f>
        <v>2679702.2589590903</v>
      </c>
      <c r="AZ36" s="22">
        <f>((Relationships!$AI$29*'Intermediate calculations'!AZ33)+Relationships!$AJ$29)</f>
        <v>2764783.9949653023</v>
      </c>
      <c r="BA36" s="22">
        <f>((Relationships!$AI$29*'Intermediate calculations'!BA33)+Relationships!$AJ$29)</f>
        <v>2853874.5304594114</v>
      </c>
      <c r="BB36" s="22">
        <f>((Relationships!$AI$29*'Intermediate calculations'!BB33)+Relationships!$AJ$29)</f>
        <v>2944874.0124280048</v>
      </c>
      <c r="BC36" s="22">
        <f>((Relationships!$AI$29*'Intermediate calculations'!BC33)+Relationships!$AJ$29)</f>
        <v>3038445.8348098951</v>
      </c>
      <c r="BD36" s="22">
        <f>((Relationships!$AI$29*'Intermediate calculations'!BD33)+Relationships!$AJ$29)</f>
        <v>3134222.3391083144</v>
      </c>
      <c r="BE36" s="22">
        <f>((Relationships!$AI$29*'Intermediate calculations'!BE33)+Relationships!$AJ$29)</f>
        <v>3232597.0203855145</v>
      </c>
      <c r="BF36" s="22">
        <f>((Relationships!$AI$29*'Intermediate calculations'!BF33)+Relationships!$AJ$29)</f>
        <v>3335439.7837624624</v>
      </c>
      <c r="BG36" s="22">
        <f>((Relationships!$AI$29*'Intermediate calculations'!BG33)+Relationships!$AJ$29)</f>
        <v>3441561.9460398653</v>
      </c>
      <c r="BH36" s="22">
        <f>((Relationships!$AI$29*'Intermediate calculations'!BH33)+Relationships!$AJ$29)</f>
        <v>3550783.3293513106</v>
      </c>
      <c r="BI36" s="22">
        <f>((Relationships!$AI$29*'Intermediate calculations'!BI33)+Relationships!$AJ$29)</f>
        <v>3659304.7987401225</v>
      </c>
      <c r="BJ36" s="22">
        <f>((Relationships!$AI$29*'Intermediate calculations'!BJ33)+Relationships!$AJ$29)</f>
        <v>3771101.1865733489</v>
      </c>
      <c r="BK36" s="22">
        <f>((Relationships!$AI$29*'Intermediate calculations'!BK33)+Relationships!$AJ$29)</f>
        <v>3886356.606631218</v>
      </c>
    </row>
    <row r="37" spans="1:63" x14ac:dyDescent="0.25">
      <c r="A37" t="s">
        <v>349</v>
      </c>
      <c r="B37" t="s">
        <v>321</v>
      </c>
      <c r="C37" s="21">
        <v>6425000</v>
      </c>
      <c r="D37" s="21">
        <v>6769000</v>
      </c>
      <c r="E37" s="21">
        <v>7022000</v>
      </c>
      <c r="F37" s="21">
        <v>6828000</v>
      </c>
      <c r="G37" s="21">
        <v>6773000</v>
      </c>
      <c r="H37" s="21">
        <v>6417000</v>
      </c>
      <c r="I37" s="21">
        <v>6842000</v>
      </c>
      <c r="J37" s="21">
        <v>6738000</v>
      </c>
      <c r="K37" s="21">
        <v>6383000</v>
      </c>
      <c r="L37" s="21">
        <v>6341000</v>
      </c>
      <c r="M37" s="21">
        <v>6362000</v>
      </c>
      <c r="N37" s="21">
        <v>6852000</v>
      </c>
      <c r="O37" s="21">
        <v>7151000</v>
      </c>
      <c r="P37" s="21">
        <v>6983000</v>
      </c>
      <c r="Q37" s="21">
        <v>7243000</v>
      </c>
      <c r="R37" s="21">
        <v>7283000</v>
      </c>
      <c r="S37" s="21">
        <v>7462000</v>
      </c>
      <c r="T37" s="21">
        <v>7660000</v>
      </c>
      <c r="U37" s="21">
        <v>8029000</v>
      </c>
      <c r="V37" s="21">
        <v>8613000</v>
      </c>
      <c r="W37" s="21">
        <v>8658000</v>
      </c>
      <c r="X37" s="21">
        <v>8857000</v>
      </c>
      <c r="Y37" s="22">
        <f>((Relationships!$AI$32*'Intermediate calculations'!Y38)+Relationships!$AJ$32)</f>
        <v>9087318.6577794366</v>
      </c>
      <c r="Z37" s="22">
        <f>((Relationships!$AI$32*'Intermediate calculations'!Z38)+Relationships!$AJ$32)</f>
        <v>9235874.5333916843</v>
      </c>
      <c r="AA37" s="22">
        <f>((Relationships!$AI$32*'Intermediate calculations'!AA38)+Relationships!$AJ$32)</f>
        <v>9385779.5329441577</v>
      </c>
      <c r="AB37" s="22">
        <f>((Relationships!$AI$32*'Intermediate calculations'!AB38)+Relationships!$AJ$32)</f>
        <v>9537045.9086298384</v>
      </c>
      <c r="AC37" s="22">
        <f>((Relationships!$AI$32*'Intermediate calculations'!AC38)+Relationships!$AJ$32)</f>
        <v>9701908.528345637</v>
      </c>
      <c r="AD37" s="22">
        <f>((Relationships!$AI$32*'Intermediate calculations'!AD38)+Relationships!$AJ$32)</f>
        <v>9866771.1480614319</v>
      </c>
      <c r="AE37" s="22">
        <f>((Relationships!$AI$32*'Intermediate calculations'!AE38)+Relationships!$AJ$32)</f>
        <v>10031633.767777227</v>
      </c>
      <c r="AF37" s="22">
        <f>((Relationships!$AI$32*'Intermediate calculations'!AF38)+Relationships!$AJ$32)</f>
        <v>10196496.387493026</v>
      </c>
      <c r="AG37" s="22">
        <f>((Relationships!$AI$32*'Intermediate calculations'!AG38)+Relationships!$AJ$32)</f>
        <v>10361359.00720882</v>
      </c>
      <c r="AH37" s="22">
        <f>((Relationships!$AI$32*'Intermediate calculations'!AH38)+Relationships!$AJ$32)</f>
        <v>10528465.061199408</v>
      </c>
      <c r="AI37" s="22">
        <f>((Relationships!$AI$32*'Intermediate calculations'!AI38)+Relationships!$AJ$32)</f>
        <v>10695571.112105489</v>
      </c>
      <c r="AJ37" s="22">
        <f>((Relationships!$AI$32*'Intermediate calculations'!AJ38)+Relationships!$AJ$32)</f>
        <v>10862677.163011562</v>
      </c>
      <c r="AK37" s="22">
        <f>((Relationships!$AI$32*'Intermediate calculations'!AK38)+Relationships!$AJ$32)</f>
        <v>11029783.213917643</v>
      </c>
      <c r="AL37" s="22">
        <f>((Relationships!$AI$32*'Intermediate calculations'!AL38)+Relationships!$AJ$32)</f>
        <v>11196889.267908227</v>
      </c>
      <c r="AM37" s="22">
        <f>((Relationships!$AI$32*'Intermediate calculations'!AM38)+Relationships!$AJ$32)</f>
        <v>11377930.748248674</v>
      </c>
      <c r="AN37" s="22">
        <f>((Relationships!$AI$32*'Intermediate calculations'!AN38)+Relationships!$AJ$32)</f>
        <v>11558972.228589118</v>
      </c>
      <c r="AO37" s="22">
        <f>((Relationships!$AI$32*'Intermediate calculations'!AO38)+Relationships!$AJ$32)</f>
        <v>11740013.708929565</v>
      </c>
      <c r="AP37" s="22">
        <f>((Relationships!$AI$32*'Intermediate calculations'!AP38)+Relationships!$AJ$32)</f>
        <v>11921055.189270008</v>
      </c>
      <c r="AQ37" s="22">
        <f>((Relationships!$AI$32*'Intermediate calculations'!AQ38)+Relationships!$AJ$32)</f>
        <v>12102096.669610456</v>
      </c>
      <c r="AR37" s="22">
        <f>((Relationships!$AI$32*'Intermediate calculations'!AR38)+Relationships!$AJ$32)</f>
        <v>12276991.767057799</v>
      </c>
      <c r="AS37" s="22">
        <f>((Relationships!$AI$32*'Intermediate calculations'!AS38)+Relationships!$AJ$32)</f>
        <v>12451886.861420628</v>
      </c>
      <c r="AT37" s="22">
        <f>((Relationships!$AI$32*'Intermediate calculations'!AT38)+Relationships!$AJ$32)</f>
        <v>12626781.958867971</v>
      </c>
      <c r="AU37" s="22">
        <f>((Relationships!$AI$32*'Intermediate calculations'!AU38)+Relationships!$AJ$32)</f>
        <v>12801677.0532308</v>
      </c>
      <c r="AV37" s="22">
        <f>((Relationships!$AI$32*'Intermediate calculations'!AV38)+Relationships!$AJ$32)</f>
        <v>12976572.147593629</v>
      </c>
      <c r="AW37" s="22">
        <f>((Relationships!$AI$32*'Intermediate calculations'!AW38)+Relationships!$AJ$32)</f>
        <v>13158343.189322859</v>
      </c>
      <c r="AX37" s="22">
        <f>((Relationships!$AI$32*'Intermediate calculations'!AX38)+Relationships!$AJ$32)</f>
        <v>13340114.231052082</v>
      </c>
      <c r="AY37" s="22">
        <f>((Relationships!$AI$32*'Intermediate calculations'!AY38)+Relationships!$AJ$32)</f>
        <v>13521885.269696802</v>
      </c>
      <c r="AZ37" s="22">
        <f>((Relationships!$AI$32*'Intermediate calculations'!AZ38)+Relationships!$AJ$32)</f>
        <v>13703656.311426025</v>
      </c>
      <c r="BA37" s="22">
        <f>((Relationships!$AI$32*'Intermediate calculations'!BA38)+Relationships!$AJ$32)</f>
        <v>13885427.353155248</v>
      </c>
      <c r="BB37" s="22">
        <f>((Relationships!$AI$32*'Intermediate calculations'!BB38)+Relationships!$AJ$32)</f>
        <v>14092924.150673196</v>
      </c>
      <c r="BC37" s="22">
        <f>((Relationships!$AI$32*'Intermediate calculations'!BC38)+Relationships!$AJ$32)</f>
        <v>14300420.945106626</v>
      </c>
      <c r="BD37" s="22">
        <f>((Relationships!$AI$32*'Intermediate calculations'!BD38)+Relationships!$AJ$32)</f>
        <v>14507917.742624573</v>
      </c>
      <c r="BE37" s="22">
        <f>((Relationships!$AI$32*'Intermediate calculations'!BE38)+Relationships!$AJ$32)</f>
        <v>14715414.540142514</v>
      </c>
      <c r="BF37" s="22">
        <f>((Relationships!$AI$32*'Intermediate calculations'!BF38)+Relationships!$AJ$32)</f>
        <v>14922911.337660454</v>
      </c>
      <c r="BG37" s="22">
        <f>((Relationships!$AI$32*'Intermediate calculations'!BG38)+Relationships!$AJ$32)</f>
        <v>15123084.711320013</v>
      </c>
      <c r="BH37" s="22">
        <f>((Relationships!$AI$32*'Intermediate calculations'!BH38)+Relationships!$AJ$32)</f>
        <v>15323258.084979557</v>
      </c>
      <c r="BI37" s="22">
        <f>((Relationships!$AI$32*'Intermediate calculations'!BI38)+Relationships!$AJ$32)</f>
        <v>15523431.461723622</v>
      </c>
      <c r="BJ37" s="22">
        <f>((Relationships!$AI$32*'Intermediate calculations'!BJ38)+Relationships!$AJ$32)</f>
        <v>15723604.835383169</v>
      </c>
      <c r="BK37" s="22">
        <f>((Relationships!$AI$32*'Intermediate calculations'!BK38)+Relationships!$AJ$32)</f>
        <v>15923778.20904272</v>
      </c>
    </row>
    <row r="38" spans="1:63" x14ac:dyDescent="0.25">
      <c r="A38" t="s">
        <v>757</v>
      </c>
      <c r="B38" t="s">
        <v>321</v>
      </c>
      <c r="C38" s="21">
        <v>2353000</v>
      </c>
      <c r="D38" s="21">
        <v>2534000</v>
      </c>
      <c r="E38" s="21">
        <v>2567000</v>
      </c>
      <c r="F38" s="21">
        <v>2743000</v>
      </c>
      <c r="G38" s="21">
        <v>2918000</v>
      </c>
      <c r="H38" s="21">
        <v>2540000</v>
      </c>
      <c r="I38" s="21">
        <v>2807000</v>
      </c>
      <c r="J38" s="21">
        <v>2912000</v>
      </c>
      <c r="K38" s="21">
        <v>3382000</v>
      </c>
      <c r="L38" s="21">
        <v>3381000</v>
      </c>
      <c r="M38" s="21">
        <v>3426000</v>
      </c>
      <c r="N38" s="21">
        <v>3589000</v>
      </c>
      <c r="O38" s="21">
        <v>3877000</v>
      </c>
      <c r="P38" s="21">
        <v>3708000</v>
      </c>
      <c r="Q38" s="21">
        <v>3712000</v>
      </c>
      <c r="R38" s="21">
        <v>3740000</v>
      </c>
      <c r="S38" s="21">
        <v>3825000</v>
      </c>
      <c r="T38" s="21">
        <v>3816000</v>
      </c>
      <c r="U38" s="21">
        <v>3809000</v>
      </c>
      <c r="V38" s="21">
        <v>4524000</v>
      </c>
      <c r="W38" s="21">
        <v>4471000</v>
      </c>
      <c r="X38" s="21">
        <v>4513000</v>
      </c>
      <c r="Y38" s="22">
        <f>((Relationships!$AI$31*Drivers!Z4)+Relationships!$AJ$31)</f>
        <v>4518313.4552117381</v>
      </c>
      <c r="Z38" s="22">
        <f>((Relationships!$AI$31*Drivers!AA4)+Relationships!$AJ$31)</f>
        <v>4580644.9118161565</v>
      </c>
      <c r="AA38" s="22">
        <f>((Relationships!$AI$31*Drivers!AB4)+Relationships!$AJ$31)</f>
        <v>4643542.4373154445</v>
      </c>
      <c r="AB38" s="22">
        <f>((Relationships!$AI$31*Drivers!AC4)+Relationships!$AJ$31)</f>
        <v>4707011.172516265</v>
      </c>
      <c r="AC38" s="22">
        <f>((Relationships!$AI$31*Drivers!AD4)+Relationships!$AJ$31)</f>
        <v>4776184.654777769</v>
      </c>
      <c r="AD38" s="22">
        <f>((Relationships!$AI$31*Drivers!AE4)+Relationships!$AJ$31)</f>
        <v>4845358.1370392721</v>
      </c>
      <c r="AE38" s="22">
        <f>((Relationships!$AI$31*Drivers!AF4)+Relationships!$AJ$31)</f>
        <v>4914531.6193007762</v>
      </c>
      <c r="AF38" s="22">
        <f>((Relationships!$AI$31*Drivers!AG4)+Relationships!$AJ$31)</f>
        <v>4983705.1015622802</v>
      </c>
      <c r="AG38" s="22">
        <f>((Relationships!$AI$31*Drivers!AH4)+Relationships!$AJ$31)</f>
        <v>5052878.5838237833</v>
      </c>
      <c r="AH38" s="22">
        <f>((Relationships!$AI$31*Drivers!AI4)+Relationships!$AJ$31)</f>
        <v>5122993.3720118813</v>
      </c>
      <c r="AI38" s="22">
        <f>((Relationships!$AI$31*Drivers!AJ4)+Relationships!$AJ$31)</f>
        <v>5193108.1589057716</v>
      </c>
      <c r="AJ38" s="22">
        <f>((Relationships!$AI$31*Drivers!AK4)+Relationships!$AJ$31)</f>
        <v>5263222.9457996609</v>
      </c>
      <c r="AK38" s="22">
        <f>((Relationships!$AI$31*Drivers!AL4)+Relationships!$AJ$31)</f>
        <v>5333337.7326935511</v>
      </c>
      <c r="AL38" s="22">
        <f>((Relationships!$AI$31*Drivers!AM4)+Relationships!$AJ$31)</f>
        <v>5403452.5208816472</v>
      </c>
      <c r="AM38" s="22">
        <f>((Relationships!$AI$31*Drivers!AN4)+Relationships!$AJ$31)</f>
        <v>5479414.3711210461</v>
      </c>
      <c r="AN38" s="22">
        <f>((Relationships!$AI$31*Drivers!AO4)+Relationships!$AJ$31)</f>
        <v>5555376.2213604441</v>
      </c>
      <c r="AO38" s="22">
        <f>((Relationships!$AI$31*Drivers!AP4)+Relationships!$AJ$31)</f>
        <v>5631338.071599842</v>
      </c>
      <c r="AP38" s="22">
        <f>((Relationships!$AI$31*Drivers!AQ4)+Relationships!$AJ$31)</f>
        <v>5707299.92183924</v>
      </c>
      <c r="AQ38" s="22">
        <f>((Relationships!$AI$31*Drivers!AR4)+Relationships!$AJ$31)</f>
        <v>5783261.7720786389</v>
      </c>
      <c r="AR38" s="22">
        <f>((Relationships!$AI$31*Drivers!AS4)+Relationships!$AJ$31)</f>
        <v>5856644.7071657646</v>
      </c>
      <c r="AS38" s="22">
        <f>((Relationships!$AI$31*Drivers!AT4)+Relationships!$AJ$31)</f>
        <v>5930027.6409586817</v>
      </c>
      <c r="AT38" s="22">
        <f>((Relationships!$AI$31*Drivers!AU4)+Relationships!$AJ$31)</f>
        <v>6003410.5760458075</v>
      </c>
      <c r="AU38" s="22">
        <f>((Relationships!$AI$31*Drivers!AV4)+Relationships!$AJ$31)</f>
        <v>6076793.5098387254</v>
      </c>
      <c r="AV38" s="22">
        <f>((Relationships!$AI$31*Drivers!AW4)+Relationships!$AJ$31)</f>
        <v>6150176.4436316425</v>
      </c>
      <c r="AW38" s="22">
        <f>((Relationships!$AI$31*Drivers!AX4)+Relationships!$AJ$31)</f>
        <v>6226444.4051161045</v>
      </c>
      <c r="AX38" s="22">
        <f>((Relationships!$AI$31*Drivers!AY4)+Relationships!$AJ$31)</f>
        <v>6302712.3666005647</v>
      </c>
      <c r="AY38" s="22">
        <f>((Relationships!$AI$31*Drivers!AZ4)+Relationships!$AJ$31)</f>
        <v>6378980.3267908199</v>
      </c>
      <c r="AZ38" s="22">
        <f>((Relationships!$AI$31*Drivers!BA4)+Relationships!$AJ$31)</f>
        <v>6455248.28827528</v>
      </c>
      <c r="BA38" s="22">
        <f>((Relationships!$AI$31*Drivers!BB4)+Relationships!$AJ$31)</f>
        <v>6531516.2497597402</v>
      </c>
      <c r="BB38" s="22">
        <f>((Relationships!$AI$31*Drivers!BC4)+Relationships!$AJ$31)</f>
        <v>6618578.290064388</v>
      </c>
      <c r="BC38" s="22">
        <f>((Relationships!$AI$31*Drivers!BD4)+Relationships!$AJ$31)</f>
        <v>6705640.329074827</v>
      </c>
      <c r="BD38" s="22">
        <f>((Relationships!$AI$31*Drivers!BE4)+Relationships!$AJ$31)</f>
        <v>6792702.3693794748</v>
      </c>
      <c r="BE38" s="22">
        <f>((Relationships!$AI$31*Drivers!BF4)+Relationships!$AJ$31)</f>
        <v>6879764.4096841207</v>
      </c>
      <c r="BF38" s="22">
        <f>((Relationships!$AI$31*Drivers!BG4)+Relationships!$AJ$31)</f>
        <v>6966826.4499887666</v>
      </c>
      <c r="BG38" s="22">
        <f>((Relationships!$AI$31*Drivers!BH4)+Relationships!$AJ$31)</f>
        <v>7050815.7092637597</v>
      </c>
      <c r="BH38" s="22">
        <f>((Relationships!$AI$31*Drivers!BI4)+Relationships!$AJ$31)</f>
        <v>7134804.968538749</v>
      </c>
      <c r="BI38" s="22">
        <f>((Relationships!$AI$31*Drivers!BJ4)+Relationships!$AJ$31)</f>
        <v>7218794.229107949</v>
      </c>
      <c r="BJ38" s="22">
        <f>((Relationships!$AI$31*Drivers!BK4)+Relationships!$AJ$31)</f>
        <v>7302783.4883829383</v>
      </c>
      <c r="BK38" s="22">
        <f>((Relationships!$AI$31*Drivers!BL4)+Relationships!$AJ$31)</f>
        <v>7386772.7476579295</v>
      </c>
    </row>
    <row r="39" spans="1:63" x14ac:dyDescent="0.25">
      <c r="A39" t="s">
        <v>758</v>
      </c>
      <c r="B39" t="s">
        <v>454</v>
      </c>
      <c r="C39" s="24">
        <f>SUM('Activity data'!H5:H22)</f>
        <v>116249516.47489038</v>
      </c>
      <c r="D39" s="24">
        <f>SUM('Activity data'!I5:I22)</f>
        <v>111322869.63879211</v>
      </c>
      <c r="E39" s="24">
        <f>SUM('Activity data'!J5:J22)</f>
        <v>106359555.794935</v>
      </c>
      <c r="F39" s="24">
        <f>SUM('Activity data'!K5:K22)</f>
        <v>108051736.84957474</v>
      </c>
      <c r="G39" s="24">
        <f>SUM('Activity data'!L5:L22)</f>
        <v>107003281.83703408</v>
      </c>
      <c r="H39" s="24">
        <f>SUM('Activity data'!M5:M22)</f>
        <v>114097319.81443082</v>
      </c>
      <c r="I39" s="24">
        <f>SUM('Activity data'!N5:N22)</f>
        <v>123413359.25824103</v>
      </c>
      <c r="J39" s="24">
        <f>SUM('Activity data'!O5:O22)</f>
        <v>124139626.11488593</v>
      </c>
      <c r="K39" s="24">
        <f>SUM('Activity data'!P5:P22)</f>
        <v>131751923.34670785</v>
      </c>
      <c r="L39" s="24">
        <f>SUM('Activity data'!Q5:Q22)</f>
        <v>135060238.69443047</v>
      </c>
      <c r="M39" s="24">
        <f>SUM('Activity data'!R5:R22)</f>
        <v>138541204.56803936</v>
      </c>
      <c r="N39" s="24">
        <f>SUM('Activity data'!S5:S22)</f>
        <v>136109031.1249536</v>
      </c>
      <c r="O39" s="24">
        <f>SUM('Activity data'!T5:T22)</f>
        <v>142033425.34914675</v>
      </c>
      <c r="P39" s="24">
        <f>SUM('Activity data'!U5:U22)</f>
        <v>137505025.69985911</v>
      </c>
      <c r="Q39" s="24">
        <f>SUM('Activity data'!V5:V22)</f>
        <v>139250920.70763093</v>
      </c>
      <c r="R39" s="24">
        <f>SUM('Activity data'!W5:W22)</f>
        <v>147971770.34070343</v>
      </c>
      <c r="S39" s="24">
        <f>SUM('Activity data'!X5:X22)</f>
        <v>155308395.04702362</v>
      </c>
      <c r="T39" s="24">
        <f>SUM('Activity data'!Y5:Y22)</f>
        <v>161778836.09422663</v>
      </c>
      <c r="U39" s="24">
        <f>SUM('Activity data'!Z5:Z22)</f>
        <v>168144776.83189645</v>
      </c>
      <c r="V39" s="24">
        <f>SUM('Activity data'!AA5:AA22)</f>
        <v>161627647.86506164</v>
      </c>
      <c r="W39" s="24">
        <f>SUM('Activity data'!AB5:AB22)</f>
        <v>164112898.94746146</v>
      </c>
      <c r="X39" s="24">
        <f>SUM('Activity data'!AC5:AC22)</f>
        <v>168066984.05931899</v>
      </c>
      <c r="Y39" s="24">
        <f>SUM('Activity data'!AD5:AD22)</f>
        <v>167393598.06990847</v>
      </c>
      <c r="Z39" s="24">
        <f>SUM('Activity data'!AE5:AE22)</f>
        <v>169527978.40548325</v>
      </c>
      <c r="AA39" s="24">
        <f>SUM('Activity data'!AF5:AF22)</f>
        <v>171109217.66484809</v>
      </c>
      <c r="AB39" s="24">
        <f>SUM('Activity data'!AG5:AG22)</f>
        <v>172112026.5516088</v>
      </c>
      <c r="AC39" s="24">
        <f>SUM('Activity data'!AH5:AH22)</f>
        <v>172625603.29311085</v>
      </c>
      <c r="AD39" s="24">
        <f>SUM('Activity data'!AI5:AI22)</f>
        <v>173543997.07308927</v>
      </c>
      <c r="AE39" s="24">
        <f>SUM('Activity data'!AJ5:AJ22)</f>
        <v>174300575.36672628</v>
      </c>
      <c r="AF39" s="24">
        <f>SUM('Activity data'!AK5:AK22)</f>
        <v>174905459.18965647</v>
      </c>
      <c r="AG39" s="24">
        <f>SUM('Activity data'!AL5:AL22)</f>
        <v>166613101.01234555</v>
      </c>
      <c r="AH39" s="24">
        <f>SUM('Activity data'!AM5:AM22)</f>
        <v>168583171.64245325</v>
      </c>
      <c r="AI39" s="24">
        <f>SUM('Activity data'!AN5:AN22)</f>
        <v>170447773.80890122</v>
      </c>
      <c r="AJ39" s="24">
        <f>SUM('Activity data'!AO5:AO22)</f>
        <v>172322122.78373173</v>
      </c>
      <c r="AK39" s="24">
        <f>SUM('Activity data'!AP5:AP22)</f>
        <v>174108198.21558842</v>
      </c>
      <c r="AL39" s="24">
        <f>SUM('Activity data'!AQ5:AQ22)</f>
        <v>175975005.6348896</v>
      </c>
      <c r="AM39" s="24">
        <f>SUM('Activity data'!AR5:AR22)</f>
        <v>178208515.19655153</v>
      </c>
      <c r="AN39" s="24">
        <f>SUM('Activity data'!AS5:AS22)</f>
        <v>180402945.15735841</v>
      </c>
      <c r="AO39" s="24">
        <f>SUM('Activity data'!AT5:AT22)</f>
        <v>182699244.28063548</v>
      </c>
      <c r="AP39" s="24">
        <f>SUM('Activity data'!AU5:AU22)</f>
        <v>185064374.54008174</v>
      </c>
      <c r="AQ39" s="24">
        <f>SUM('Activity data'!AV5:AV22)</f>
        <v>187521503.30192283</v>
      </c>
      <c r="AR39" s="24">
        <f>SUM('Activity data'!AW5:AW22)</f>
        <v>190617126.31147674</v>
      </c>
      <c r="AS39" s="24">
        <f>SUM('Activity data'!AX5:AX22)</f>
        <v>193569263.02610955</v>
      </c>
      <c r="AT39" s="24">
        <f>SUM('Activity data'!AY5:AY22)</f>
        <v>196831134.5389635</v>
      </c>
      <c r="AU39" s="24">
        <f>SUM('Activity data'!AZ5:AZ22)</f>
        <v>200277554.35443214</v>
      </c>
      <c r="AV39" s="24">
        <f>SUM('Activity data'!BA5:BA22)</f>
        <v>203908758.0789932</v>
      </c>
      <c r="AW39" s="24">
        <f>SUM('Activity data'!BB5:BB22)</f>
        <v>207575171.10676074</v>
      </c>
      <c r="AX39" s="24">
        <f>SUM('Activity data'!BC5:BC22)</f>
        <v>211332946.28085428</v>
      </c>
      <c r="AY39" s="24">
        <f>SUM('Activity data'!BD5:BD22)</f>
        <v>215047263.3032738</v>
      </c>
      <c r="AZ39" s="24">
        <f>SUM('Activity data'!BE5:BE22)</f>
        <v>218840083.63086498</v>
      </c>
      <c r="BA39" s="24">
        <f>SUM('Activity data'!BF5:BF22)</f>
        <v>222795883.5749552</v>
      </c>
      <c r="BB39" s="24">
        <f>SUM('Activity data'!BG5:BG22)</f>
        <v>226925469.38583133</v>
      </c>
      <c r="BC39" s="24">
        <f>SUM('Activity data'!BH5:BH22)</f>
        <v>231155613.30073732</v>
      </c>
      <c r="BD39" s="24">
        <f>SUM('Activity data'!BI5:BI22)</f>
        <v>235468805.17807177</v>
      </c>
      <c r="BE39" s="24">
        <f>SUM('Activity data'!BJ5:BJ22)</f>
        <v>239882377.6602484</v>
      </c>
      <c r="BF39" s="24">
        <f>SUM('Activity data'!BK5:BK22)</f>
        <v>244480706.0718452</v>
      </c>
      <c r="BG39" s="24">
        <f>SUM('Activity data'!BL5:BL22)</f>
        <v>249201418.30056924</v>
      </c>
      <c r="BH39" s="24">
        <f>SUM('Activity data'!BM5:BM22)</f>
        <v>254042618.82398388</v>
      </c>
      <c r="BI39" s="24">
        <f>SUM('Activity data'!BN5:BN22)</f>
        <v>258831609.72079545</v>
      </c>
      <c r="BJ39" s="24">
        <f>SUM('Activity data'!BO5:BO22)</f>
        <v>263748008.95786834</v>
      </c>
      <c r="BK39" s="24">
        <f>SUM('Activity data'!BP5:BP22)</f>
        <v>268799210.93146247</v>
      </c>
    </row>
    <row r="40" spans="1:63" x14ac:dyDescent="0.25">
      <c r="A40" t="s">
        <v>348</v>
      </c>
      <c r="B40" t="s">
        <v>321</v>
      </c>
      <c r="C40" s="21">
        <v>9180000</v>
      </c>
      <c r="D40" s="21">
        <v>8614000</v>
      </c>
      <c r="E40" s="21">
        <v>3277000</v>
      </c>
      <c r="F40" s="21">
        <v>9997000</v>
      </c>
      <c r="G40" s="21">
        <v>13275000</v>
      </c>
      <c r="H40" s="21">
        <v>4866000</v>
      </c>
      <c r="I40" s="21">
        <v>10171000</v>
      </c>
      <c r="J40" s="21">
        <v>10136000</v>
      </c>
      <c r="K40" s="21">
        <v>7693000</v>
      </c>
      <c r="L40" s="21">
        <v>7946000</v>
      </c>
      <c r="M40" s="21">
        <v>11455000</v>
      </c>
      <c r="N40" s="21">
        <v>7772000</v>
      </c>
      <c r="O40" s="21">
        <v>10076000</v>
      </c>
      <c r="P40" s="21">
        <v>9705000</v>
      </c>
      <c r="Q40" s="21">
        <v>9737000</v>
      </c>
      <c r="R40" s="21">
        <v>11749000</v>
      </c>
      <c r="S40" s="21">
        <v>6618000</v>
      </c>
      <c r="T40" s="21">
        <v>7339000</v>
      </c>
      <c r="U40" s="21">
        <v>13164000</v>
      </c>
      <c r="V40" s="21">
        <v>12567000</v>
      </c>
      <c r="W40" s="21">
        <v>13421000</v>
      </c>
      <c r="X40" s="21">
        <v>10924000</v>
      </c>
      <c r="Y40" s="22">
        <f>((Relationships!$AI$33*'Intermediate calculations'!Y37)+Relationships!$AJ$33)</f>
        <v>11905714.580087671</v>
      </c>
      <c r="Z40" s="22">
        <f>((Relationships!$AI$33*'Intermediate calculations'!Z37)+Relationships!$AJ$33)</f>
        <v>12046191.597703315</v>
      </c>
      <c r="AA40" s="22">
        <f>((Relationships!$AI$33*'Intermediate calculations'!AA37)+Relationships!$AJ$33)</f>
        <v>12187944.370362209</v>
      </c>
      <c r="AB40" s="22">
        <f>((Relationships!$AI$33*'Intermediate calculations'!AB37)+Relationships!$AJ$33)</f>
        <v>12330984.483950958</v>
      </c>
      <c r="AC40" s="22">
        <f>((Relationships!$AI$33*'Intermediate calculations'!AC37)+Relationships!$AJ$33)</f>
        <v>12486881.442173107</v>
      </c>
      <c r="AD40" s="22">
        <f>((Relationships!$AI$33*'Intermediate calculations'!AD37)+Relationships!$AJ$33)</f>
        <v>12642778.400395254</v>
      </c>
      <c r="AE40" s="22">
        <f>((Relationships!$AI$33*'Intermediate calculations'!AE37)+Relationships!$AJ$33)</f>
        <v>12798675.358617399</v>
      </c>
      <c r="AF40" s="22">
        <f>((Relationships!$AI$33*'Intermediate calculations'!AF37)+Relationships!$AJ$33)</f>
        <v>12954572.31683955</v>
      </c>
      <c r="AG40" s="22">
        <f>((Relationships!$AI$33*'Intermediate calculations'!AG37)+Relationships!$AJ$33)</f>
        <v>13110469.275061695</v>
      </c>
      <c r="AH40" s="22">
        <f>((Relationships!$AI$33*'Intermediate calculations'!AH37)+Relationships!$AJ$33)</f>
        <v>13268487.66372098</v>
      </c>
      <c r="AI40" s="22">
        <f>((Relationships!$AI$33*'Intermediate calculations'!AI37)+Relationships!$AJ$33)</f>
        <v>13426506.049463501</v>
      </c>
      <c r="AJ40" s="22">
        <f>((Relationships!$AI$33*'Intermediate calculations'!AJ37)+Relationships!$AJ$33)</f>
        <v>13584524.435206015</v>
      </c>
      <c r="AK40" s="22">
        <f>((Relationships!$AI$33*'Intermediate calculations'!AK37)+Relationships!$AJ$33)</f>
        <v>13742542.820948536</v>
      </c>
      <c r="AL40" s="22">
        <f>((Relationships!$AI$33*'Intermediate calculations'!AL37)+Relationships!$AJ$33)</f>
        <v>13900561.209607817</v>
      </c>
      <c r="AM40" s="22">
        <f>((Relationships!$AI$33*'Intermediate calculations'!AM37)+Relationships!$AJ$33)</f>
        <v>14071757.179596435</v>
      </c>
      <c r="AN40" s="22">
        <f>((Relationships!$AI$33*'Intermediate calculations'!AN37)+Relationships!$AJ$33)</f>
        <v>14242953.14958505</v>
      </c>
      <c r="AO40" s="22">
        <f>((Relationships!$AI$33*'Intermediate calculations'!AO37)+Relationships!$AJ$33)</f>
        <v>14414149.119573668</v>
      </c>
      <c r="AP40" s="22">
        <f>((Relationships!$AI$33*'Intermediate calculations'!AP37)+Relationships!$AJ$33)</f>
        <v>14585345.089562282</v>
      </c>
      <c r="AQ40" s="22">
        <f>((Relationships!$AI$33*'Intermediate calculations'!AQ37)+Relationships!$AJ$33)</f>
        <v>14756541.0595509</v>
      </c>
      <c r="AR40" s="22">
        <f>((Relationships!$AI$33*'Intermediate calculations'!AR37)+Relationships!$AJ$33)</f>
        <v>14921924.903062604</v>
      </c>
      <c r="AS40" s="22">
        <f>((Relationships!$AI$33*'Intermediate calculations'!AS37)+Relationships!$AJ$33)</f>
        <v>15087308.743657539</v>
      </c>
      <c r="AT40" s="22">
        <f>((Relationships!$AI$33*'Intermediate calculations'!AT37)+Relationships!$AJ$33)</f>
        <v>15252692.587169243</v>
      </c>
      <c r="AU40" s="22">
        <f>((Relationships!$AI$33*'Intermediate calculations'!AU37)+Relationships!$AJ$33)</f>
        <v>15418076.427764175</v>
      </c>
      <c r="AV40" s="22">
        <f>((Relationships!$AI$33*'Intermediate calculations'!AV37)+Relationships!$AJ$33)</f>
        <v>15583460.26835911</v>
      </c>
      <c r="AW40" s="22">
        <f>((Relationships!$AI$33*'Intermediate calculations'!AW37)+Relationships!$AJ$33)</f>
        <v>15755346.12427544</v>
      </c>
      <c r="AX40" s="22">
        <f>((Relationships!$AI$33*'Intermediate calculations'!AX37)+Relationships!$AJ$33)</f>
        <v>15927231.980191762</v>
      </c>
      <c r="AY40" s="22">
        <f>((Relationships!$AI$33*'Intermediate calculations'!AY37)+Relationships!$AJ$33)</f>
        <v>16099117.833191326</v>
      </c>
      <c r="AZ40" s="22">
        <f>((Relationships!$AI$33*'Intermediate calculations'!AZ37)+Relationships!$AJ$33)</f>
        <v>16271003.689107649</v>
      </c>
      <c r="BA40" s="22">
        <f>((Relationships!$AI$33*'Intermediate calculations'!BA37)+Relationships!$AJ$33)</f>
        <v>16442889.54502397</v>
      </c>
      <c r="BB40" s="22">
        <f>((Relationships!$AI$33*'Intermediate calculations'!BB37)+Relationships!$AJ$33)</f>
        <v>16639102.122681959</v>
      </c>
      <c r="BC40" s="22">
        <f>((Relationships!$AI$33*'Intermediate calculations'!BC37)+Relationships!$AJ$33)</f>
        <v>16835314.697423171</v>
      </c>
      <c r="BD40" s="22">
        <f>((Relationships!$AI$33*'Intermediate calculations'!BD37)+Relationships!$AJ$33)</f>
        <v>17031527.275081158</v>
      </c>
      <c r="BE40" s="22">
        <f>((Relationships!$AI$33*'Intermediate calculations'!BE37)+Relationships!$AJ$33)</f>
        <v>17227739.85273914</v>
      </c>
      <c r="BF40" s="22">
        <f>((Relationships!$AI$33*'Intermediate calculations'!BF37)+Relationships!$AJ$33)</f>
        <v>17423952.430397119</v>
      </c>
      <c r="BG40" s="22">
        <f>((Relationships!$AI$33*'Intermediate calculations'!BG37)+Relationships!$AJ$33)</f>
        <v>17613239.851186544</v>
      </c>
      <c r="BH40" s="22">
        <f>((Relationships!$AI$33*'Intermediate calculations'!BH37)+Relationships!$AJ$33)</f>
        <v>17802527.271975949</v>
      </c>
      <c r="BI40" s="22">
        <f>((Relationships!$AI$33*'Intermediate calculations'!BI37)+Relationships!$AJ$33)</f>
        <v>17991814.695682134</v>
      </c>
      <c r="BJ40" s="22">
        <f>((Relationships!$AI$33*'Intermediate calculations'!BJ37)+Relationships!$AJ$33)</f>
        <v>18181102.116471548</v>
      </c>
      <c r="BK40" s="22">
        <f>((Relationships!$AI$33*'Intermediate calculations'!BK37)+Relationships!$AJ$33)</f>
        <v>18370389.537260965</v>
      </c>
    </row>
    <row r="41" spans="1:63" x14ac:dyDescent="0.25">
      <c r="A41" t="s">
        <v>759</v>
      </c>
      <c r="B41" t="s">
        <v>321</v>
      </c>
      <c r="C41" s="21">
        <v>194000</v>
      </c>
      <c r="D41" s="21">
        <v>195000</v>
      </c>
      <c r="E41" s="21">
        <v>199000</v>
      </c>
      <c r="F41" s="21">
        <v>200000</v>
      </c>
      <c r="G41" s="21">
        <v>184000</v>
      </c>
      <c r="H41" s="21">
        <v>183000</v>
      </c>
      <c r="I41" s="21">
        <v>181000</v>
      </c>
      <c r="J41" s="21">
        <v>179000</v>
      </c>
      <c r="K41" s="21">
        <v>177000</v>
      </c>
      <c r="L41" s="21">
        <v>175500</v>
      </c>
      <c r="M41" s="21">
        <v>174000</v>
      </c>
      <c r="N41" s="21">
        <v>186000</v>
      </c>
      <c r="O41" s="21">
        <v>190000</v>
      </c>
      <c r="P41" s="21">
        <v>174000</v>
      </c>
      <c r="Q41" s="21">
        <v>169000</v>
      </c>
      <c r="R41" s="21">
        <v>179000</v>
      </c>
      <c r="S41" s="21">
        <v>191000</v>
      </c>
      <c r="T41" s="21">
        <v>182000</v>
      </c>
      <c r="U41" s="21">
        <v>185000</v>
      </c>
      <c r="V41" s="21">
        <v>177000</v>
      </c>
      <c r="W41" s="21">
        <v>184000</v>
      </c>
      <c r="X41" s="21">
        <v>182000</v>
      </c>
      <c r="Y41" s="22">
        <f>((Relationships!$AI$12*(Drivers!Z5/Drivers!Z4))+Relationships!$AJ$12)*Drivers!Z4</f>
        <v>177072.80289788274</v>
      </c>
      <c r="Z41" s="22">
        <f>((Relationships!$AI$12*(Drivers!AA5/Drivers!AA4))+Relationships!$AJ$12)*Drivers!AA4</f>
        <v>165879.26955435274</v>
      </c>
      <c r="AA41" s="22">
        <f>((Relationships!$AI$12*(Drivers!AB5/Drivers!AB4))+Relationships!$AJ$12)*Drivers!AB4</f>
        <v>159276.59018795314</v>
      </c>
      <c r="AB41" s="22">
        <f>((Relationships!$AI$12*(Drivers!AC5/Drivers!AC4))+Relationships!$AJ$12)*Drivers!AC4</f>
        <v>157610.08374136308</v>
      </c>
      <c r="AC41" s="22">
        <f>((Relationships!$AI$12*(Drivers!AD5/Drivers!AD4))+Relationships!$AJ$12)*Drivers!AD4</f>
        <v>160717.03252308618</v>
      </c>
      <c r="AD41" s="22">
        <f>((Relationships!$AI$12*(Drivers!AE5/Drivers!AE4))+Relationships!$AJ$12)*Drivers!AE4</f>
        <v>160399.58979224728</v>
      </c>
      <c r="AE41" s="22">
        <f>((Relationships!$AI$12*(Drivers!AF5/Drivers!AF4))+Relationships!$AJ$12)*Drivers!AF4</f>
        <v>161471.2715932774</v>
      </c>
      <c r="AF41" s="22">
        <f>((Relationships!$AI$12*(Drivers!AG5/Drivers!AG4))+Relationships!$AJ$12)*Drivers!AG4</f>
        <v>163847.24460283367</v>
      </c>
      <c r="AG41" s="22">
        <f>((Relationships!$AI$12*(Drivers!AH5/Drivers!AH4))+Relationships!$AJ$12)*Drivers!AH4</f>
        <v>238775.74777253825</v>
      </c>
      <c r="AH41" s="22">
        <f>((Relationships!$AI$12*(Drivers!AI5/Drivers!AI4))+Relationships!$AJ$12)*Drivers!AI4</f>
        <v>230471.29255692515</v>
      </c>
      <c r="AI41" s="22">
        <f>((Relationships!$AI$12*(Drivers!AJ5/Drivers!AJ4))+Relationships!$AJ$12)*Drivers!AJ4</f>
        <v>222904.35157448982</v>
      </c>
      <c r="AJ41" s="22">
        <f>((Relationships!$AI$12*(Drivers!AK5/Drivers!AK4))+Relationships!$AJ$12)*Drivers!AK4</f>
        <v>215171.85878430807</v>
      </c>
      <c r="AK41" s="22">
        <f>((Relationships!$AI$12*(Drivers!AL5/Drivers!AL4))+Relationships!$AJ$12)*Drivers!AL4</f>
        <v>208074.2630954372</v>
      </c>
      <c r="AL41" s="22">
        <f>((Relationships!$AI$12*(Drivers!AM5/Drivers!AM4))+Relationships!$AJ$12)*Drivers!AM4</f>
        <v>200240.25234269424</v>
      </c>
      <c r="AM41" s="22">
        <f>((Relationships!$AI$12*(Drivers!AN5/Drivers!AN4))+Relationships!$AJ$12)*Drivers!AN4</f>
        <v>189884.26370829993</v>
      </c>
      <c r="AN41" s="22">
        <f>((Relationships!$AI$12*(Drivers!AO5/Drivers!AO4))+Relationships!$AJ$12)*Drivers!AO4</f>
        <v>179723.53263673553</v>
      </c>
      <c r="AO41" s="22">
        <f>((Relationships!$AI$12*(Drivers!AP5/Drivers!AP4))+Relationships!$AJ$12)*Drivers!AP4</f>
        <v>168565.99592397801</v>
      </c>
      <c r="AP41" s="22">
        <f>((Relationships!$AI$12*(Drivers!AQ5/Drivers!AQ4))+Relationships!$AJ$12)*Drivers!AQ4</f>
        <v>156668.29551101054</v>
      </c>
      <c r="AQ41" s="22">
        <f>((Relationships!$AI$12*(Drivers!AR5/Drivers!AR4))+Relationships!$AJ$12)*Drivers!AR4</f>
        <v>143962.87476127097</v>
      </c>
      <c r="AR41" s="22">
        <f>((Relationships!$AI$12*(Drivers!AS5/Drivers!AS4))+Relationships!$AJ$12)*Drivers!AS4</f>
        <v>126141.18429732474</v>
      </c>
      <c r="AS41" s="22">
        <f>((Relationships!$AI$12*(Drivers!AT5/Drivers!AT4))+Relationships!$AJ$12)*Drivers!AT4</f>
        <v>109647.4029028973</v>
      </c>
      <c r="AT41" s="22">
        <f>((Relationships!$AI$12*(Drivers!AU5/Drivers!AU4))+Relationships!$AJ$12)*Drivers!AU4</f>
        <v>90158.526256550278</v>
      </c>
      <c r="AU41" s="22">
        <f>((Relationships!$AI$12*(Drivers!AV5/Drivers!AV4))+Relationships!$AJ$12)*Drivers!AV4</f>
        <v>68575.816447025878</v>
      </c>
      <c r="AV41" s="22">
        <f>((Relationships!$AI$12*(Drivers!AW5/Drivers!AW4))+Relationships!$AJ$12)*Drivers!AW4</f>
        <v>44785.946487682733</v>
      </c>
      <c r="AW41" s="22">
        <f>((Relationships!$AI$12*(Drivers!AX5/Drivers!AX4))+Relationships!$AJ$12)*Drivers!AX4</f>
        <v>20398.99794066426</v>
      </c>
      <c r="AX41" s="22">
        <f>((Relationships!$AI$12*(Drivers!AY5/Drivers!AY4))+Relationships!$AJ$12)*Drivers!AY4</f>
        <v>-5506.1007044243579</v>
      </c>
      <c r="AY41" s="22">
        <f>((Relationships!$AI$12*(Drivers!AZ5/Drivers!AZ4))+Relationships!$AJ$12)*Drivers!AZ4</f>
        <v>-31975.186125853696</v>
      </c>
      <c r="AZ41" s="22">
        <f>((Relationships!$AI$12*(Drivers!BA5/Drivers!BA4))+Relationships!$AJ$12)*Drivers!BA4</f>
        <v>-59976.738842989471</v>
      </c>
      <c r="BA41" s="22">
        <f>((Relationships!$AI$12*(Drivers!BB5/Drivers!BB4))+Relationships!$AJ$12)*Drivers!BB4</f>
        <v>-90368.308388298959</v>
      </c>
      <c r="BB41" s="22">
        <f>((Relationships!$AI$12*(Drivers!BC5/Drivers!BC4))+Relationships!$AJ$12)*Drivers!BC4</f>
        <v>-120908.73600883373</v>
      </c>
      <c r="BC41" s="22">
        <f>((Relationships!$AI$12*(Drivers!BD5/Drivers!BD4))+Relationships!$AJ$12)*Drivers!BD4</f>
        <v>-153283.90285849615</v>
      </c>
      <c r="BD41" s="22">
        <f>((Relationships!$AI$12*(Drivers!BE5/Drivers!BE4))+Relationships!$AJ$12)*Drivers!BE4</f>
        <v>-187389.21837593269</v>
      </c>
      <c r="BE41" s="22">
        <f>((Relationships!$AI$12*(Drivers!BF5/Drivers!BF4))+Relationships!$AJ$12)*Drivers!BF4</f>
        <v>-223482.84661602651</v>
      </c>
      <c r="BF41" s="22">
        <f>((Relationships!$AI$12*(Drivers!BG5/Drivers!BG4))+Relationships!$AJ$12)*Drivers!BG4</f>
        <v>-262588.33967307716</v>
      </c>
      <c r="BG41" s="22">
        <f>((Relationships!$AI$12*(Drivers!BH5/Drivers!BH4))+Relationships!$AJ$12)*Drivers!BH4</f>
        <v>-304692.20494296838</v>
      </c>
      <c r="BH41" s="22">
        <f>((Relationships!$AI$12*(Drivers!BI5/Drivers!BI4))+Relationships!$AJ$12)*Drivers!BI4</f>
        <v>-349392.98452497437</v>
      </c>
      <c r="BI41" s="22">
        <f>((Relationships!$AI$12*(Drivers!BJ5/Drivers!BJ4))+Relationships!$AJ$12)*Drivers!BJ4</f>
        <v>-394744.97945774067</v>
      </c>
      <c r="BJ41" s="22">
        <f>((Relationships!$AI$12*(Drivers!BK5/Drivers!BK4))+Relationships!$AJ$12)*Drivers!BK4</f>
        <v>-442929.25204036472</v>
      </c>
      <c r="BK41" s="22">
        <f>((Relationships!$AI$12*(Drivers!BL5/Drivers!BL4))+Relationships!$AJ$12)*Drivers!BL4</f>
        <v>-494182.15167024871</v>
      </c>
    </row>
    <row r="42" spans="1:63" x14ac:dyDescent="0.25">
      <c r="A42" t="s">
        <v>759</v>
      </c>
      <c r="B42" t="s">
        <v>322</v>
      </c>
      <c r="C42" s="22">
        <f>C41/Drivers!D4</f>
        <v>5.2716662152689246E-3</v>
      </c>
      <c r="D42" s="22">
        <f>D41/Drivers!E4</f>
        <v>5.169815172479616E-3</v>
      </c>
      <c r="E42" s="22">
        <f>E41/Drivers!F4</f>
        <v>5.1457611843959729E-3</v>
      </c>
      <c r="F42" s="22">
        <f>F41/Drivers!G4</f>
        <v>5.0462043081969284E-3</v>
      </c>
      <c r="G42" s="22">
        <f>G41/Drivers!H4</f>
        <v>4.5360352128469197E-3</v>
      </c>
      <c r="H42" s="22">
        <f>H41/Drivers!I4</f>
        <v>4.4164752579161221E-3</v>
      </c>
      <c r="I42" s="22">
        <f>I41/Drivers!J4</f>
        <v>4.2849353203217606E-3</v>
      </c>
      <c r="J42" s="22">
        <f>J41/Drivers!K4</f>
        <v>4.164004940882645E-3</v>
      </c>
      <c r="K42" s="22">
        <f>K41/Drivers!L4</f>
        <v>4.0519881526276339E-3</v>
      </c>
      <c r="L42" s="22">
        <f>L41/Drivers!M4</f>
        <v>3.9581814855756533E-3</v>
      </c>
      <c r="M42" s="22">
        <f>M41/Drivers!N4</f>
        <v>3.8694433792356062E-3</v>
      </c>
      <c r="N42" s="22">
        <f>N41/Drivers!O4</f>
        <v>4.0815185460911186E-3</v>
      </c>
      <c r="O42" s="22">
        <f>O41/Drivers!P4</f>
        <v>4.1169283043219537E-3</v>
      </c>
      <c r="P42" s="22">
        <f>P41/Drivers!Q4</f>
        <v>3.7243791609769998E-3</v>
      </c>
      <c r="Q42" s="22">
        <f>Q41/Drivers!R4</f>
        <v>3.5735725639283586E-3</v>
      </c>
      <c r="R42" s="22">
        <f>R41/Drivers!S4</f>
        <v>3.7384660230142057E-3</v>
      </c>
      <c r="S42" s="22">
        <f>S41/Drivers!T4</f>
        <v>3.9390004330631945E-3</v>
      </c>
      <c r="T42" s="22">
        <f>T41/Drivers!U4</f>
        <v>3.7052299055457499E-3</v>
      </c>
      <c r="U42" s="22">
        <f>U41/Drivers!V4</f>
        <v>3.7163914417652206E-3</v>
      </c>
      <c r="V42" s="22">
        <f>V41/Drivers!W4</f>
        <v>3.5065467723514772E-3</v>
      </c>
      <c r="W42" s="22">
        <f>W41/Drivers!X4</f>
        <v>3.5925596839359707E-3</v>
      </c>
      <c r="X42" s="22">
        <f>X41/Drivers!Y4</f>
        <v>3.499719214835302E-3</v>
      </c>
    </row>
    <row r="43" spans="1:63" x14ac:dyDescent="0.25">
      <c r="A43" t="s">
        <v>376</v>
      </c>
      <c r="B43" t="s">
        <v>321</v>
      </c>
      <c r="C43" s="21">
        <v>316000</v>
      </c>
      <c r="D43" s="21">
        <v>245000</v>
      </c>
      <c r="E43" s="21">
        <v>243000</v>
      </c>
      <c r="F43" s="21">
        <v>287000</v>
      </c>
      <c r="G43" s="21">
        <v>410000</v>
      </c>
      <c r="H43" s="21">
        <v>303000</v>
      </c>
      <c r="I43" s="21">
        <v>331000</v>
      </c>
      <c r="J43" s="21">
        <v>243000</v>
      </c>
      <c r="K43" s="21">
        <v>235000</v>
      </c>
      <c r="L43" s="21"/>
      <c r="M43" s="21">
        <v>210000</v>
      </c>
      <c r="N43" s="21">
        <v>209000</v>
      </c>
      <c r="O43" s="21">
        <v>206000</v>
      </c>
      <c r="P43" s="21">
        <v>196000</v>
      </c>
      <c r="Q43" s="21">
        <v>179000</v>
      </c>
      <c r="R43" s="21">
        <v>189000</v>
      </c>
      <c r="S43" s="21">
        <v>203000</v>
      </c>
      <c r="T43" s="21">
        <v>190000</v>
      </c>
      <c r="U43" s="21">
        <v>196000</v>
      </c>
      <c r="V43" s="21">
        <v>187000</v>
      </c>
      <c r="W43" s="21">
        <v>192000</v>
      </c>
      <c r="X43" s="21">
        <v>191000</v>
      </c>
      <c r="Y43" s="21">
        <f>((Relationships!$AI$36*'Intermediate calculations'!Y41)+Relationships!$AJ$36)</f>
        <v>184728.86714632431</v>
      </c>
      <c r="Z43" s="21">
        <f>((Relationships!$AI$36*'Intermediate calculations'!Z41)+Relationships!$AJ$36)</f>
        <v>173639.72112952737</v>
      </c>
      <c r="AA43" s="21">
        <f>((Relationships!$AI$36*'Intermediate calculations'!AA41)+Relationships!$AJ$36)</f>
        <v>167098.61624789334</v>
      </c>
      <c r="AB43" s="21">
        <f>((Relationships!$AI$36*'Intermediate calculations'!AB41)+Relationships!$AJ$36)</f>
        <v>165447.65110962873</v>
      </c>
      <c r="AC43" s="21">
        <f>((Relationships!$AI$36*'Intermediate calculations'!AC41)+Relationships!$AJ$36)</f>
        <v>168525.62547660116</v>
      </c>
      <c r="AD43" s="21">
        <f>((Relationships!$AI$36*'Intermediate calculations'!AD41)+Relationships!$AJ$36)</f>
        <v>168211.14311556207</v>
      </c>
      <c r="AE43" s="21">
        <f>((Relationships!$AI$36*'Intermediate calculations'!AE41)+Relationships!$AJ$36)</f>
        <v>169272.83075345488</v>
      </c>
      <c r="AF43" s="21">
        <f>((Relationships!$AI$36*'Intermediate calculations'!AF41)+Relationships!$AJ$36)</f>
        <v>171626.64619549018</v>
      </c>
      <c r="AG43" s="21">
        <f>((Relationships!$AI$36*'Intermediate calculations'!AG41)+Relationships!$AJ$36)</f>
        <v>245856.39000995361</v>
      </c>
      <c r="AH43" s="21">
        <f>((Relationships!$AI$36*'Intermediate calculations'!AH41)+Relationships!$AJ$36)</f>
        <v>237629.37949864683</v>
      </c>
      <c r="AI43" s="21">
        <f>((Relationships!$AI$36*'Intermediate calculations'!AI41)+Relationships!$AJ$36)</f>
        <v>230133.00539768327</v>
      </c>
      <c r="AJ43" s="21">
        <f>((Relationships!$AI$36*'Intermediate calculations'!AJ41)+Relationships!$AJ$36)</f>
        <v>222472.62337240277</v>
      </c>
      <c r="AK43" s="21">
        <f>((Relationships!$AI$36*'Intermediate calculations'!AK41)+Relationships!$AJ$36)</f>
        <v>215441.21760028607</v>
      </c>
      <c r="AL43" s="21">
        <f>((Relationships!$AI$36*'Intermediate calculations'!AL41)+Relationships!$AJ$36)</f>
        <v>207680.26433662896</v>
      </c>
      <c r="AM43" s="21">
        <f>((Relationships!$AI$36*'Intermediate calculations'!AM41)+Relationships!$AJ$36)</f>
        <v>197420.85235377491</v>
      </c>
      <c r="AN43" s="21">
        <f>((Relationships!$AI$36*'Intermediate calculations'!AN41)+Relationships!$AJ$36)</f>
        <v>187354.8770239109</v>
      </c>
      <c r="AO43" s="21">
        <f>((Relationships!$AI$36*'Intermediate calculations'!AO41)+Relationships!$AJ$36)</f>
        <v>176301.39194477306</v>
      </c>
      <c r="AP43" s="21">
        <f>((Relationships!$AI$36*'Intermediate calculations'!AP41)+Relationships!$AJ$36)</f>
        <v>164514.64569634545</v>
      </c>
      <c r="AQ43" s="21">
        <f>((Relationships!$AI$36*'Intermediate calculations'!AQ41)+Relationships!$AJ$36)</f>
        <v>151927.71165374119</v>
      </c>
      <c r="AR43" s="21">
        <f>((Relationships!$AI$36*'Intermediate calculations'!AR41)+Relationships!$AJ$36)</f>
        <v>134272.22059871268</v>
      </c>
      <c r="AS43" s="21">
        <f>((Relationships!$AI$36*'Intermediate calculations'!AS41)+Relationships!$AJ$36)</f>
        <v>117932.25495617015</v>
      </c>
      <c r="AT43" s="21">
        <f>((Relationships!$AI$36*'Intermediate calculations'!AT41)+Relationships!$AJ$36)</f>
        <v>98625.125366065957</v>
      </c>
      <c r="AU43" s="21">
        <f>((Relationships!$AI$36*'Intermediate calculations'!AU41)+Relationships!$AJ$36)</f>
        <v>77243.689033961797</v>
      </c>
      <c r="AV43" s="21">
        <f>((Relationships!$AI$36*'Intermediate calculations'!AV41)+Relationships!$AJ$36)</f>
        <v>53675.675824598184</v>
      </c>
      <c r="AW43" s="21">
        <f>((Relationships!$AI$36*'Intermediate calculations'!AW41)+Relationships!$AJ$36)</f>
        <v>29516.152192293652</v>
      </c>
      <c r="AX43" s="21">
        <f>((Relationships!$AI$36*'Intermediate calculations'!AX41)+Relationships!$AJ$36)</f>
        <v>3852.6362461907966</v>
      </c>
      <c r="AY43" s="21">
        <f>((Relationships!$AI$36*'Intermediate calculations'!AY41)+Relationships!$AJ$36)</f>
        <v>-22369.606915210865</v>
      </c>
      <c r="AZ43" s="21">
        <f>((Relationships!$AI$36*'Intermediate calculations'!AZ41)+Relationships!$AJ$36)</f>
        <v>-50110.026070422136</v>
      </c>
      <c r="BA43" s="21">
        <f>((Relationships!$AI$36*'Intermediate calculations'!BA41)+Relationships!$AJ$36)</f>
        <v>-80218.173518106792</v>
      </c>
      <c r="BB43" s="21">
        <f>((Relationships!$AI$36*'Intermediate calculations'!BB41)+Relationships!$AJ$36)</f>
        <v>-110473.79083801965</v>
      </c>
      <c r="BC43" s="21">
        <f>((Relationships!$AI$36*'Intermediate calculations'!BC41)+Relationships!$AJ$36)</f>
        <v>-142547.03719338821</v>
      </c>
      <c r="BD43" s="21">
        <f>((Relationships!$AI$36*'Intermediate calculations'!BD41)+Relationships!$AJ$36)</f>
        <v>-176334.29740112126</v>
      </c>
      <c r="BE43" s="21">
        <f>((Relationships!$AI$36*'Intermediate calculations'!BE41)+Relationships!$AJ$36)</f>
        <v>-212091.32796035337</v>
      </c>
      <c r="BF43" s="21">
        <f>((Relationships!$AI$36*'Intermediate calculations'!BF41)+Relationships!$AJ$36)</f>
        <v>-250832.13564456211</v>
      </c>
      <c r="BG43" s="21">
        <f>((Relationships!$AI$36*'Intermediate calculations'!BG41)+Relationships!$AJ$36)</f>
        <v>-292543.35367735964</v>
      </c>
      <c r="BH43" s="21">
        <f>((Relationships!$AI$36*'Intermediate calculations'!BH41)+Relationships!$AJ$36)</f>
        <v>-336827.26802653488</v>
      </c>
      <c r="BI43" s="21">
        <f>((Relationships!$AI$36*'Intermediate calculations'!BI41)+Relationships!$AJ$36)</f>
        <v>-381756.32469952648</v>
      </c>
      <c r="BJ43" s="21">
        <f>((Relationships!$AI$36*'Intermediate calculations'!BJ41)+Relationships!$AJ$36)</f>
        <v>-429491.24610311602</v>
      </c>
      <c r="BK43" s="21">
        <f>((Relationships!$AI$36*'Intermediate calculations'!BK41)+Relationships!$AJ$36)</f>
        <v>-480266.17751550465</v>
      </c>
    </row>
  </sheetData>
  <pageMargins left="0.7" right="0.7" top="0.75" bottom="0.75" header="0.3" footer="0.3"/>
  <pageSetup paperSize="9" orientation="portrait" r:id="rId1"/>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'Intermediate calculations'!C5:BK5</xm:f>
              <xm:sqref>BM5</xm:sqref>
            </x14:sparkline>
            <x14:sparkline>
              <xm:f>'Intermediate calculations'!C6:BK6</xm:f>
              <xm:sqref>BM6</xm:sqref>
            </x14:sparkline>
            <x14:sparkline>
              <xm:f>'Intermediate calculations'!C7:BK7</xm:f>
              <xm:sqref>BM7</xm:sqref>
            </x14:sparkline>
            <x14:sparkline>
              <xm:f>'Intermediate calculations'!C8:BK8</xm:f>
              <xm:sqref>BM8</xm:sqref>
            </x14:sparkline>
            <x14:sparkline>
              <xm:f>'Intermediate calculations'!C9:BK9</xm:f>
              <xm:sqref>BM9</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AP81"/>
  <sheetViews>
    <sheetView workbookViewId="0">
      <pane xSplit="2" ySplit="3" topLeftCell="U4" activePane="bottomRight" state="frozen"/>
      <selection pane="topRight" activeCell="C1" sqref="C1"/>
      <selection pane="bottomLeft" activeCell="A4" sqref="A4"/>
      <selection pane="bottomRight" activeCell="AE30" sqref="AE30"/>
    </sheetView>
  </sheetViews>
  <sheetFormatPr defaultRowHeight="15" outlineLevelCol="1" x14ac:dyDescent="0.25"/>
  <cols>
    <col min="1" max="1" width="29.5703125" customWidth="1"/>
    <col min="2" max="2" width="12.85546875" customWidth="1"/>
    <col min="3" max="12" width="12.7109375" customWidth="1" outlineLevel="1"/>
    <col min="13" max="29" width="12.7109375" customWidth="1"/>
    <col min="30" max="33" width="13.85546875" customWidth="1"/>
    <col min="35" max="35" width="12.7109375" bestFit="1" customWidth="1"/>
    <col min="36" max="36" width="11.7109375" bestFit="1" customWidth="1"/>
  </cols>
  <sheetData>
    <row r="1" spans="1:42" ht="18.75" x14ac:dyDescent="0.3">
      <c r="A1" s="1" t="s">
        <v>815</v>
      </c>
    </row>
    <row r="3" spans="1:42" s="19" customFormat="1" ht="29.25" customHeight="1" x14ac:dyDescent="0.25">
      <c r="A3" s="17" t="s">
        <v>325</v>
      </c>
      <c r="B3" s="17" t="s">
        <v>0</v>
      </c>
      <c r="C3" s="17">
        <v>1990</v>
      </c>
      <c r="D3" s="17">
        <v>1991</v>
      </c>
      <c r="E3" s="17">
        <v>1992</v>
      </c>
      <c r="F3" s="17">
        <v>1993</v>
      </c>
      <c r="G3" s="17">
        <v>1994</v>
      </c>
      <c r="H3" s="17">
        <v>1995</v>
      </c>
      <c r="I3" s="17">
        <v>1996</v>
      </c>
      <c r="J3" s="17">
        <v>1997</v>
      </c>
      <c r="K3" s="17">
        <v>1998</v>
      </c>
      <c r="L3" s="17">
        <v>1999</v>
      </c>
      <c r="M3" s="17">
        <v>2000</v>
      </c>
      <c r="N3" s="17">
        <v>2001</v>
      </c>
      <c r="O3" s="17">
        <v>2002</v>
      </c>
      <c r="P3" s="17">
        <v>2003</v>
      </c>
      <c r="Q3" s="17">
        <v>2004</v>
      </c>
      <c r="R3" s="17">
        <v>2005</v>
      </c>
      <c r="S3" s="17">
        <v>2006</v>
      </c>
      <c r="T3" s="17">
        <v>2007</v>
      </c>
      <c r="U3" s="17">
        <v>2008</v>
      </c>
      <c r="V3" s="17">
        <v>2009</v>
      </c>
      <c r="W3" s="17">
        <v>2010</v>
      </c>
      <c r="X3" s="17">
        <v>2011</v>
      </c>
      <c r="Y3" s="17">
        <v>2012</v>
      </c>
      <c r="Z3" s="17">
        <v>2013</v>
      </c>
      <c r="AA3" s="17">
        <v>2014</v>
      </c>
      <c r="AB3" s="17">
        <v>2015</v>
      </c>
      <c r="AC3" s="17">
        <v>2016</v>
      </c>
      <c r="AD3" s="17">
        <v>2017</v>
      </c>
      <c r="AE3" s="17">
        <v>2030</v>
      </c>
      <c r="AF3" s="17">
        <v>2040</v>
      </c>
      <c r="AG3" s="17">
        <v>2050</v>
      </c>
      <c r="AI3" s="19" t="s">
        <v>452</v>
      </c>
      <c r="AJ3" s="19" t="s">
        <v>453</v>
      </c>
      <c r="AL3" s="19" t="s">
        <v>452</v>
      </c>
      <c r="AM3" s="19" t="s">
        <v>453</v>
      </c>
      <c r="AO3" s="19" t="s">
        <v>452</v>
      </c>
      <c r="AP3" s="19" t="s">
        <v>453</v>
      </c>
    </row>
    <row r="4" spans="1:42" x14ac:dyDescent="0.25">
      <c r="A4" t="str">
        <f>'Intermediate calculations'!A4</f>
        <v>Wealth (GDP)</v>
      </c>
      <c r="B4" t="str">
        <f>'Intermediate calculations'!B4</f>
        <v>GDP/capita</v>
      </c>
      <c r="C4">
        <f>Drivers!D5/Drivers!D4</f>
        <v>5.1426413753507664E-5</v>
      </c>
      <c r="D4">
        <f>Drivers!E5/Drivers!E4</f>
        <v>5.1679427668026106E-5</v>
      </c>
      <c r="E4">
        <f>Drivers!F5/Drivers!F4</f>
        <v>5.1917176431525806E-5</v>
      </c>
      <c r="F4">
        <f>Drivers!G5/Drivers!G4</f>
        <v>5.2177897309909907E-5</v>
      </c>
      <c r="G4">
        <f>Drivers!H5/Drivers!H4</f>
        <v>5.2510669842774879E-5</v>
      </c>
      <c r="H4">
        <f>Drivers!I5/Drivers!I4</f>
        <v>5.2948163441846437E-5</v>
      </c>
      <c r="I4">
        <f>Drivers!J5/Drivers!J4</f>
        <v>5.4120226264742331E-5</v>
      </c>
      <c r="J4">
        <f>Drivers!K5/Drivers!K4</f>
        <v>5.4563154889951003E-5</v>
      </c>
      <c r="K4">
        <f>Drivers!L5/Drivers!L4</f>
        <v>5.407115413256569E-5</v>
      </c>
      <c r="L4">
        <f>Drivers!M5/Drivers!M4</f>
        <v>5.4709124498710218E-5</v>
      </c>
      <c r="M4">
        <f>Drivers!N5/Drivers!N4</f>
        <v>5.6317183773695273E-5</v>
      </c>
      <c r="N4">
        <f>Drivers!O5/Drivers!O4</f>
        <v>5.7182861749752383E-5</v>
      </c>
      <c r="O4">
        <f>Drivers!P5/Drivers!P4</f>
        <v>5.8610560008391902E-5</v>
      </c>
      <c r="P4">
        <f>Drivers!Q5/Drivers!Q4</f>
        <v>5.9623833155985895E-5</v>
      </c>
      <c r="Q4">
        <f>Drivers!R5/Drivers!R4</f>
        <v>6.1551379618170971E-5</v>
      </c>
      <c r="R4">
        <f>Drivers!S5/Drivers!S4</f>
        <v>6.4023871099704732E-5</v>
      </c>
      <c r="S4">
        <f>Drivers!T5/Drivers!T4</f>
        <v>6.6713599665870247E-5</v>
      </c>
      <c r="T4">
        <f>Drivers!U5/Drivers!U4</f>
        <v>6.9536134341478134E-5</v>
      </c>
      <c r="U4">
        <f>Drivers!V5/Drivers!V4</f>
        <v>7.1195809108201268E-5</v>
      </c>
      <c r="V4">
        <f>Drivers!W5/Drivers!W4</f>
        <v>6.9269528052744018E-5</v>
      </c>
      <c r="W4">
        <f>Drivers!X5/Drivers!X4</f>
        <v>7.0371238918398162E-5</v>
      </c>
      <c r="X4">
        <f>Drivers!Y5/Drivers!Y4</f>
        <v>7.1684227018852136E-5</v>
      </c>
      <c r="Y4">
        <f>Drivers!Z5/Drivers!Z4</f>
        <v>7.2008674666107316E-5</v>
      </c>
      <c r="Z4">
        <f>Drivers!AA5/Drivers!AA4</f>
        <v>7.3128862350936422E-5</v>
      </c>
      <c r="AA4">
        <f>Drivers!AB5/Drivers!AB4</f>
        <v>7.3832053087208803E-5</v>
      </c>
      <c r="AB4">
        <f>Drivers!AC5/Drivers!AC4</f>
        <v>7.4099569652362116E-5</v>
      </c>
      <c r="AC4">
        <f>Drivers!AD5/Drivers!AD4</f>
        <v>7.3966728660027013E-5</v>
      </c>
      <c r="AD4">
        <f>Drivers!AE5/Drivers!AE4</f>
        <v>7.4125058503467776E-5</v>
      </c>
      <c r="AE4">
        <f>Drivers!AR5/Drivers!AR4</f>
        <v>7.6910407917236888E-5</v>
      </c>
      <c r="AF4">
        <f>Drivers!BB5/Drivers!BB4</f>
        <v>9.3813540512369811E-5</v>
      </c>
      <c r="AG4">
        <f>Drivers!BL5/Drivers!BL4</f>
        <v>1.1841787076711766E-4</v>
      </c>
    </row>
    <row r="5" spans="1:42" x14ac:dyDescent="0.25">
      <c r="A5" t="str">
        <f>'Intermediate calculations'!A6</f>
        <v>Beef consumption</v>
      </c>
      <c r="B5" t="str">
        <f>'Intermediate calculations'!B6</f>
        <v>t/capita</v>
      </c>
      <c r="C5">
        <f>C13/Drivers!D4</f>
        <v>1.8151922844328049E-2</v>
      </c>
      <c r="D5">
        <f>D13/Drivers!E4</f>
        <v>1.8929477093079208E-2</v>
      </c>
      <c r="E5">
        <f>E13/Drivers!F4</f>
        <v>1.9160849435363898E-2</v>
      </c>
      <c r="F5">
        <f>F13/Drivers!G4</f>
        <v>1.8115873466426971E-2</v>
      </c>
      <c r="G5">
        <f>G13/Drivers!H4</f>
        <v>1.6344518185421236E-2</v>
      </c>
      <c r="H5">
        <f>H13/Drivers!I4</f>
        <v>1.4166508067741876E-2</v>
      </c>
      <c r="I5">
        <f>I13/Drivers!J4</f>
        <v>1.3991142399503649E-2</v>
      </c>
      <c r="J5">
        <f>J13/Drivers!K4</f>
        <v>1.3329468330311484E-2</v>
      </c>
      <c r="K5">
        <f>K13/Drivers!L4</f>
        <v>1.2819849522437712E-2</v>
      </c>
      <c r="L5">
        <f>L13/Drivers!M4</f>
        <v>1.2607541028129859E-2</v>
      </c>
      <c r="M5">
        <f>M13/Drivers!N4</f>
        <v>1.4921819008431562E-2</v>
      </c>
      <c r="N5">
        <f>N13/Drivers!O4</f>
        <v>1.21567810458843E-2</v>
      </c>
      <c r="O5">
        <f>O13/Drivers!P4</f>
        <v>1.3044162311588505E-2</v>
      </c>
      <c r="P5">
        <f>P13/Drivers!Q4</f>
        <v>1.3763079313265579E-2</v>
      </c>
      <c r="Q5">
        <f>Q13/Drivers!R4</f>
        <v>1.4273144855926876E-2</v>
      </c>
      <c r="R5">
        <f>R13/Drivers!S4</f>
        <v>1.5100061087370227E-2</v>
      </c>
      <c r="S5">
        <f>S13/Drivers!T4</f>
        <v>1.701400710616301E-2</v>
      </c>
      <c r="T5">
        <f>T13/Drivers!U4</f>
        <v>1.7610021254379524E-2</v>
      </c>
      <c r="U5">
        <f>U13/Drivers!V4</f>
        <v>1.5407958031534726E-2</v>
      </c>
      <c r="V5">
        <f>V13/Drivers!W4</f>
        <v>1.553182299165852E-2</v>
      </c>
      <c r="W5">
        <f>W13/Drivers!X4</f>
        <v>1.7181807184041598E-2</v>
      </c>
      <c r="X5">
        <f>X13/Drivers!Y4</f>
        <v>1.6902490054067201E-2</v>
      </c>
      <c r="Y5">
        <f>Y13/Drivers!Z4</f>
        <v>1.6310786969267743E-2</v>
      </c>
      <c r="Z5">
        <f>Z13/Drivers!AA4</f>
        <v>1.7004893504801423E-2</v>
      </c>
      <c r="AA5">
        <f>AA13/Drivers!AB4</f>
        <v>1.8166666666666668E-2</v>
      </c>
      <c r="AB5">
        <f>AB13/Drivers!AC4</f>
        <v>1.8773947105477615E-2</v>
      </c>
      <c r="AC5">
        <f>AC13/Drivers!AD4</f>
        <v>1.9482092183173511E-2</v>
      </c>
      <c r="AD5">
        <f>AD13/Drivers!AE4</f>
        <v>1.8448731277798228E-2</v>
      </c>
      <c r="AE5">
        <f>AD5*(1+Constants!H28)</f>
        <v>2.2691939471691819E-2</v>
      </c>
      <c r="AF5">
        <f>AE5*(1+Constants!I28)</f>
        <v>2.723032736603018E-2</v>
      </c>
      <c r="AG5">
        <f>AF5*(1+Constants!J28)</f>
        <v>3.1587179744595011E-2</v>
      </c>
      <c r="AI5">
        <f>SLOPE(W5:AG5,LN($W$4:$AG$4))</f>
        <v>2.9986401342856999E-2</v>
      </c>
      <c r="AJ5">
        <f>INTERCEPT(W5:AG5,LN($W$4:$AG$4))</f>
        <v>0.30385371530561905</v>
      </c>
      <c r="AL5">
        <f>SLOPE(AD5:AE5,AD4:AE4)</f>
        <v>1523.4024761553042</v>
      </c>
      <c r="AM5">
        <f>INTERCEPT(AD5:AE5,AD4:AE4)</f>
        <v>-9.4473566391541378E-2</v>
      </c>
      <c r="AO5">
        <f>SLOPE(AF5:AG5,AF4:AG4)</f>
        <v>177.07665006342114</v>
      </c>
      <c r="AP5">
        <f>INTERCEPT(AF5:AG5,AF4:AG4)</f>
        <v>1.0618139881510689E-2</v>
      </c>
    </row>
    <row r="6" spans="1:42" x14ac:dyDescent="0.25">
      <c r="A6" t="str">
        <f>'Intermediate calculations'!A12</f>
        <v>Milk consumption</v>
      </c>
      <c r="B6" t="str">
        <f>'Intermediate calculations'!B12</f>
        <v>t/capita</v>
      </c>
      <c r="C6">
        <f>C17/Drivers!D4</f>
        <v>3.1711517903189872E-2</v>
      </c>
      <c r="D6">
        <f>D17/Drivers!E4</f>
        <v>3.0568189199328188E-2</v>
      </c>
      <c r="E6">
        <f>E17/Drivers!F4</f>
        <v>3.035740517829584E-2</v>
      </c>
      <c r="F6">
        <f>F17/Drivers!G4</f>
        <v>2.7552275522755229E-2</v>
      </c>
      <c r="G6">
        <f>G17/Drivers!H4</f>
        <v>2.6821773432486134E-2</v>
      </c>
      <c r="H6">
        <f>H17/Drivers!I4</f>
        <v>3.3714841176550943E-2</v>
      </c>
      <c r="I6">
        <f>I17/Drivers!J4</f>
        <v>3.5202755918886504E-2</v>
      </c>
      <c r="J6">
        <f>J17/Drivers!K4</f>
        <v>3.654554057053986E-2</v>
      </c>
      <c r="K6">
        <f>K17/Drivers!L4</f>
        <v>3.6811282200142577E-2</v>
      </c>
      <c r="L6">
        <f>L17/Drivers!M4</f>
        <v>3.6221307497632478E-2</v>
      </c>
      <c r="M6">
        <f>M17/Drivers!N4</f>
        <v>2.855382355711792E-2</v>
      </c>
      <c r="N6">
        <f>N17/Drivers!O4</f>
        <v>3.4561245753190924E-2</v>
      </c>
      <c r="O6">
        <f>O17/Drivers!P4</f>
        <v>3.4907218411908775E-2</v>
      </c>
      <c r="P6">
        <f>P17/Drivers!Q4</f>
        <v>3.2706042287200317E-2</v>
      </c>
      <c r="Q6">
        <f>Q17/Drivers!R4</f>
        <v>3.4382420052943855E-2</v>
      </c>
      <c r="R6">
        <f>R17/Drivers!S4</f>
        <v>3.8324498057156799E-2</v>
      </c>
      <c r="S6">
        <f>S17/Drivers!T4</f>
        <v>3.4997297041404404E-2</v>
      </c>
      <c r="T6">
        <f>T17/Drivers!U4</f>
        <v>3.6624772527894527E-2</v>
      </c>
      <c r="U6">
        <f>U17/Drivers!V4</f>
        <v>3.6541167743626687E-2</v>
      </c>
      <c r="V6">
        <f>V17/Drivers!W4</f>
        <v>3.5422065700364075E-2</v>
      </c>
      <c r="W6">
        <f>W17/Drivers!X4</f>
        <v>3.6472290704306486E-2</v>
      </c>
      <c r="X6">
        <f>X17/Drivers!Y4</f>
        <v>3.5612527394917472E-2</v>
      </c>
      <c r="Y6">
        <f>Y17/Drivers!Z4</f>
        <v>3.612886454695606E-2</v>
      </c>
      <c r="Z6">
        <f>Z17/Drivers!AA4</f>
        <v>3.6084010283265432E-2</v>
      </c>
      <c r="AA6">
        <f>AA17/Drivers!AB4</f>
        <v>3.6592592592592593E-2</v>
      </c>
      <c r="AB6">
        <f>AB17/Drivers!AC4</f>
        <v>3.8924283294934525E-2</v>
      </c>
      <c r="AC6">
        <f>AC17/Drivers!AD4</f>
        <v>3.863705968416687E-2</v>
      </c>
      <c r="AD6">
        <f>AD17/Drivers!AE4</f>
        <v>3.9723268224488482E-2</v>
      </c>
      <c r="AE6">
        <f>AD6*(1+Constants!H27)</f>
        <v>4.5681758458161754E-2</v>
      </c>
      <c r="AF6">
        <f>AE6*(1+Constants!I27)</f>
        <v>5.1163569473141171E-2</v>
      </c>
      <c r="AG6">
        <f>AF6*(1+Constants!J27)</f>
        <v>5.627992642045529E-2</v>
      </c>
      <c r="AI6">
        <f>SLOPE(W6:AG6,LN($W$4:$AG$4))</f>
        <v>4.179911721824052E-2</v>
      </c>
      <c r="AJ6">
        <f>INTERCEPT(W6:AG6,LN($W$4:$AG$4))</f>
        <v>0.43622201533276106</v>
      </c>
    </row>
    <row r="7" spans="1:42" x14ac:dyDescent="0.25">
      <c r="A7" t="str">
        <f>'Intermediate calculations'!A17</f>
        <v>Lamb consumption</v>
      </c>
      <c r="B7" t="str">
        <f>'Intermediate calculations'!B17</f>
        <v>t/capita</v>
      </c>
      <c r="C7">
        <f>C22/Drivers!D4</f>
        <v>4.6999349927469751E-3</v>
      </c>
      <c r="D7">
        <f>D22/Drivers!E4</f>
        <v>5.1337590256356549E-3</v>
      </c>
      <c r="E7">
        <f>E22/Drivers!F4</f>
        <v>4.8370155133322145E-3</v>
      </c>
      <c r="F7">
        <f>F22/Drivers!G4</f>
        <v>4.4825432869713315E-3</v>
      </c>
      <c r="G7">
        <f>G22/Drivers!H4</f>
        <v>3.615022845716697E-3</v>
      </c>
      <c r="H7">
        <f>H22/Drivers!I4</f>
        <v>2.6769149486779026E-3</v>
      </c>
      <c r="I7">
        <f>I22/Drivers!J4</f>
        <v>3.1822155014234865E-3</v>
      </c>
      <c r="J7">
        <f>J22/Drivers!K4</f>
        <v>3.1050915056369576E-3</v>
      </c>
      <c r="K7">
        <f>K22/Drivers!L4</f>
        <v>3.1202598034076076E-3</v>
      </c>
      <c r="L7">
        <f>L22/Drivers!M4</f>
        <v>3.2648794977318042E-3</v>
      </c>
      <c r="M7">
        <f>M22/Drivers!N4</f>
        <v>3.4073339917613768E-3</v>
      </c>
      <c r="N7">
        <f>N22/Drivers!O4</f>
        <v>3.2796976446170891E-3</v>
      </c>
      <c r="O7">
        <f>O22/Drivers!P4</f>
        <v>2.9737223183428679E-3</v>
      </c>
      <c r="P7">
        <f>P22/Drivers!Q4</f>
        <v>2.9375505520257668E-3</v>
      </c>
      <c r="Q7">
        <f>Q22/Drivers!R4</f>
        <v>3.0411313973028199E-3</v>
      </c>
      <c r="R7">
        <f>R22/Drivers!S4</f>
        <v>3.2982042142704099E-3</v>
      </c>
      <c r="S7">
        <f>S22/Drivers!T4</f>
        <v>3.4118755583558893E-3</v>
      </c>
      <c r="T7">
        <f>T22/Drivers!U4</f>
        <v>3.8847910471221979E-3</v>
      </c>
      <c r="U7">
        <f>U22/Drivers!V4</f>
        <v>3.5689411002378874E-3</v>
      </c>
      <c r="V7">
        <f>V22/Drivers!W4</f>
        <v>3.3520209823834457E-3</v>
      </c>
      <c r="W7">
        <f>W22/Drivers!X4</f>
        <v>3.1934731625248227E-3</v>
      </c>
      <c r="X7">
        <f>X22/Drivers!Y4</f>
        <v>2.8016982945137554E-3</v>
      </c>
      <c r="Y7">
        <f>Y22/Drivers!Z4</f>
        <v>2.7828276773694026E-3</v>
      </c>
      <c r="Z7">
        <f>Z22/Drivers!AA4</f>
        <v>3.0036995406173411E-3</v>
      </c>
      <c r="AA7">
        <f>AA22/Drivers!AB4</f>
        <v>3.2725925925925926E-3</v>
      </c>
      <c r="AB7">
        <f>AB22/Drivers!AC4</f>
        <v>3.3293934348736548E-3</v>
      </c>
      <c r="AC7">
        <f>AC22/Drivers!AD4</f>
        <v>3.2628869688124738E-3</v>
      </c>
      <c r="AD7">
        <f>AD22/Drivers!AE4</f>
        <v>3.146903586936822E-3</v>
      </c>
      <c r="AE7">
        <f>AD7*(1+Constants!H29)</f>
        <v>3.4615939456305047E-3</v>
      </c>
      <c r="AF7">
        <f>AE7*(1+Constants!I29)</f>
        <v>3.7385214612809452E-3</v>
      </c>
      <c r="AG7">
        <f>AF7*(1+Constants!J29)</f>
        <v>3.9628327489578024E-3</v>
      </c>
      <c r="AI7">
        <f>SLOPE(M7:AD7,$M$4:$AD$4)</f>
        <v>1.5333494323926165</v>
      </c>
      <c r="AJ7">
        <f>INTERCEPT(M7:AD7,$M$4:$AD$4)</f>
        <v>3.1156826667941514E-3</v>
      </c>
    </row>
    <row r="8" spans="1:42" x14ac:dyDescent="0.25">
      <c r="A8" t="str">
        <f>'Intermediate calculations'!A19</f>
        <v>Chevon consumption</v>
      </c>
      <c r="B8" t="str">
        <f>'Intermediate calculations'!B19</f>
        <v>t/capita</v>
      </c>
      <c r="C8">
        <f>C21/Drivers!D4</f>
        <v>2.9999585060087078E-4</v>
      </c>
      <c r="D8">
        <f>D21/Drivers!E4</f>
        <v>3.2768674631716946E-4</v>
      </c>
      <c r="E8">
        <f>E21/Drivers!F4</f>
        <v>3.0874567106375841E-4</v>
      </c>
      <c r="F8">
        <f>F21/Drivers!G4</f>
        <v>2.8611978427476583E-4</v>
      </c>
      <c r="G8">
        <f>G21/Drivers!H4</f>
        <v>2.3074613908829981E-4</v>
      </c>
      <c r="H8">
        <f>H21/Drivers!I4</f>
        <v>1.7086691161773848E-4</v>
      </c>
      <c r="I8">
        <f>I21/Drivers!J4</f>
        <v>2.0312013838873316E-4</v>
      </c>
      <c r="J8">
        <f>J21/Drivers!K4</f>
        <v>1.9819733014703986E-4</v>
      </c>
      <c r="K8">
        <f>K21/Drivers!L4</f>
        <v>1.9916551936644304E-4</v>
      </c>
      <c r="L8">
        <f>L21/Drivers!M4</f>
        <v>2.0839656368500879E-4</v>
      </c>
      <c r="M8">
        <f>M21/Drivers!N4</f>
        <v>2.1748940372944957E-4</v>
      </c>
      <c r="N8">
        <f>N21/Drivers!O4</f>
        <v>2.093424028478993E-4</v>
      </c>
      <c r="O8">
        <f>O21/Drivers!P4</f>
        <v>1.8981206287294901E-4</v>
      </c>
      <c r="P8">
        <f>P21/Drivers!Q4</f>
        <v>1.8750322672504894E-4</v>
      </c>
      <c r="Q8">
        <f>Q21/Drivers!R4</f>
        <v>1.941147700406055E-4</v>
      </c>
      <c r="R8">
        <f>R21/Drivers!S4</f>
        <v>2.1052367325130275E-4</v>
      </c>
      <c r="S8">
        <f>S21/Drivers!T4</f>
        <v>2.1777929095888654E-4</v>
      </c>
      <c r="T8">
        <f>T21/Drivers!U4</f>
        <v>2.4796538598652329E-4</v>
      </c>
      <c r="U8">
        <f>U21/Drivers!V4</f>
        <v>2.2780475107901408E-4</v>
      </c>
      <c r="V8">
        <f>V21/Drivers!W4</f>
        <v>2.1395878610958166E-4</v>
      </c>
      <c r="W8">
        <f>W21/Drivers!X4</f>
        <v>2.0383871250158445E-4</v>
      </c>
      <c r="X8">
        <f>X21/Drivers!Y4</f>
        <v>1.788318060327929E-4</v>
      </c>
      <c r="Y8">
        <f>Y21/Drivers!Z4</f>
        <v>1.776272985554938E-4</v>
      </c>
      <c r="Z8">
        <f>Z21/Drivers!AA4</f>
        <v>1.9172550259259624E-4</v>
      </c>
      <c r="AA8">
        <f>AA21/Drivers!AB4</f>
        <v>2.0888888888888888E-4</v>
      </c>
      <c r="AB8">
        <f>AB21/Drivers!AC4</f>
        <v>2.125144745664035E-4</v>
      </c>
      <c r="AC8">
        <f>AC21/Drivers!AD4</f>
        <v>2.0826938098803024E-4</v>
      </c>
      <c r="AD8">
        <f>AD21/Drivers!AE4</f>
        <v>2.0086618640022269E-4</v>
      </c>
      <c r="AE8">
        <f>AD8*(1+Constants!H30)</f>
        <v>2.2095280504024498E-4</v>
      </c>
      <c r="AF8">
        <f>AE8*(1+Constants!I30)</f>
        <v>2.3862902944346459E-4</v>
      </c>
      <c r="AG8">
        <f>AF8*(1+Constants!J30)</f>
        <v>2.5294677121007246E-4</v>
      </c>
      <c r="AI8">
        <f t="shared" ref="AI8:AI12" si="0">SLOPE(M8:AD8,$M$4:$AD$4)</f>
        <v>9.7873368025061497E-2</v>
      </c>
      <c r="AJ8">
        <f t="shared" ref="AJ8:AJ12" si="1">INTERCEPT(M8:AD8,$M$4:$AD$4)</f>
        <v>1.9887336171026495E-4</v>
      </c>
    </row>
    <row r="9" spans="1:42" x14ac:dyDescent="0.25">
      <c r="A9" t="str">
        <f>'Intermediate calculations'!A26</f>
        <v>Pork consumption</v>
      </c>
      <c r="B9" t="str">
        <f>'Intermediate calculations'!B26</f>
        <v>t/capita</v>
      </c>
      <c r="C9">
        <f>C24/Drivers!D4</f>
        <v>3.3966921490134823E-3</v>
      </c>
      <c r="D9">
        <f>D24/Drivers!E4</f>
        <v>3.446543448319744E-3</v>
      </c>
      <c r="E9">
        <f>E24/Drivers!F4</f>
        <v>2.8961067972479849E-3</v>
      </c>
      <c r="F9">
        <f>F24/Drivers!G4</f>
        <v>3.2548017787870187E-3</v>
      </c>
      <c r="G9">
        <f>G24/Drivers!H4</f>
        <v>3.0075885650398052E-3</v>
      </c>
      <c r="H9">
        <f>H24/Drivers!I4</f>
        <v>2.9925843277683012E-3</v>
      </c>
      <c r="I9">
        <f>I24/Drivers!J4</f>
        <v>3.1012515301776277E-3</v>
      </c>
      <c r="J9">
        <f>J24/Drivers!K4</f>
        <v>3.0939254588681106E-3</v>
      </c>
      <c r="K9">
        <f>K24/Drivers!L4</f>
        <v>2.9760364962801832E-3</v>
      </c>
      <c r="L9">
        <f>L24/Drivers!M4</f>
        <v>2.8417713229773925E-3</v>
      </c>
      <c r="M9">
        <f>M24/Drivers!N4</f>
        <v>2.9132016245969217E-3</v>
      </c>
      <c r="N9">
        <f>N24/Drivers!O4</f>
        <v>2.5235195311853692E-3</v>
      </c>
      <c r="O9">
        <f>O24/Drivers!P4</f>
        <v>2.665169375955791E-3</v>
      </c>
      <c r="P9">
        <f>P24/Drivers!Q4</f>
        <v>3.125053778750816E-3</v>
      </c>
      <c r="Q9">
        <f>Q24/Drivers!R4</f>
        <v>3.6792995628611501E-3</v>
      </c>
      <c r="R9">
        <f>R24/Drivers!S4</f>
        <v>3.801121878148522E-3</v>
      </c>
      <c r="S9">
        <f>S24/Drivers!T4</f>
        <v>3.9802465108963164E-3</v>
      </c>
      <c r="T9">
        <f>T24/Drivers!U4</f>
        <v>4.1938316513320025E-3</v>
      </c>
      <c r="U9">
        <f>U24/Drivers!V4</f>
        <v>3.9775432728081823E-3</v>
      </c>
      <c r="V9">
        <f>V24/Drivers!W4</f>
        <v>3.9423887440561802E-3</v>
      </c>
      <c r="W9">
        <f>W24/Drivers!X4</f>
        <v>4.1978278915556179E-3</v>
      </c>
      <c r="X9">
        <f>X24/Drivers!Y4</f>
        <v>4.4419513111371139E-3</v>
      </c>
      <c r="Y9">
        <f>Y24/Drivers!Z4</f>
        <v>4.4689670655681558E-3</v>
      </c>
      <c r="Z9">
        <f>Z24/Drivers!AA4</f>
        <v>4.578240558984998E-3</v>
      </c>
      <c r="AA9">
        <f>AA24/Drivers!AB4</f>
        <v>4.3703703703703699E-3</v>
      </c>
      <c r="AB9">
        <f>AB24/Drivers!AC4</f>
        <v>4.6613710310765529E-3</v>
      </c>
      <c r="AC9">
        <f>AC24/Drivers!AD4</f>
        <v>4.7796550785211131E-3</v>
      </c>
      <c r="AD9">
        <f>AD24/Drivers!AE4</f>
        <v>4.5716856044495128E-3</v>
      </c>
      <c r="AE9">
        <f>AD9*(1+Constants!H31)</f>
        <v>5.5774564374284057E-3</v>
      </c>
      <c r="AF9">
        <f>AE9*(1+Constants!I31)</f>
        <v>6.5813985961655184E-3</v>
      </c>
      <c r="AG9">
        <f>AF9*(1+Constants!J31)</f>
        <v>7.5686083855903453E-3</v>
      </c>
      <c r="AI9">
        <f>SLOPE(M9:AG9,LN($M$4:$AG$4))</f>
        <v>6.941148406419244E-3</v>
      </c>
      <c r="AJ9">
        <f>INTERCEPT(M9:AG9,LN($M$4:$AG$4))</f>
        <v>7.0650084343435324E-2</v>
      </c>
    </row>
    <row r="10" spans="1:42" x14ac:dyDescent="0.25">
      <c r="A10" t="str">
        <f>'Intermediate calculations'!A31</f>
        <v>Egg consumption</v>
      </c>
      <c r="B10" t="str">
        <f>'Intermediate calculations'!B31</f>
        <v>t/capita</v>
      </c>
      <c r="C10">
        <f>C26/Drivers!D4</f>
        <v>5.6792692731505428E-3</v>
      </c>
      <c r="D10">
        <f>D26/Drivers!E4</f>
        <v>5.6735407533878863E-3</v>
      </c>
      <c r="E10">
        <f>E26/Drivers!F4</f>
        <v>5.7663554980919695E-3</v>
      </c>
      <c r="F10">
        <f>F26/Drivers!G4</f>
        <v>5.5003626959346519E-3</v>
      </c>
      <c r="G10">
        <f>G26/Drivers!H4</f>
        <v>5.7440011119202841E-3</v>
      </c>
      <c r="H10">
        <f>H26/Drivers!I4</f>
        <v>6.5643785254272408E-3</v>
      </c>
      <c r="I10">
        <f>I26/Drivers!J4</f>
        <v>6.2261767361581379E-3</v>
      </c>
      <c r="J10">
        <f>J26/Drivers!K4</f>
        <v>6.8159410484838825E-3</v>
      </c>
      <c r="K10">
        <f>K26/Drivers!L4</f>
        <v>6.9135617067431947E-3</v>
      </c>
      <c r="L10">
        <f>L26/Drivers!M4</f>
        <v>6.7435684569066689E-3</v>
      </c>
      <c r="M10">
        <f>M26/Drivers!N4</f>
        <v>6.8938359055347002E-3</v>
      </c>
      <c r="N10">
        <f>N26/Drivers!O4</f>
        <v>6.7586436139573363E-3</v>
      </c>
      <c r="O10">
        <f>O26/Drivers!P4</f>
        <v>6.7820976802777447E-3</v>
      </c>
      <c r="P10">
        <f>P26/Drivers!Q4</f>
        <v>6.5283657706780738E-3</v>
      </c>
      <c r="Q10">
        <f>Q26/Drivers!R4</f>
        <v>6.9568365297776923E-3</v>
      </c>
      <c r="R10">
        <f>R26/Drivers!S4</f>
        <v>7.456046760983639E-3</v>
      </c>
      <c r="S10">
        <f>S26/Drivers!T4</f>
        <v>8.0842312552920001E-3</v>
      </c>
      <c r="T10">
        <f>T26/Drivers!U4</f>
        <v>8.4690969269617146E-3</v>
      </c>
      <c r="U10">
        <f>U26/Drivers!V4</f>
        <v>8.1157953647197252E-3</v>
      </c>
      <c r="V10">
        <f>V26/Drivers!W4</f>
        <v>7.5083685125492076E-3</v>
      </c>
      <c r="W10">
        <f>W26/Drivers!X4</f>
        <v>7.5365654239091563E-3</v>
      </c>
      <c r="X10">
        <f>X26/Drivers!Y4</f>
        <v>8.191650469889223E-3</v>
      </c>
      <c r="Y10">
        <f>Y26/Drivers!Z4</f>
        <v>8.4288113008817115E-3</v>
      </c>
      <c r="Z10">
        <f>Z26/Drivers!AA4</f>
        <v>8.0913394369000174E-3</v>
      </c>
      <c r="AA10">
        <f>AA26/Drivers!AB4</f>
        <v>7.7407407407407407E-3</v>
      </c>
      <c r="AB10">
        <f>AB26/Drivers!AC4</f>
        <v>8.0381122504390948E-3</v>
      </c>
      <c r="AC10">
        <f>AC26/Drivers!AD4</f>
        <v>8.0145547134137293E-3</v>
      </c>
      <c r="AD10">
        <f>AD26/Drivers!AE4</f>
        <v>7.4154900355637762E-3</v>
      </c>
      <c r="AE10">
        <f>AD10*(1+Constants!H32)</f>
        <v>8.8985880426765314E-3</v>
      </c>
      <c r="AF10">
        <f>AE10*(1+Constants!I32)</f>
        <v>1.0322362129504777E-2</v>
      </c>
      <c r="AG10">
        <f>AF10*(1+Constants!J32)</f>
        <v>1.1664269206340396E-2</v>
      </c>
      <c r="AI10">
        <f>SLOPE(M10:AG10,LN($M$4:$AG$4))</f>
        <v>6.8056257703902751E-3</v>
      </c>
      <c r="AJ10">
        <f>INTERCEPT(M10:AG10,LN($M$4:$AG$4))</f>
        <v>7.3035712737029163E-2</v>
      </c>
    </row>
    <row r="11" spans="1:42" x14ac:dyDescent="0.25">
      <c r="A11" t="str">
        <f>'Intermediate calculations'!A35</f>
        <v>Chicken consumption</v>
      </c>
      <c r="B11" t="str">
        <f>'Intermediate calculations'!B35</f>
        <v>t/capita</v>
      </c>
      <c r="C11">
        <f>C28/Drivers!D4</f>
        <v>1.6439990001225254E-2</v>
      </c>
      <c r="D11">
        <f>D28/Drivers!E4</f>
        <v>1.5721540498873907E-2</v>
      </c>
      <c r="E11">
        <f>E28/Drivers!F4</f>
        <v>1.4764973046683923E-2</v>
      </c>
      <c r="F11">
        <f>F28/Drivers!G4</f>
        <v>1.4633992493771092E-2</v>
      </c>
      <c r="G11">
        <f>G28/Drivers!H4</f>
        <v>1.5013290459911816E-2</v>
      </c>
      <c r="H11">
        <f>H28/Drivers!I4</f>
        <v>1.5976538911150123E-2</v>
      </c>
      <c r="I11">
        <f>I28/Drivers!J4</f>
        <v>1.7471172742527397E-2</v>
      </c>
      <c r="J11">
        <f>J28/Drivers!K4</f>
        <v>1.9214905481391424E-2</v>
      </c>
      <c r="K11">
        <f>K28/Drivers!L4</f>
        <v>1.9550270521717511E-2</v>
      </c>
      <c r="L11">
        <f>L28/Drivers!M4</f>
        <v>1.9711969335573339E-2</v>
      </c>
      <c r="M11">
        <f>M28/Drivers!N4</f>
        <v>2.0614793175582798E-2</v>
      </c>
      <c r="N11">
        <f>N28/Drivers!O4</f>
        <v>2.0583141915233708E-2</v>
      </c>
      <c r="O11">
        <f>O28/Drivers!P4</f>
        <v>2.0909662177214131E-2</v>
      </c>
      <c r="P11">
        <f>P28/Drivers!Q4</f>
        <v>2.2089421230622203E-2</v>
      </c>
      <c r="Q11">
        <f>Q28/Drivers!R4</f>
        <v>2.5289898144723769E-2</v>
      </c>
      <c r="R11">
        <f>R28/Drivers!S4</f>
        <v>3.0388089740143405E-2</v>
      </c>
      <c r="S11">
        <f>S28/Drivers!T4</f>
        <v>3.4316736757157879E-2</v>
      </c>
      <c r="T11">
        <f>T28/Drivers!U4</f>
        <v>3.5973303533512857E-2</v>
      </c>
      <c r="U11">
        <f>U28/Drivers!V4</f>
        <v>3.6420636129299161E-2</v>
      </c>
      <c r="V11">
        <f>V28/Drivers!W4</f>
        <v>3.6472048632198134E-2</v>
      </c>
      <c r="W11">
        <f>W28/Drivers!X4</f>
        <v>3.6843261541234656E-2</v>
      </c>
      <c r="X11">
        <f>X28/Drivers!Y4</f>
        <v>3.8208472966361234E-2</v>
      </c>
      <c r="Y11">
        <f>Y28/Drivers!Z4</f>
        <v>3.8617909494867438E-2</v>
      </c>
      <c r="Z11">
        <f>Z28/Drivers!AA4</f>
        <v>3.8513280783951352E-2</v>
      </c>
      <c r="AA11">
        <f>AA28/Drivers!AB4</f>
        <v>3.7314814814814815E-2</v>
      </c>
      <c r="AB11">
        <f>AB28/Drivers!AC4</f>
        <v>3.8098449844546946E-2</v>
      </c>
      <c r="AC11">
        <f>AC28/Drivers!AD4</f>
        <v>3.9981905599796384E-2</v>
      </c>
      <c r="AD11">
        <f>AD28/Drivers!AE4</f>
        <v>3.878733258893189E-2</v>
      </c>
      <c r="AE11">
        <f>AD11*(1+Constants!H33)</f>
        <v>4.6544799106718264E-2</v>
      </c>
      <c r="AF11">
        <f>AE11*(1+Constants!I33)</f>
        <v>5.399196696379318E-2</v>
      </c>
      <c r="AG11">
        <f>AF11*(1+Constants!J33)</f>
        <v>6.1010922669086289E-2</v>
      </c>
      <c r="AI11">
        <f>SLOPE(M11:AG11,LN($M$4:$AG$4))</f>
        <v>6.030603450080424E-2</v>
      </c>
      <c r="AJ11">
        <f>INTERCEPT(M11:AG11,LN($M$4:$AG$4))</f>
        <v>0.61209916568724154</v>
      </c>
    </row>
    <row r="12" spans="1:42" x14ac:dyDescent="0.25">
      <c r="A12" t="str">
        <f>'Intermediate calculations'!A42</f>
        <v>Sorghum consumption (human)</v>
      </c>
      <c r="B12" t="str">
        <f>'Intermediate calculations'!B42</f>
        <v>t/capita</v>
      </c>
      <c r="C12">
        <f>C35/Drivers!D4</f>
        <v>5.2716662152689246E-3</v>
      </c>
      <c r="D12">
        <f>D35/Drivers!E4</f>
        <v>5.169815172479616E-3</v>
      </c>
      <c r="E12">
        <f>E35/Drivers!F4</f>
        <v>5.1457611843959729E-3</v>
      </c>
      <c r="F12">
        <f>F35/Drivers!G4</f>
        <v>5.0462043081969284E-3</v>
      </c>
      <c r="G12">
        <f>G35/Drivers!H4</f>
        <v>4.5360352128469197E-3</v>
      </c>
      <c r="H12">
        <f>H35/Drivers!I4</f>
        <v>4.4164752579161221E-3</v>
      </c>
      <c r="I12">
        <f>I35/Drivers!J4</f>
        <v>4.2849353203217606E-3</v>
      </c>
      <c r="J12">
        <f>J35/Drivers!K4</f>
        <v>4.164004940882645E-3</v>
      </c>
      <c r="K12">
        <f>K35/Drivers!L4</f>
        <v>4.0519881526276339E-3</v>
      </c>
      <c r="L12">
        <f>L35/Drivers!M4</f>
        <v>3.9581814855756533E-3</v>
      </c>
      <c r="M12">
        <f>M35/Drivers!N4</f>
        <v>3.8694433792356062E-3</v>
      </c>
      <c r="N12">
        <f>N35/Drivers!O4</f>
        <v>4.0815185460911186E-3</v>
      </c>
      <c r="O12">
        <f>O35/Drivers!P4</f>
        <v>4.1169283043219537E-3</v>
      </c>
      <c r="P12">
        <f>P35/Drivers!Q4</f>
        <v>3.7243791609769998E-3</v>
      </c>
      <c r="Q12">
        <f>Q35/Drivers!R4</f>
        <v>3.5735725639283586E-3</v>
      </c>
      <c r="R12">
        <f>R35/Drivers!S4</f>
        <v>3.7384660230142057E-3</v>
      </c>
      <c r="S12">
        <f>S35/Drivers!T4</f>
        <v>3.9390004330631945E-3</v>
      </c>
      <c r="T12">
        <f>T35/Drivers!U4</f>
        <v>3.7052299055457499E-3</v>
      </c>
      <c r="U12">
        <f>U35/Drivers!V4</f>
        <v>3.7163914417652206E-3</v>
      </c>
      <c r="V12">
        <f>V35/Drivers!W4</f>
        <v>3.5065467723514772E-3</v>
      </c>
      <c r="W12">
        <f>W35/Drivers!X4</f>
        <v>3.5925596839359707E-3</v>
      </c>
      <c r="X12">
        <f>X35/Drivers!Y4</f>
        <v>3.499719214835302E-3</v>
      </c>
      <c r="Y12">
        <f>Y35/Drivers!Z4</f>
        <v>3.4507214050589559E-3</v>
      </c>
      <c r="Z12">
        <f>Z35/Drivers!AA4</f>
        <v>2.9711846893004682E-3</v>
      </c>
      <c r="AA12">
        <f>AA35/Drivers!AB4</f>
        <v>3.0555555555555557E-3</v>
      </c>
      <c r="AB12">
        <f>AB35/Drivers!AC4</f>
        <v>2.8078337313177664E-3</v>
      </c>
      <c r="AC12">
        <f>AC35/Drivers!AD4</f>
        <v>2.7078654247134821E-3</v>
      </c>
      <c r="AD12">
        <f>AD35/Drivers!AE4</f>
        <v>2.8978007177809903E-3</v>
      </c>
      <c r="AI12">
        <f>SLOPE(W12:AB12,$W$4:$AB$4)</f>
        <v>-213.55375796517566</v>
      </c>
      <c r="AJ12">
        <f>INTERCEPT(W12:AB12,$W$4:$AB$4)</f>
        <v>1.8716678880019884E-2</v>
      </c>
    </row>
    <row r="13" spans="1:42" x14ac:dyDescent="0.25">
      <c r="A13" t="str">
        <f>'Intermediate calculations'!A5</f>
        <v>Beef consumption</v>
      </c>
      <c r="B13" t="str">
        <f>'Intermediate calculations'!B5</f>
        <v>t</v>
      </c>
      <c r="C13">
        <v>668000</v>
      </c>
      <c r="D13">
        <v>714000</v>
      </c>
      <c r="E13">
        <v>741000</v>
      </c>
      <c r="F13">
        <v>718000</v>
      </c>
      <c r="G13">
        <v>663000</v>
      </c>
      <c r="H13">
        <v>587000</v>
      </c>
      <c r="I13">
        <v>591000</v>
      </c>
      <c r="J13">
        <v>573000</v>
      </c>
      <c r="K13">
        <v>560000</v>
      </c>
      <c r="L13">
        <v>559000</v>
      </c>
      <c r="M13">
        <v>671000</v>
      </c>
      <c r="N13">
        <v>554000</v>
      </c>
      <c r="O13">
        <v>602000</v>
      </c>
      <c r="P13">
        <v>643000</v>
      </c>
      <c r="Q13">
        <v>675000</v>
      </c>
      <c r="R13">
        <v>723000</v>
      </c>
      <c r="S13">
        <v>825000</v>
      </c>
      <c r="T13">
        <v>865000</v>
      </c>
      <c r="U13">
        <v>767000</v>
      </c>
      <c r="V13">
        <v>784000</v>
      </c>
      <c r="W13">
        <v>880000</v>
      </c>
      <c r="X13">
        <v>879000</v>
      </c>
      <c r="Y13">
        <v>865000</v>
      </c>
      <c r="Z13">
        <v>910000</v>
      </c>
      <c r="AA13">
        <v>981000</v>
      </c>
      <c r="AB13">
        <v>1023000</v>
      </c>
      <c r="AC13">
        <v>1072000</v>
      </c>
      <c r="AD13">
        <v>1025000</v>
      </c>
      <c r="AE13" s="100"/>
      <c r="AF13" s="100"/>
      <c r="AG13" s="100"/>
    </row>
    <row r="14" spans="1:42" x14ac:dyDescent="0.25">
      <c r="A14" t="str">
        <f>'Intermediate calculations'!A8</f>
        <v>Beef production</v>
      </c>
      <c r="C14">
        <v>610300</v>
      </c>
      <c r="D14">
        <v>664900</v>
      </c>
      <c r="E14">
        <v>703500</v>
      </c>
      <c r="F14">
        <v>694000</v>
      </c>
      <c r="G14">
        <v>611200</v>
      </c>
      <c r="H14">
        <v>507500</v>
      </c>
      <c r="I14">
        <v>507000</v>
      </c>
      <c r="J14">
        <v>502400</v>
      </c>
      <c r="K14">
        <v>496300</v>
      </c>
      <c r="L14">
        <v>511700</v>
      </c>
      <c r="M14">
        <v>624600</v>
      </c>
      <c r="N14">
        <v>524300</v>
      </c>
      <c r="O14">
        <v>573400</v>
      </c>
      <c r="P14">
        <v>609700</v>
      </c>
      <c r="Q14">
        <v>631700</v>
      </c>
      <c r="R14">
        <v>672300</v>
      </c>
      <c r="S14">
        <v>808100</v>
      </c>
      <c r="T14">
        <v>861400</v>
      </c>
      <c r="U14">
        <v>770200</v>
      </c>
      <c r="V14">
        <v>796700</v>
      </c>
      <c r="W14">
        <v>885800</v>
      </c>
      <c r="X14">
        <v>869500</v>
      </c>
      <c r="Y14">
        <v>852100</v>
      </c>
      <c r="Z14">
        <v>904500</v>
      </c>
      <c r="AA14">
        <v>982600</v>
      </c>
      <c r="AB14">
        <v>1037900</v>
      </c>
      <c r="AC14">
        <v>1090900</v>
      </c>
      <c r="AD14">
        <v>1046300</v>
      </c>
      <c r="AE14">
        <f>'Intermediate calculations'!AQ8</f>
        <v>1288864.2413746878</v>
      </c>
      <c r="AF14">
        <f>'Intermediate calculations'!BA8</f>
        <v>1886490.1641199272</v>
      </c>
      <c r="AG14">
        <f>'Intermediate calculations'!BK8</f>
        <v>2680998.0820175325</v>
      </c>
      <c r="AI14">
        <f>SLOPE(W14:AD14,W13:AD13)</f>
        <v>1.1425667845690142</v>
      </c>
      <c r="AJ14">
        <f>INTERCEPT(W14:AD14,W13:AD13)</f>
        <v>-131737.17502305284</v>
      </c>
    </row>
    <row r="15" spans="1:42" x14ac:dyDescent="0.25">
      <c r="A15" t="s">
        <v>845</v>
      </c>
      <c r="C15">
        <f>C16/C14</f>
        <v>13.234638702277568</v>
      </c>
      <c r="D15">
        <f>D16/D14</f>
        <v>11.705309069032937</v>
      </c>
      <c r="E15">
        <f>E16/E14</f>
        <v>11.059687277896233</v>
      </c>
      <c r="F15">
        <f>F16/F14</f>
        <v>10.605403458213257</v>
      </c>
      <c r="G15">
        <f>G16/G14</f>
        <v>12.343013743455497</v>
      </c>
      <c r="H15">
        <f>H16/H14</f>
        <v>15.146660098522167</v>
      </c>
      <c r="I15">
        <f>I16/I14</f>
        <v>15.687455621301774</v>
      </c>
      <c r="J15">
        <f>J16/J14</f>
        <v>16.335788216560509</v>
      </c>
      <c r="K15">
        <f>K16/K14</f>
        <v>16.657807777553899</v>
      </c>
      <c r="L15">
        <f>L16/L14</f>
        <v>15.934883720930232</v>
      </c>
      <c r="M15">
        <f>M16/M14</f>
        <v>12.304787063720781</v>
      </c>
      <c r="N15">
        <f>N16/N14</f>
        <v>14.722410833492276</v>
      </c>
      <c r="O15">
        <f>O16/O14</f>
        <v>12.695866759679108</v>
      </c>
      <c r="P15">
        <f>P16/P14</f>
        <v>12.198245038543545</v>
      </c>
      <c r="Q15">
        <f>Q16/Q14</f>
        <v>11.863574481557702</v>
      </c>
      <c r="R15">
        <f>R16/R14</f>
        <v>11.225792057117358</v>
      </c>
      <c r="S15">
        <f>S16/S14</f>
        <v>9.1620839005073638</v>
      </c>
      <c r="T15">
        <f>T16/T14</f>
        <v>8.8041328070582772</v>
      </c>
      <c r="U15">
        <f>U16/U14</f>
        <v>9.5060964684497531</v>
      </c>
      <c r="V15">
        <f>V16/V14</f>
        <v>9.0967476256223581</v>
      </c>
      <c r="W15">
        <f>W16/W14</f>
        <v>8.1569029878828943</v>
      </c>
      <c r="X15">
        <f>X16/X14</f>
        <v>8.4987697910676623</v>
      </c>
      <c r="Y15">
        <f>Y16/Y14</f>
        <v>10.043641982552909</v>
      </c>
      <c r="Z15">
        <f>Z16/Z14</f>
        <v>8.1860232172470973</v>
      </c>
      <c r="AA15">
        <f>AA16/AA14</f>
        <v>7.7294015876246691</v>
      </c>
      <c r="AB15">
        <f>AB16/AB14</f>
        <v>7.2373639078909333</v>
      </c>
      <c r="AC15">
        <f>AC16/AC14</f>
        <v>6.7059968833073613</v>
      </c>
      <c r="AD15">
        <f>AD16/AD14</f>
        <v>6.6856350950970089</v>
      </c>
      <c r="AE15">
        <f>-11.99*LN(AE14)+172.64</f>
        <v>3.9494292537208935</v>
      </c>
      <c r="AF15">
        <f>AE15</f>
        <v>3.9494292537208935</v>
      </c>
      <c r="AG15">
        <f>AF15</f>
        <v>3.9494292537208935</v>
      </c>
      <c r="AI15">
        <f>SLOPE(M15:AD15,M14:AD14)</f>
        <v>-1.2952697109692622E-5</v>
      </c>
      <c r="AJ15">
        <f>INTERCEPT(M15:AD15,M14:AD14)</f>
        <v>20.176755214309402</v>
      </c>
    </row>
    <row r="16" spans="1:42" x14ac:dyDescent="0.25">
      <c r="A16" t="s">
        <v>844</v>
      </c>
      <c r="B16" t="s">
        <v>138</v>
      </c>
      <c r="C16">
        <f>C44+(C46*3)</f>
        <v>8077100</v>
      </c>
      <c r="D16">
        <f t="shared" ref="D16:AD16" si="2">D44+(D46*3)</f>
        <v>7782860</v>
      </c>
      <c r="E16">
        <f t="shared" si="2"/>
        <v>7780490</v>
      </c>
      <c r="F16">
        <f t="shared" si="2"/>
        <v>7360150</v>
      </c>
      <c r="G16">
        <f t="shared" si="2"/>
        <v>7544050</v>
      </c>
      <c r="H16">
        <f t="shared" si="2"/>
        <v>7686930</v>
      </c>
      <c r="I16">
        <f t="shared" si="2"/>
        <v>7953540</v>
      </c>
      <c r="J16">
        <f t="shared" si="2"/>
        <v>8207100</v>
      </c>
      <c r="K16">
        <f t="shared" si="2"/>
        <v>8267270</v>
      </c>
      <c r="L16">
        <f t="shared" si="2"/>
        <v>8153880</v>
      </c>
      <c r="M16">
        <f t="shared" si="2"/>
        <v>7685570</v>
      </c>
      <c r="N16">
        <f t="shared" si="2"/>
        <v>7718960</v>
      </c>
      <c r="O16">
        <f t="shared" si="2"/>
        <v>7279810</v>
      </c>
      <c r="P16">
        <f t="shared" si="2"/>
        <v>7437270</v>
      </c>
      <c r="Q16">
        <f t="shared" si="2"/>
        <v>7494220</v>
      </c>
      <c r="R16">
        <f t="shared" si="2"/>
        <v>7547100</v>
      </c>
      <c r="S16">
        <f t="shared" si="2"/>
        <v>7403880</v>
      </c>
      <c r="T16">
        <f t="shared" si="2"/>
        <v>7583880</v>
      </c>
      <c r="U16">
        <f t="shared" si="2"/>
        <v>7321595.5</v>
      </c>
      <c r="V16">
        <f t="shared" si="2"/>
        <v>7247378.833333333</v>
      </c>
      <c r="W16">
        <f t="shared" si="2"/>
        <v>7225384.666666667</v>
      </c>
      <c r="X16">
        <f t="shared" si="2"/>
        <v>7389680.333333333</v>
      </c>
      <c r="Y16">
        <f t="shared" si="2"/>
        <v>8558187.333333334</v>
      </c>
      <c r="Z16">
        <f t="shared" si="2"/>
        <v>7404258</v>
      </c>
      <c r="AA16">
        <f t="shared" si="2"/>
        <v>7594910</v>
      </c>
      <c r="AB16">
        <f t="shared" si="2"/>
        <v>7511660</v>
      </c>
      <c r="AC16">
        <f t="shared" si="2"/>
        <v>7315572</v>
      </c>
      <c r="AD16">
        <f t="shared" si="2"/>
        <v>6995180</v>
      </c>
      <c r="AI16">
        <f>SLOPE(M14:AD14,M15:AD15)</f>
        <v>-72516.280822264976</v>
      </c>
      <c r="AJ16">
        <f>INTERCEPT(M14:AD14,M15:AD15)</f>
        <v>1512197.1125163175</v>
      </c>
    </row>
    <row r="17" spans="1:36" x14ac:dyDescent="0.25">
      <c r="A17" t="str">
        <f>'Intermediate calculations'!A10</f>
        <v>Milk consumption</v>
      </c>
      <c r="B17" t="str">
        <f>'Intermediate calculations'!B10</f>
        <v>t</v>
      </c>
      <c r="C17">
        <v>1167000</v>
      </c>
      <c r="D17">
        <v>1153000</v>
      </c>
      <c r="E17">
        <v>1174000</v>
      </c>
      <c r="F17">
        <v>1092000</v>
      </c>
      <c r="G17">
        <v>1088000</v>
      </c>
      <c r="H17">
        <v>1397000</v>
      </c>
      <c r="I17">
        <v>1487000</v>
      </c>
      <c r="J17">
        <v>1571000</v>
      </c>
      <c r="K17">
        <v>1608000</v>
      </c>
      <c r="L17">
        <v>1606000</v>
      </c>
      <c r="M17">
        <v>1284000</v>
      </c>
      <c r="N17">
        <v>1575000</v>
      </c>
      <c r="O17">
        <v>1611000</v>
      </c>
      <c r="P17">
        <v>1528000</v>
      </c>
      <c r="Q17">
        <v>1626000</v>
      </c>
      <c r="R17">
        <v>1835000</v>
      </c>
      <c r="S17">
        <v>1697000</v>
      </c>
      <c r="T17">
        <v>1799000</v>
      </c>
      <c r="U17">
        <v>1819000</v>
      </c>
      <c r="V17">
        <v>1788000</v>
      </c>
      <c r="W17">
        <v>1868000</v>
      </c>
      <c r="X17">
        <v>1852000</v>
      </c>
      <c r="Y17">
        <v>1916000</v>
      </c>
      <c r="Z17">
        <v>1931000</v>
      </c>
      <c r="AA17">
        <v>1976000</v>
      </c>
      <c r="AB17">
        <v>2121000</v>
      </c>
      <c r="AC17">
        <v>2126000</v>
      </c>
      <c r="AD17">
        <v>2207000</v>
      </c>
    </row>
    <row r="18" spans="1:36" x14ac:dyDescent="0.25">
      <c r="A18" t="str">
        <f>'Intermediate calculations'!A13</f>
        <v>Milk production</v>
      </c>
      <c r="B18" t="str">
        <f>'Intermediate calculations'!B13</f>
        <v>t</v>
      </c>
      <c r="C18">
        <v>2119000</v>
      </c>
      <c r="D18">
        <v>2163000</v>
      </c>
      <c r="E18">
        <v>2107000</v>
      </c>
      <c r="F18">
        <v>2002000</v>
      </c>
      <c r="G18">
        <v>2006000</v>
      </c>
      <c r="H18">
        <v>2297000</v>
      </c>
      <c r="I18">
        <v>2450000</v>
      </c>
      <c r="J18">
        <v>2437000</v>
      </c>
      <c r="K18">
        <v>2501000</v>
      </c>
      <c r="L18">
        <v>2543000</v>
      </c>
      <c r="M18">
        <v>2370000</v>
      </c>
      <c r="N18">
        <v>2358000</v>
      </c>
      <c r="O18">
        <v>2457000</v>
      </c>
      <c r="P18">
        <v>2354000</v>
      </c>
      <c r="Q18">
        <v>2505000</v>
      </c>
      <c r="R18">
        <v>2657000</v>
      </c>
      <c r="S18">
        <v>2513000</v>
      </c>
      <c r="T18">
        <v>2559000</v>
      </c>
      <c r="U18">
        <v>2625000</v>
      </c>
      <c r="V18">
        <v>2587000</v>
      </c>
      <c r="W18">
        <v>2711000</v>
      </c>
      <c r="X18">
        <v>2720000</v>
      </c>
      <c r="Y18">
        <v>2843000</v>
      </c>
      <c r="Z18">
        <v>2906000</v>
      </c>
      <c r="AA18">
        <v>2983000</v>
      </c>
      <c r="AB18">
        <v>3173000</v>
      </c>
      <c r="AC18">
        <v>3158000</v>
      </c>
      <c r="AD18">
        <v>3097986.6</v>
      </c>
      <c r="AI18">
        <f>SLOPE(M18:AD18,M17:AD17)</f>
        <v>1.0941524521183956</v>
      </c>
      <c r="AJ18">
        <f>INTERCEPT(M18:AD18,M17:AD17)</f>
        <v>719582.0506376198</v>
      </c>
    </row>
    <row r="19" spans="1:36" x14ac:dyDescent="0.25">
      <c r="A19" t="str">
        <f>'Intermediate calculations'!A14</f>
        <v>Dairy cattle</v>
      </c>
      <c r="B19" t="str">
        <f>'Intermediate calculations'!B14</f>
        <v>Head</v>
      </c>
      <c r="C19">
        <v>887480</v>
      </c>
      <c r="D19">
        <v>1021720.0000000001</v>
      </c>
      <c r="E19">
        <v>883920</v>
      </c>
      <c r="F19">
        <v>937480</v>
      </c>
      <c r="G19">
        <v>869680</v>
      </c>
      <c r="H19">
        <v>930360</v>
      </c>
      <c r="I19">
        <v>933920</v>
      </c>
      <c r="J19">
        <v>900360</v>
      </c>
      <c r="K19">
        <v>889680.00000000012</v>
      </c>
      <c r="L19">
        <v>873920</v>
      </c>
      <c r="M19">
        <v>1125280</v>
      </c>
      <c r="N19">
        <v>1121720</v>
      </c>
      <c r="O19">
        <v>978160.00000000012</v>
      </c>
      <c r="P19">
        <v>889680.00000000012</v>
      </c>
      <c r="Q19">
        <v>859000</v>
      </c>
      <c r="R19">
        <v>919680</v>
      </c>
      <c r="S19">
        <v>899680</v>
      </c>
      <c r="T19">
        <v>893240.00000000012</v>
      </c>
      <c r="U19">
        <v>1093920</v>
      </c>
      <c r="V19">
        <v>1121040</v>
      </c>
      <c r="W19">
        <v>1121040</v>
      </c>
      <c r="X19">
        <v>1080360</v>
      </c>
      <c r="Y19">
        <v>1040360.0000000001</v>
      </c>
      <c r="Z19">
        <v>1121720</v>
      </c>
      <c r="AA19">
        <v>1060360.0000000002</v>
      </c>
      <c r="AB19">
        <v>1073240</v>
      </c>
      <c r="AC19">
        <v>1113240.0000000002</v>
      </c>
      <c r="AD19">
        <v>1197480.0000000002</v>
      </c>
      <c r="AI19">
        <f>SLOPE(M19:AD19,M18:AD18)</f>
        <v>0.1766989978592953</v>
      </c>
      <c r="AJ19">
        <f>INTERCEPT(M19:AD19,M18:AD18)</f>
        <v>562538.61937531014</v>
      </c>
    </row>
    <row r="20" spans="1:36" x14ac:dyDescent="0.25">
      <c r="A20" t="str">
        <f>'Intermediate calculations'!A15</f>
        <v>Lamb and chevon consumption</v>
      </c>
      <c r="B20" t="str">
        <f>'Intermediate calculations'!B15</f>
        <v>t</v>
      </c>
      <c r="C20">
        <v>184000</v>
      </c>
      <c r="D20">
        <v>206000</v>
      </c>
      <c r="E20">
        <v>199000</v>
      </c>
      <c r="F20">
        <v>189000</v>
      </c>
      <c r="G20">
        <v>156000</v>
      </c>
      <c r="H20">
        <v>118000</v>
      </c>
      <c r="I20">
        <v>143000</v>
      </c>
      <c r="J20">
        <v>142000</v>
      </c>
      <c r="K20">
        <v>145000</v>
      </c>
      <c r="L20">
        <v>154000</v>
      </c>
      <c r="M20">
        <v>163000</v>
      </c>
      <c r="N20">
        <v>159000</v>
      </c>
      <c r="O20">
        <v>146000</v>
      </c>
      <c r="P20">
        <v>146000</v>
      </c>
      <c r="Q20">
        <v>153000</v>
      </c>
      <c r="R20">
        <v>168000</v>
      </c>
      <c r="S20">
        <v>176000</v>
      </c>
      <c r="T20">
        <v>203000</v>
      </c>
      <c r="U20">
        <v>189000</v>
      </c>
      <c r="V20">
        <v>180000</v>
      </c>
      <c r="W20">
        <v>174000</v>
      </c>
      <c r="X20">
        <v>155000</v>
      </c>
      <c r="Y20">
        <v>157000</v>
      </c>
      <c r="Z20">
        <v>171000</v>
      </c>
      <c r="AA20">
        <v>188000</v>
      </c>
      <c r="AB20">
        <v>193000</v>
      </c>
      <c r="AC20">
        <v>191000</v>
      </c>
      <c r="AD20">
        <v>186000</v>
      </c>
    </row>
    <row r="21" spans="1:36" x14ac:dyDescent="0.25">
      <c r="A21" t="str">
        <f>'Intermediate calculations'!A18</f>
        <v>Chevon consumption</v>
      </c>
      <c r="B21" t="str">
        <f>'Intermediate calculations'!B18</f>
        <v>t</v>
      </c>
      <c r="C21">
        <f>C20*Constants!$H$24</f>
        <v>11040</v>
      </c>
      <c r="D21">
        <f>D20*Constants!$H$24</f>
        <v>12360</v>
      </c>
      <c r="E21">
        <f>E20*Constants!$H$24</f>
        <v>11940</v>
      </c>
      <c r="F21">
        <f>F20*Constants!$H$24</f>
        <v>11340</v>
      </c>
      <c r="G21">
        <f>G20*Constants!$H$24</f>
        <v>9360</v>
      </c>
      <c r="H21">
        <f>H20*Constants!$H$24</f>
        <v>7080</v>
      </c>
      <c r="I21">
        <f>I20*Constants!$H$24</f>
        <v>8580</v>
      </c>
      <c r="J21">
        <f>J20*Constants!$H$24</f>
        <v>8520</v>
      </c>
      <c r="K21">
        <f>K20*Constants!$H$24</f>
        <v>8700</v>
      </c>
      <c r="L21">
        <f>L20*Constants!$H$24</f>
        <v>9240</v>
      </c>
      <c r="M21">
        <f>M20*Constants!$H$24</f>
        <v>9780</v>
      </c>
      <c r="N21">
        <f>N20*Constants!$H$24</f>
        <v>9540</v>
      </c>
      <c r="O21">
        <f>O20*Constants!$H$24</f>
        <v>8760</v>
      </c>
      <c r="P21">
        <f>P20*Constants!$H$24</f>
        <v>8760</v>
      </c>
      <c r="Q21">
        <f>Q20*Constants!$H$24</f>
        <v>9180</v>
      </c>
      <c r="R21">
        <f>R20*Constants!$H$24</f>
        <v>10080</v>
      </c>
      <c r="S21">
        <f>S20*Constants!$H$24</f>
        <v>10560</v>
      </c>
      <c r="T21">
        <f>T20*Constants!$H$24</f>
        <v>12180</v>
      </c>
      <c r="U21">
        <f>U20*Constants!$H$24</f>
        <v>11340</v>
      </c>
      <c r="V21">
        <f>V20*Constants!$H$24</f>
        <v>10800</v>
      </c>
      <c r="W21">
        <f>W20*Constants!$H$24</f>
        <v>10440</v>
      </c>
      <c r="X21">
        <f>X20*Constants!$H$24</f>
        <v>9300</v>
      </c>
      <c r="Y21">
        <f>Y20*Constants!$H$24</f>
        <v>9420</v>
      </c>
      <c r="Z21">
        <f>Z20*Constants!$H$24</f>
        <v>10260</v>
      </c>
      <c r="AA21">
        <f>AA20*Constants!$H$24</f>
        <v>11280</v>
      </c>
      <c r="AB21">
        <f>AB20*Constants!$H$24</f>
        <v>11580</v>
      </c>
      <c r="AC21">
        <f>AC20*Constants!$H$24</f>
        <v>11460</v>
      </c>
      <c r="AD21">
        <f>AD20*Constants!$H$24</f>
        <v>11160</v>
      </c>
    </row>
    <row r="22" spans="1:36" x14ac:dyDescent="0.25">
      <c r="A22" t="str">
        <f>'Intermediate calculations'!A16</f>
        <v>Lamb consumption</v>
      </c>
      <c r="B22" t="str">
        <f>'Intermediate calculations'!B16</f>
        <v>t</v>
      </c>
      <c r="C22">
        <f>C20-C21</f>
        <v>172960</v>
      </c>
      <c r="D22">
        <f>D20-D21</f>
        <v>193640</v>
      </c>
      <c r="E22">
        <f>E20-E21</f>
        <v>187060</v>
      </c>
      <c r="F22">
        <f>F20-F21</f>
        <v>177660</v>
      </c>
      <c r="G22">
        <f>G20-G21</f>
        <v>146640</v>
      </c>
      <c r="H22">
        <f>H20-H21</f>
        <v>110920</v>
      </c>
      <c r="I22">
        <f>I20-I21</f>
        <v>134420</v>
      </c>
      <c r="J22">
        <f>J20-J21</f>
        <v>133480</v>
      </c>
      <c r="K22">
        <f>K20-K21</f>
        <v>136300</v>
      </c>
      <c r="L22">
        <f>L20-L21</f>
        <v>144760</v>
      </c>
      <c r="M22">
        <f>M20-M21</f>
        <v>153220</v>
      </c>
      <c r="N22">
        <f>N20-N21</f>
        <v>149460</v>
      </c>
      <c r="O22">
        <f>O20-O21</f>
        <v>137240</v>
      </c>
      <c r="P22">
        <f>P20-P21</f>
        <v>137240</v>
      </c>
      <c r="Q22">
        <f>Q20-Q21</f>
        <v>143820</v>
      </c>
      <c r="R22">
        <f>R20-R21</f>
        <v>157920</v>
      </c>
      <c r="S22">
        <f>S20-S21</f>
        <v>165440</v>
      </c>
      <c r="T22">
        <f>T20-T21</f>
        <v>190820</v>
      </c>
      <c r="U22">
        <f>U20-U21</f>
        <v>177660</v>
      </c>
      <c r="V22">
        <f>V20-V21</f>
        <v>169200</v>
      </c>
      <c r="W22">
        <f>W20-W21</f>
        <v>163560</v>
      </c>
      <c r="X22">
        <f>X20-X21</f>
        <v>145700</v>
      </c>
      <c r="Y22">
        <f>Y20-Y21</f>
        <v>147580</v>
      </c>
      <c r="Z22">
        <f>Z20-Z21</f>
        <v>160740</v>
      </c>
      <c r="AA22">
        <f>AA20-AA21</f>
        <v>176720</v>
      </c>
      <c r="AB22">
        <f>AB20-AB21</f>
        <v>181420</v>
      </c>
      <c r="AC22">
        <f>AC20-AC21</f>
        <v>179540</v>
      </c>
      <c r="AD22">
        <f>AD20-AD21</f>
        <v>174840</v>
      </c>
    </row>
    <row r="23" spans="1:36" x14ac:dyDescent="0.25">
      <c r="A23" t="str">
        <f>'Intermediate calculations'!A22</f>
        <v>Lamb production</v>
      </c>
      <c r="B23" t="str">
        <f>'Intermediate calculations'!B22</f>
        <v>t</v>
      </c>
      <c r="C23">
        <v>157160</v>
      </c>
      <c r="D23">
        <v>178840</v>
      </c>
      <c r="E23">
        <v>164160</v>
      </c>
      <c r="F23">
        <v>156060</v>
      </c>
      <c r="G23">
        <v>125940</v>
      </c>
      <c r="H23">
        <v>87720</v>
      </c>
      <c r="I23">
        <v>97720</v>
      </c>
      <c r="J23">
        <v>94080</v>
      </c>
      <c r="K23">
        <v>88200</v>
      </c>
      <c r="L23">
        <v>95660</v>
      </c>
      <c r="M23">
        <v>98520</v>
      </c>
      <c r="N23">
        <v>95860</v>
      </c>
      <c r="O23">
        <v>96340</v>
      </c>
      <c r="P23">
        <v>105640</v>
      </c>
      <c r="Q23">
        <v>111120</v>
      </c>
      <c r="R23">
        <v>124520</v>
      </c>
      <c r="S23">
        <v>124740</v>
      </c>
      <c r="T23">
        <v>148520</v>
      </c>
      <c r="U23">
        <v>149260</v>
      </c>
      <c r="V23">
        <v>151300</v>
      </c>
      <c r="W23">
        <v>153460</v>
      </c>
      <c r="X23">
        <v>139500</v>
      </c>
      <c r="Y23">
        <v>139480</v>
      </c>
      <c r="Z23">
        <v>156040</v>
      </c>
      <c r="AA23">
        <v>171520</v>
      </c>
      <c r="AB23">
        <v>173020</v>
      </c>
      <c r="AC23">
        <v>166240</v>
      </c>
      <c r="AD23">
        <v>166124.152</v>
      </c>
      <c r="AE23">
        <f>'Intermediate calculations'!AQ22</f>
        <v>190312.75123478429</v>
      </c>
      <c r="AF23">
        <f>'Intermediate calculations'!BA22</f>
        <v>216592.99161809534</v>
      </c>
      <c r="AG23">
        <f>'Intermediate calculations'!BK22</f>
        <v>247884.60063232409</v>
      </c>
      <c r="AI23">
        <f>SLOPE(M23:AD23,M22:AD22)</f>
        <v>1.2836519441828962</v>
      </c>
      <c r="AJ23">
        <f>INTERCEPT(M23:AD23,M22:AD22)</f>
        <v>-70385.797094105306</v>
      </c>
    </row>
    <row r="24" spans="1:36" x14ac:dyDescent="0.25">
      <c r="A24" t="str">
        <f>'Intermediate calculations'!A24</f>
        <v>Pork consumption</v>
      </c>
      <c r="B24" t="str">
        <f>'Intermediate calculations'!B24</f>
        <v>t</v>
      </c>
      <c r="C24">
        <v>125000</v>
      </c>
      <c r="D24">
        <v>130000</v>
      </c>
      <c r="E24">
        <v>112000</v>
      </c>
      <c r="F24">
        <v>129000</v>
      </c>
      <c r="G24">
        <v>122000</v>
      </c>
      <c r="H24">
        <v>124000</v>
      </c>
      <c r="I24">
        <v>131000</v>
      </c>
      <c r="J24">
        <v>133000</v>
      </c>
      <c r="K24">
        <v>130000</v>
      </c>
      <c r="L24">
        <v>126000</v>
      </c>
      <c r="M24">
        <v>131000</v>
      </c>
      <c r="N24">
        <v>115000</v>
      </c>
      <c r="O24">
        <v>123000</v>
      </c>
      <c r="P24">
        <v>146000</v>
      </c>
      <c r="Q24">
        <v>174000</v>
      </c>
      <c r="R24">
        <v>182000</v>
      </c>
      <c r="S24">
        <v>193000</v>
      </c>
      <c r="T24">
        <v>206000</v>
      </c>
      <c r="U24">
        <v>198000</v>
      </c>
      <c r="V24">
        <v>199000</v>
      </c>
      <c r="W24">
        <v>215000</v>
      </c>
      <c r="X24">
        <v>231000</v>
      </c>
      <c r="Y24">
        <v>237000</v>
      </c>
      <c r="Z24">
        <v>245000</v>
      </c>
      <c r="AA24">
        <v>236000</v>
      </c>
      <c r="AB24">
        <v>254000</v>
      </c>
      <c r="AC24">
        <v>263000</v>
      </c>
      <c r="AD24">
        <v>254000</v>
      </c>
    </row>
    <row r="25" spans="1:36" x14ac:dyDescent="0.25">
      <c r="A25" t="str">
        <f>'Intermediate calculations'!A27</f>
        <v>Pork production</v>
      </c>
      <c r="B25" t="str">
        <f>'Intermediate calculations'!B27</f>
        <v>t</v>
      </c>
      <c r="C25">
        <v>126200</v>
      </c>
      <c r="D25">
        <v>130800</v>
      </c>
      <c r="E25">
        <v>112700</v>
      </c>
      <c r="F25">
        <v>129600</v>
      </c>
      <c r="G25">
        <v>119600</v>
      </c>
      <c r="H25">
        <v>119000</v>
      </c>
      <c r="I25">
        <v>126500</v>
      </c>
      <c r="J25">
        <v>127900</v>
      </c>
      <c r="K25">
        <v>125000</v>
      </c>
      <c r="L25">
        <v>119200</v>
      </c>
      <c r="M25">
        <v>123000</v>
      </c>
      <c r="N25">
        <v>106900</v>
      </c>
      <c r="O25">
        <v>116600</v>
      </c>
      <c r="P25">
        <v>135000</v>
      </c>
      <c r="Q25">
        <v>156800</v>
      </c>
      <c r="R25">
        <v>159700</v>
      </c>
      <c r="S25">
        <v>171400</v>
      </c>
      <c r="T25">
        <v>187100</v>
      </c>
      <c r="U25">
        <v>181700</v>
      </c>
      <c r="V25">
        <v>180700</v>
      </c>
      <c r="W25">
        <v>191900</v>
      </c>
      <c r="X25">
        <v>205100</v>
      </c>
      <c r="Y25">
        <v>206000</v>
      </c>
      <c r="Z25">
        <v>213500</v>
      </c>
      <c r="AA25">
        <v>224200</v>
      </c>
      <c r="AB25">
        <v>233000</v>
      </c>
      <c r="AC25">
        <v>243100</v>
      </c>
      <c r="AD25">
        <v>231800</v>
      </c>
      <c r="AI25">
        <f>SLOPE(F25:AD25,F24:AD24)</f>
        <v>0.84800908184156654</v>
      </c>
      <c r="AJ25">
        <f>INTERCEPT(F25:AD25,F24:AD24)</f>
        <v>12832.12635833901</v>
      </c>
    </row>
    <row r="26" spans="1:36" x14ac:dyDescent="0.25">
      <c r="A26" t="str">
        <f>'Intermediate calculations'!A29</f>
        <v>Egg consumption</v>
      </c>
      <c r="B26" t="str">
        <f>'Intermediate calculations'!B29</f>
        <v>t</v>
      </c>
      <c r="C26">
        <v>209000</v>
      </c>
      <c r="D26">
        <v>214000</v>
      </c>
      <c r="E26">
        <v>223000</v>
      </c>
      <c r="F26">
        <v>218000</v>
      </c>
      <c r="G26">
        <v>233000</v>
      </c>
      <c r="H26">
        <v>272000</v>
      </c>
      <c r="I26">
        <v>263000</v>
      </c>
      <c r="J26">
        <v>293000</v>
      </c>
      <c r="K26">
        <v>302000</v>
      </c>
      <c r="L26">
        <v>299000</v>
      </c>
      <c r="M26">
        <v>310000</v>
      </c>
      <c r="N26">
        <v>308000</v>
      </c>
      <c r="O26">
        <v>313000</v>
      </c>
      <c r="P26">
        <v>305000</v>
      </c>
      <c r="Q26">
        <v>329000</v>
      </c>
      <c r="R26">
        <v>357000</v>
      </c>
      <c r="S26">
        <v>392000</v>
      </c>
      <c r="T26">
        <v>416000</v>
      </c>
      <c r="U26">
        <v>404000</v>
      </c>
      <c r="V26">
        <v>379000</v>
      </c>
      <c r="W26">
        <v>386000</v>
      </c>
      <c r="X26">
        <v>426000</v>
      </c>
      <c r="Y26">
        <v>447000</v>
      </c>
      <c r="Z26">
        <v>433000</v>
      </c>
      <c r="AA26">
        <v>418000</v>
      </c>
      <c r="AB26">
        <v>438000</v>
      </c>
      <c r="AC26">
        <v>441000</v>
      </c>
      <c r="AD26">
        <v>412000</v>
      </c>
    </row>
    <row r="27" spans="1:36" x14ac:dyDescent="0.25">
      <c r="A27" t="str">
        <f>'Intermediate calculations'!A32</f>
        <v>Egg production</v>
      </c>
      <c r="B27" t="str">
        <f>'Intermediate calculations'!B32</f>
        <v>t</v>
      </c>
      <c r="C27">
        <v>224000</v>
      </c>
      <c r="D27">
        <v>232000</v>
      </c>
      <c r="E27">
        <v>238000</v>
      </c>
      <c r="F27">
        <v>235000</v>
      </c>
      <c r="G27">
        <v>251000</v>
      </c>
      <c r="H27">
        <v>290000</v>
      </c>
      <c r="I27">
        <v>282000</v>
      </c>
      <c r="J27">
        <v>314000</v>
      </c>
      <c r="K27">
        <v>323000</v>
      </c>
      <c r="L27">
        <v>318000</v>
      </c>
      <c r="M27">
        <v>329000</v>
      </c>
      <c r="N27">
        <v>330000</v>
      </c>
      <c r="O27">
        <v>340000</v>
      </c>
      <c r="P27">
        <v>328000</v>
      </c>
      <c r="Q27">
        <v>348000</v>
      </c>
      <c r="R27">
        <v>375000</v>
      </c>
      <c r="S27">
        <v>412000</v>
      </c>
      <c r="T27">
        <v>438000</v>
      </c>
      <c r="U27">
        <v>426000</v>
      </c>
      <c r="V27">
        <v>404000</v>
      </c>
      <c r="W27">
        <v>413000</v>
      </c>
      <c r="X27">
        <v>452000</v>
      </c>
      <c r="Y27">
        <v>477000</v>
      </c>
      <c r="Z27">
        <v>468000</v>
      </c>
      <c r="AA27">
        <v>453000</v>
      </c>
      <c r="AB27">
        <v>477000</v>
      </c>
      <c r="AC27">
        <v>478000</v>
      </c>
      <c r="AD27">
        <v>445000</v>
      </c>
      <c r="AI27">
        <f>SLOPE(M27:AD27,M26:AD26)</f>
        <v>1.0877031438417331</v>
      </c>
      <c r="AJ27">
        <f>INTERCEPT(M27:AD27,M26:AD26)</f>
        <v>-7076.6409178745816</v>
      </c>
    </row>
    <row r="28" spans="1:36" x14ac:dyDescent="0.25">
      <c r="A28" t="str">
        <f>'Intermediate calculations'!A33</f>
        <v>Chicken consumption</v>
      </c>
      <c r="B28" t="str">
        <f>'Intermediate calculations'!B33</f>
        <v>t</v>
      </c>
      <c r="C28">
        <v>605000</v>
      </c>
      <c r="D28">
        <v>593000</v>
      </c>
      <c r="E28">
        <v>571000</v>
      </c>
      <c r="F28">
        <v>580000</v>
      </c>
      <c r="G28">
        <v>609000</v>
      </c>
      <c r="H28">
        <v>662000</v>
      </c>
      <c r="I28">
        <v>738000</v>
      </c>
      <c r="J28">
        <v>826000</v>
      </c>
      <c r="K28">
        <v>854000</v>
      </c>
      <c r="L28">
        <v>874000</v>
      </c>
      <c r="M28">
        <v>927000</v>
      </c>
      <c r="N28">
        <v>938000</v>
      </c>
      <c r="O28">
        <v>965000</v>
      </c>
      <c r="P28">
        <v>1032000</v>
      </c>
      <c r="Q28">
        <v>1196000</v>
      </c>
      <c r="R28">
        <v>1455000</v>
      </c>
      <c r="S28">
        <v>1664000</v>
      </c>
      <c r="T28">
        <v>1767000</v>
      </c>
      <c r="U28">
        <v>1813000</v>
      </c>
      <c r="V28">
        <v>1841000</v>
      </c>
      <c r="W28">
        <v>1887000</v>
      </c>
      <c r="X28">
        <v>1987000</v>
      </c>
      <c r="Y28">
        <v>2048000</v>
      </c>
      <c r="Z28">
        <v>2061000</v>
      </c>
      <c r="AA28">
        <v>2015000</v>
      </c>
      <c r="AB28">
        <v>2076000</v>
      </c>
      <c r="AC28">
        <v>2200000</v>
      </c>
      <c r="AD28">
        <v>2155000</v>
      </c>
    </row>
    <row r="29" spans="1:36" x14ac:dyDescent="0.25">
      <c r="A29" t="str">
        <f>'Intermediate calculations'!A36</f>
        <v>Chicken production</v>
      </c>
      <c r="B29" t="str">
        <f>'Intermediate calculations'!B36</f>
        <v>t</v>
      </c>
      <c r="C29">
        <v>609000</v>
      </c>
      <c r="D29">
        <v>593000</v>
      </c>
      <c r="E29">
        <v>564000</v>
      </c>
      <c r="F29">
        <v>577000</v>
      </c>
      <c r="G29">
        <v>607000</v>
      </c>
      <c r="H29">
        <v>647000</v>
      </c>
      <c r="I29">
        <v>699000</v>
      </c>
      <c r="J29">
        <v>753000</v>
      </c>
      <c r="K29">
        <v>777000</v>
      </c>
      <c r="L29">
        <v>803000</v>
      </c>
      <c r="M29">
        <v>850000</v>
      </c>
      <c r="N29">
        <v>869000</v>
      </c>
      <c r="O29">
        <v>896000</v>
      </c>
      <c r="P29">
        <v>925000</v>
      </c>
      <c r="Q29">
        <v>1043000</v>
      </c>
      <c r="R29">
        <v>1273000</v>
      </c>
      <c r="S29">
        <v>1427000</v>
      </c>
      <c r="T29">
        <v>1499000</v>
      </c>
      <c r="U29">
        <v>1584000</v>
      </c>
      <c r="V29">
        <v>1644000</v>
      </c>
      <c r="W29">
        <v>1681000</v>
      </c>
      <c r="X29">
        <v>1721000</v>
      </c>
      <c r="Y29">
        <v>1681000</v>
      </c>
      <c r="Z29">
        <v>1691000</v>
      </c>
      <c r="AA29">
        <v>1668000</v>
      </c>
      <c r="AB29">
        <v>1709000</v>
      </c>
      <c r="AC29">
        <v>1704000</v>
      </c>
      <c r="AD29">
        <v>1663000</v>
      </c>
      <c r="AI29">
        <f>SLOPE(M29:AD29,M28:AD28)</f>
        <v>0.73476976510132841</v>
      </c>
      <c r="AJ29">
        <f>INTERCEPT(M29:AD29,M28:AD28)</f>
        <v>192503.7924056896</v>
      </c>
    </row>
    <row r="30" spans="1:36" x14ac:dyDescent="0.25">
      <c r="A30" t="str">
        <f>'Intermediate calculations'!A43</f>
        <v>Sorghum consumption (total)</v>
      </c>
      <c r="B30" t="str">
        <f>'Intermediate calculations'!B43</f>
        <v>t</v>
      </c>
      <c r="C30">
        <v>316000</v>
      </c>
      <c r="D30">
        <v>245000</v>
      </c>
      <c r="E30">
        <v>243000</v>
      </c>
      <c r="F30">
        <v>287000</v>
      </c>
      <c r="G30">
        <v>410000</v>
      </c>
      <c r="H30">
        <v>303000</v>
      </c>
      <c r="I30">
        <v>331000</v>
      </c>
      <c r="J30">
        <v>243000</v>
      </c>
      <c r="K30">
        <v>235000</v>
      </c>
      <c r="L30">
        <v>0</v>
      </c>
      <c r="M30">
        <v>210000</v>
      </c>
      <c r="N30">
        <v>209000</v>
      </c>
      <c r="O30">
        <v>206000</v>
      </c>
      <c r="P30">
        <v>196000</v>
      </c>
      <c r="Q30">
        <v>179000</v>
      </c>
      <c r="R30">
        <v>189000</v>
      </c>
      <c r="S30">
        <v>203000</v>
      </c>
      <c r="T30">
        <v>190000</v>
      </c>
      <c r="U30">
        <v>196000</v>
      </c>
      <c r="V30">
        <v>187000</v>
      </c>
      <c r="W30">
        <v>192000</v>
      </c>
      <c r="X30">
        <v>191000</v>
      </c>
      <c r="Y30">
        <v>190000</v>
      </c>
      <c r="Z30">
        <v>165000</v>
      </c>
      <c r="AA30">
        <v>170000</v>
      </c>
      <c r="AB30">
        <v>160000</v>
      </c>
      <c r="AC30">
        <v>159000</v>
      </c>
      <c r="AD30">
        <v>171000</v>
      </c>
    </row>
    <row r="31" spans="1:36" x14ac:dyDescent="0.25">
      <c r="A31" t="str">
        <f>'Intermediate calculations'!A38</f>
        <v>Maize consumption (human)</v>
      </c>
      <c r="B31" t="str">
        <f>'Intermediate calculations'!B38</f>
        <v>t</v>
      </c>
      <c r="C31">
        <v>2353000</v>
      </c>
      <c r="D31">
        <v>2534000</v>
      </c>
      <c r="E31">
        <v>2567000</v>
      </c>
      <c r="F31">
        <v>2743000</v>
      </c>
      <c r="G31">
        <v>2918000</v>
      </c>
      <c r="H31">
        <v>2540000</v>
      </c>
      <c r="I31">
        <v>2807000</v>
      </c>
      <c r="J31">
        <v>2912000</v>
      </c>
      <c r="K31">
        <v>3382000</v>
      </c>
      <c r="L31">
        <v>3381000</v>
      </c>
      <c r="M31">
        <v>3426000</v>
      </c>
      <c r="N31">
        <v>3589000</v>
      </c>
      <c r="O31">
        <v>3877000</v>
      </c>
      <c r="P31">
        <v>3708000</v>
      </c>
      <c r="Q31">
        <v>3712000</v>
      </c>
      <c r="R31">
        <v>3740000</v>
      </c>
      <c r="S31">
        <v>3825000</v>
      </c>
      <c r="T31">
        <v>3816000</v>
      </c>
      <c r="U31">
        <v>3809000</v>
      </c>
      <c r="V31">
        <v>4524000</v>
      </c>
      <c r="W31">
        <v>4471000</v>
      </c>
      <c r="X31">
        <v>4513000</v>
      </c>
      <c r="Y31">
        <v>4512000</v>
      </c>
      <c r="Z31">
        <v>4499000</v>
      </c>
      <c r="AA31">
        <v>4582000</v>
      </c>
      <c r="AB31">
        <v>4840000</v>
      </c>
      <c r="AC31">
        <v>4698000</v>
      </c>
      <c r="AD31">
        <v>4809000</v>
      </c>
      <c r="AI31">
        <f>SLOPE(M31:AD31,Drivers!N4:AE4)</f>
        <v>0.12942079664771855</v>
      </c>
      <c r="AJ31">
        <f>INTERCEPT(M31:AD31,Drivers!N4:AE4)</f>
        <v>-2345180.5816613575</v>
      </c>
    </row>
    <row r="32" spans="1:36" x14ac:dyDescent="0.25">
      <c r="A32" t="str">
        <f>'Intermediate calculations'!A37</f>
        <v>Maize consumption (total)</v>
      </c>
      <c r="B32" t="str">
        <f>'Intermediate calculations'!B37</f>
        <v>t</v>
      </c>
      <c r="C32">
        <v>6425000</v>
      </c>
      <c r="D32">
        <v>6769000</v>
      </c>
      <c r="E32">
        <v>7022000</v>
      </c>
      <c r="F32">
        <v>6828000</v>
      </c>
      <c r="G32">
        <v>6773000</v>
      </c>
      <c r="H32">
        <v>6417000</v>
      </c>
      <c r="I32">
        <v>6842000</v>
      </c>
      <c r="J32">
        <v>6738000</v>
      </c>
      <c r="K32">
        <v>6383000</v>
      </c>
      <c r="L32">
        <v>6341000</v>
      </c>
      <c r="M32">
        <v>6362000</v>
      </c>
      <c r="N32">
        <v>6852000</v>
      </c>
      <c r="O32">
        <v>7151000</v>
      </c>
      <c r="P32">
        <v>6983000</v>
      </c>
      <c r="Q32">
        <v>7243000</v>
      </c>
      <c r="R32">
        <v>7283000</v>
      </c>
      <c r="S32">
        <v>7462000</v>
      </c>
      <c r="T32">
        <v>7660000</v>
      </c>
      <c r="U32">
        <v>8029000</v>
      </c>
      <c r="V32">
        <v>8613000</v>
      </c>
      <c r="W32">
        <v>8658000</v>
      </c>
      <c r="X32">
        <v>8857000</v>
      </c>
      <c r="Y32">
        <v>8941000</v>
      </c>
      <c r="Z32">
        <v>8935000</v>
      </c>
      <c r="AA32">
        <v>9349000</v>
      </c>
      <c r="AB32">
        <v>9927000</v>
      </c>
      <c r="AC32">
        <v>10249000</v>
      </c>
      <c r="AD32">
        <v>9813000</v>
      </c>
      <c r="AI32">
        <f>SLOPE(M32:AD32,M31:AD31)</f>
        <v>2.3833210982866073</v>
      </c>
      <c r="AJ32">
        <f>INTERCEPT(M32:AD32,M31:AD31)</f>
        <v>-1681273.1286989572</v>
      </c>
    </row>
    <row r="33" spans="1:36" x14ac:dyDescent="0.25">
      <c r="A33" t="str">
        <f>'Intermediate calculations'!A40</f>
        <v>Maize production</v>
      </c>
      <c r="B33" t="str">
        <f>'Intermediate calculations'!B40</f>
        <v>t</v>
      </c>
      <c r="C33">
        <v>9180000</v>
      </c>
      <c r="D33">
        <v>8614000</v>
      </c>
      <c r="E33">
        <v>3277000</v>
      </c>
      <c r="F33">
        <v>9997000</v>
      </c>
      <c r="G33">
        <v>13275000</v>
      </c>
      <c r="H33">
        <v>4866000</v>
      </c>
      <c r="I33">
        <v>10171000</v>
      </c>
      <c r="J33">
        <v>10136000</v>
      </c>
      <c r="K33">
        <v>7693000</v>
      </c>
      <c r="L33">
        <v>7946000</v>
      </c>
      <c r="M33">
        <v>11455000</v>
      </c>
      <c r="N33">
        <v>7772000</v>
      </c>
      <c r="O33">
        <v>10076000</v>
      </c>
      <c r="P33">
        <v>9705000</v>
      </c>
      <c r="Q33">
        <v>9737000</v>
      </c>
      <c r="R33">
        <v>11749000</v>
      </c>
      <c r="S33">
        <v>6618000</v>
      </c>
      <c r="T33">
        <v>7339000</v>
      </c>
      <c r="U33">
        <v>13164000</v>
      </c>
      <c r="V33">
        <v>12567000</v>
      </c>
      <c r="W33">
        <v>13421000</v>
      </c>
      <c r="X33">
        <v>10924000</v>
      </c>
      <c r="Y33">
        <v>12759000</v>
      </c>
      <c r="Z33">
        <v>12486000</v>
      </c>
      <c r="AA33">
        <v>14925000</v>
      </c>
      <c r="AB33">
        <v>10629000</v>
      </c>
      <c r="AC33">
        <v>7779000</v>
      </c>
      <c r="AD33">
        <v>16820000</v>
      </c>
      <c r="AI33">
        <f>SLOPE(M33:AD33,M32:AD32)</f>
        <v>0.94561737822009173</v>
      </c>
      <c r="AJ33">
        <f>INTERCEPT(M33:AD33,M32:AD32)</f>
        <v>3312588.1358677577</v>
      </c>
    </row>
    <row r="34" spans="1:36" x14ac:dyDescent="0.25">
      <c r="A34" t="s">
        <v>372</v>
      </c>
      <c r="B34" t="s">
        <v>366</v>
      </c>
      <c r="C34">
        <v>4163000</v>
      </c>
      <c r="D34">
        <v>3816000</v>
      </c>
      <c r="E34">
        <v>4173000</v>
      </c>
      <c r="F34">
        <v>4377000</v>
      </c>
      <c r="G34">
        <v>4661000</v>
      </c>
      <c r="H34">
        <v>3526000</v>
      </c>
      <c r="I34">
        <v>3761000</v>
      </c>
      <c r="J34">
        <v>4023000</v>
      </c>
      <c r="K34">
        <v>3560000</v>
      </c>
      <c r="L34">
        <v>3567000</v>
      </c>
      <c r="M34">
        <v>4013000</v>
      </c>
      <c r="N34">
        <v>3189000</v>
      </c>
      <c r="O34">
        <v>3533000</v>
      </c>
      <c r="P34">
        <v>3651000</v>
      </c>
      <c r="Q34">
        <v>3204000</v>
      </c>
      <c r="R34">
        <v>3223000</v>
      </c>
      <c r="S34">
        <v>2032000</v>
      </c>
      <c r="T34">
        <v>2897000</v>
      </c>
      <c r="U34">
        <v>3297000</v>
      </c>
      <c r="V34">
        <v>2896000</v>
      </c>
      <c r="W34">
        <v>3263000</v>
      </c>
      <c r="X34">
        <v>2859000</v>
      </c>
      <c r="Y34">
        <v>3141000</v>
      </c>
      <c r="Z34">
        <v>3238000</v>
      </c>
      <c r="AA34">
        <v>3096000</v>
      </c>
      <c r="AB34">
        <v>3048000</v>
      </c>
      <c r="AC34">
        <v>2213000</v>
      </c>
      <c r="AD34">
        <v>2997000</v>
      </c>
      <c r="AI34">
        <f>SLOPE(M34:AD34,M32:AD32)</f>
        <v>-0.18761855561275767</v>
      </c>
      <c r="AJ34">
        <f>INTERCEPT(M34:AD34,M32:AD32)</f>
        <v>4645911.2355887787</v>
      </c>
    </row>
    <row r="35" spans="1:36" x14ac:dyDescent="0.25">
      <c r="A35" t="str">
        <f>'Intermediate calculations'!A41</f>
        <v>Sorghum consumption (human)</v>
      </c>
      <c r="B35" t="str">
        <f>'Intermediate calculations'!B41</f>
        <v>t</v>
      </c>
      <c r="C35">
        <v>194000</v>
      </c>
      <c r="D35">
        <v>195000</v>
      </c>
      <c r="E35">
        <v>199000</v>
      </c>
      <c r="F35">
        <v>200000</v>
      </c>
      <c r="G35">
        <v>184000</v>
      </c>
      <c r="H35">
        <v>183000</v>
      </c>
      <c r="I35">
        <v>181000</v>
      </c>
      <c r="J35">
        <v>179000</v>
      </c>
      <c r="K35">
        <v>177000</v>
      </c>
      <c r="L35">
        <v>175500</v>
      </c>
      <c r="M35">
        <v>174000</v>
      </c>
      <c r="N35">
        <v>186000</v>
      </c>
      <c r="O35">
        <v>190000</v>
      </c>
      <c r="P35">
        <v>174000</v>
      </c>
      <c r="Q35">
        <v>169000</v>
      </c>
      <c r="R35">
        <v>179000</v>
      </c>
      <c r="S35">
        <v>191000</v>
      </c>
      <c r="T35">
        <v>182000</v>
      </c>
      <c r="U35">
        <v>185000</v>
      </c>
      <c r="V35">
        <v>177000</v>
      </c>
      <c r="W35">
        <v>184000</v>
      </c>
      <c r="X35">
        <v>182000</v>
      </c>
      <c r="Y35">
        <v>183000</v>
      </c>
      <c r="Z35">
        <v>159000</v>
      </c>
      <c r="AA35">
        <v>165000</v>
      </c>
      <c r="AB35">
        <v>153000</v>
      </c>
      <c r="AC35">
        <v>149000</v>
      </c>
      <c r="AD35">
        <v>161000</v>
      </c>
    </row>
    <row r="36" spans="1:36" x14ac:dyDescent="0.25">
      <c r="A36" t="str">
        <f>'Intermediate calculations'!A43</f>
        <v>Sorghum consumption (total)</v>
      </c>
      <c r="B36" t="str">
        <f>'Intermediate calculations'!B43</f>
        <v>t</v>
      </c>
      <c r="C36">
        <v>316000</v>
      </c>
      <c r="D36">
        <v>245000</v>
      </c>
      <c r="E36">
        <v>243000</v>
      </c>
      <c r="F36">
        <v>287000</v>
      </c>
      <c r="G36">
        <v>410000</v>
      </c>
      <c r="H36">
        <v>303000</v>
      </c>
      <c r="I36">
        <v>331000</v>
      </c>
      <c r="J36">
        <v>243000</v>
      </c>
      <c r="K36">
        <v>235000</v>
      </c>
      <c r="L36">
        <v>0</v>
      </c>
      <c r="M36">
        <v>210000</v>
      </c>
      <c r="N36">
        <v>209000</v>
      </c>
      <c r="O36">
        <v>206000</v>
      </c>
      <c r="P36">
        <v>196000</v>
      </c>
      <c r="Q36">
        <v>179000</v>
      </c>
      <c r="R36">
        <v>189000</v>
      </c>
      <c r="S36">
        <v>203000</v>
      </c>
      <c r="T36">
        <v>190000</v>
      </c>
      <c r="U36">
        <v>196000</v>
      </c>
      <c r="V36">
        <v>187000</v>
      </c>
      <c r="W36">
        <v>192000</v>
      </c>
      <c r="X36">
        <v>191000</v>
      </c>
      <c r="Y36">
        <v>190000</v>
      </c>
      <c r="Z36">
        <v>165000</v>
      </c>
      <c r="AA36">
        <v>170000</v>
      </c>
      <c r="AB36">
        <v>160000</v>
      </c>
      <c r="AC36">
        <v>159000</v>
      </c>
      <c r="AD36">
        <v>171000</v>
      </c>
      <c r="AI36">
        <f>SLOPE(W36:AD36,W35:AD35)</f>
        <v>0.99067431850789101</v>
      </c>
      <c r="AJ36">
        <f>INTERCEPT(W36:AD36,W35:AD35)</f>
        <v>9307.3888091822155</v>
      </c>
    </row>
    <row r="37" spans="1:36" x14ac:dyDescent="0.25">
      <c r="A37" t="s">
        <v>821</v>
      </c>
      <c r="B37" t="s">
        <v>366</v>
      </c>
      <c r="C37">
        <v>341000</v>
      </c>
      <c r="D37">
        <v>302000</v>
      </c>
      <c r="E37">
        <v>118000</v>
      </c>
      <c r="F37">
        <v>515368</v>
      </c>
      <c r="G37">
        <v>520185</v>
      </c>
      <c r="H37">
        <v>290557</v>
      </c>
      <c r="I37">
        <v>535839</v>
      </c>
      <c r="J37">
        <v>433371</v>
      </c>
      <c r="K37">
        <v>358469</v>
      </c>
      <c r="L37">
        <v>223530</v>
      </c>
      <c r="M37">
        <v>142000</v>
      </c>
      <c r="N37">
        <v>88000</v>
      </c>
      <c r="O37">
        <v>75000</v>
      </c>
      <c r="P37">
        <v>95000</v>
      </c>
      <c r="Q37">
        <v>130000</v>
      </c>
      <c r="R37">
        <v>86000</v>
      </c>
      <c r="S37">
        <v>37000</v>
      </c>
      <c r="T37">
        <v>69000</v>
      </c>
      <c r="U37">
        <v>87000</v>
      </c>
      <c r="V37">
        <v>86000</v>
      </c>
      <c r="W37">
        <v>87000</v>
      </c>
      <c r="X37">
        <v>69000</v>
      </c>
      <c r="Y37">
        <v>49000</v>
      </c>
      <c r="Z37">
        <v>63000</v>
      </c>
      <c r="AA37">
        <v>78750</v>
      </c>
      <c r="AB37">
        <v>70000</v>
      </c>
      <c r="AC37">
        <v>48000</v>
      </c>
      <c r="AD37">
        <v>42000</v>
      </c>
      <c r="AI37">
        <f>SLOPE(M37:AD37,M36:AD36)</f>
        <v>0.59564510705077911</v>
      </c>
      <c r="AJ37">
        <f>INTERCEPT(M37:AD37,M36:AD36)</f>
        <v>-33411.36083398723</v>
      </c>
    </row>
    <row r="38" spans="1:36" x14ac:dyDescent="0.25">
      <c r="A38" t="s">
        <v>388</v>
      </c>
      <c r="B38" t="s">
        <v>321</v>
      </c>
      <c r="C38">
        <v>780000</v>
      </c>
      <c r="D38">
        <v>825000</v>
      </c>
      <c r="E38">
        <v>570000</v>
      </c>
      <c r="F38">
        <v>900000</v>
      </c>
      <c r="G38">
        <v>1299451</v>
      </c>
      <c r="H38">
        <v>1032745</v>
      </c>
      <c r="I38">
        <v>1263570</v>
      </c>
      <c r="J38">
        <v>1193985</v>
      </c>
      <c r="K38">
        <v>1244321</v>
      </c>
      <c r="L38">
        <v>1237174</v>
      </c>
      <c r="M38">
        <v>825252</v>
      </c>
      <c r="N38">
        <v>1068357</v>
      </c>
      <c r="O38">
        <v>1467915</v>
      </c>
      <c r="P38">
        <v>1265742</v>
      </c>
      <c r="Q38">
        <v>1264888</v>
      </c>
      <c r="R38">
        <v>580444</v>
      </c>
      <c r="S38">
        <v>963118</v>
      </c>
      <c r="T38">
        <v>1137646</v>
      </c>
      <c r="U38">
        <v>1429803</v>
      </c>
      <c r="V38">
        <v>1517602.3688259386</v>
      </c>
      <c r="W38">
        <v>1425245.0325037544</v>
      </c>
      <c r="X38">
        <v>1576608.4448095565</v>
      </c>
      <c r="Y38">
        <v>1810067.2671795222</v>
      </c>
      <c r="Z38">
        <v>1635614.5207931739</v>
      </c>
      <c r="AA38">
        <v>1686924.1520832763</v>
      </c>
      <c r="AB38">
        <v>1702317.0414703069</v>
      </c>
      <c r="AC38">
        <v>2143579.8705651872</v>
      </c>
      <c r="AD38">
        <v>2657958.9242484635</v>
      </c>
      <c r="AI38">
        <f>SLOPE(M38:AD38,M34:AD34)</f>
        <v>-0.28544189547795717</v>
      </c>
      <c r="AJ38">
        <f>INTERCEPT(M38:AD38,M34:AD34)</f>
        <v>2337993.6650663563</v>
      </c>
    </row>
    <row r="39" spans="1:36" x14ac:dyDescent="0.25">
      <c r="A39" t="s">
        <v>114</v>
      </c>
      <c r="B39" t="s">
        <v>321</v>
      </c>
      <c r="C39">
        <v>124083.5011138469</v>
      </c>
      <c r="D39">
        <v>152218.50271143019</v>
      </c>
      <c r="E39">
        <v>180353.50430901349</v>
      </c>
      <c r="F39">
        <v>208488.50590658933</v>
      </c>
      <c r="G39">
        <v>236623.50750417262</v>
      </c>
      <c r="H39">
        <v>264758.50910175592</v>
      </c>
      <c r="I39">
        <v>292893.51069933921</v>
      </c>
      <c r="J39">
        <v>321028.5122969225</v>
      </c>
      <c r="K39">
        <v>349163.5138945058</v>
      </c>
      <c r="L39">
        <v>377298.51549208909</v>
      </c>
      <c r="M39">
        <v>405433.51708967239</v>
      </c>
      <c r="N39">
        <v>433568.51868725568</v>
      </c>
      <c r="O39">
        <v>461703.52028483152</v>
      </c>
      <c r="P39">
        <v>489838.52188241482</v>
      </c>
      <c r="Q39">
        <v>594407</v>
      </c>
      <c r="R39">
        <v>484209</v>
      </c>
      <c r="S39">
        <v>536026</v>
      </c>
      <c r="T39">
        <v>660755</v>
      </c>
      <c r="U39">
        <v>654808</v>
      </c>
      <c r="V39">
        <v>518924</v>
      </c>
      <c r="W39">
        <v>683837</v>
      </c>
      <c r="X39">
        <v>778897</v>
      </c>
      <c r="Y39">
        <v>800756</v>
      </c>
      <c r="Z39">
        <v>726904.59500000009</v>
      </c>
      <c r="AA39">
        <v>905143.08</v>
      </c>
      <c r="AB39">
        <v>662862.79909999995</v>
      </c>
      <c r="AC39">
        <v>877638</v>
      </c>
      <c r="AD39">
        <v>926747</v>
      </c>
      <c r="AI39">
        <f>SLOPE(M39:AD39,M40:AD40)</f>
        <v>1.3595755992345242</v>
      </c>
      <c r="AJ39">
        <f>INTERCEPT(M39:AD39,M40:AD40)</f>
        <v>69456.835151908104</v>
      </c>
    </row>
    <row r="40" spans="1:36" x14ac:dyDescent="0.25">
      <c r="A40" t="s">
        <v>822</v>
      </c>
      <c r="B40" t="s">
        <v>321</v>
      </c>
      <c r="C40">
        <v>343689</v>
      </c>
      <c r="D40">
        <v>365035</v>
      </c>
      <c r="E40">
        <v>347525</v>
      </c>
      <c r="F40">
        <v>408459</v>
      </c>
      <c r="G40">
        <v>375066</v>
      </c>
      <c r="H40">
        <v>371491</v>
      </c>
      <c r="I40">
        <v>415084</v>
      </c>
      <c r="J40">
        <v>406914</v>
      </c>
      <c r="K40">
        <v>415521</v>
      </c>
      <c r="L40">
        <v>413045</v>
      </c>
      <c r="M40">
        <v>415933</v>
      </c>
      <c r="N40">
        <v>395813</v>
      </c>
      <c r="O40">
        <v>477072</v>
      </c>
      <c r="P40">
        <v>420827</v>
      </c>
      <c r="Q40">
        <v>427571</v>
      </c>
      <c r="R40">
        <v>347260</v>
      </c>
      <c r="S40">
        <v>428719</v>
      </c>
      <c r="T40">
        <v>439480</v>
      </c>
      <c r="U40">
        <v>424123</v>
      </c>
      <c r="V40">
        <v>453777</v>
      </c>
      <c r="W40">
        <v>395000</v>
      </c>
      <c r="X40">
        <v>419000</v>
      </c>
      <c r="Y40">
        <v>430000</v>
      </c>
      <c r="Z40">
        <v>416500</v>
      </c>
      <c r="AA40">
        <v>447547</v>
      </c>
      <c r="AB40">
        <v>402792</v>
      </c>
      <c r="AC40">
        <v>430000</v>
      </c>
      <c r="AD40">
        <v>442900</v>
      </c>
      <c r="AI40">
        <f>SLOPE(M40:AD40,M34:AD34)</f>
        <v>-6.3872671298887381E-3</v>
      </c>
      <c r="AJ40">
        <f>INTERCEPT(M40:AD40,M34:AD34)</f>
        <v>442814.42406536068</v>
      </c>
    </row>
    <row r="41" spans="1:36" x14ac:dyDescent="0.25">
      <c r="A41" t="str">
        <f>'Activity data'!C5&amp;" - "&amp;'Activity data'!D5</f>
        <v>3A1ai Dairy cattle - TMR</v>
      </c>
      <c r="B41" t="s">
        <v>820</v>
      </c>
      <c r="C41">
        <v>487746.14676082286</v>
      </c>
      <c r="D41">
        <v>561522.50537304278</v>
      </c>
      <c r="E41">
        <v>485789.62235185754</v>
      </c>
      <c r="F41">
        <v>515225.4221676389</v>
      </c>
      <c r="G41">
        <v>477963.52471599629</v>
      </c>
      <c r="H41">
        <v>511312.37334970833</v>
      </c>
      <c r="I41">
        <v>513268.89775867364</v>
      </c>
      <c r="J41">
        <v>494824.80810561875</v>
      </c>
      <c r="K41">
        <v>488955.23487872281</v>
      </c>
      <c r="L41">
        <v>480293.76727049437</v>
      </c>
      <c r="M41">
        <v>618437.58059564023</v>
      </c>
      <c r="N41">
        <v>616481.05618667486</v>
      </c>
      <c r="O41">
        <v>537582.56063862459</v>
      </c>
      <c r="P41">
        <v>488955.23487872281</v>
      </c>
      <c r="Q41">
        <v>472093.95148910041</v>
      </c>
      <c r="R41">
        <v>505442.80012281239</v>
      </c>
      <c r="S41">
        <v>494451.08996008604</v>
      </c>
      <c r="T41">
        <v>490911.75928768812</v>
      </c>
      <c r="U41">
        <v>601202.57906048512</v>
      </c>
      <c r="V41">
        <v>616107.33804114221</v>
      </c>
      <c r="W41">
        <v>616107.33804114221</v>
      </c>
      <c r="X41">
        <v>593750.19957015652</v>
      </c>
      <c r="Y41">
        <v>571766.77924470371</v>
      </c>
      <c r="Z41">
        <v>616481.05618667486</v>
      </c>
      <c r="AA41">
        <v>582758.48940743017</v>
      </c>
      <c r="AB41">
        <v>589837.15075222601</v>
      </c>
      <c r="AC41">
        <v>611820.57107767893</v>
      </c>
      <c r="AD41">
        <v>658117.65428308269</v>
      </c>
    </row>
    <row r="42" spans="1:36" x14ac:dyDescent="0.25">
      <c r="A42" t="str">
        <f>'Activity data'!C6&amp;" - "&amp;'Activity data'!D6</f>
        <v>3A1ai Dairy cattle - Pasture</v>
      </c>
      <c r="B42" t="s">
        <v>820</v>
      </c>
      <c r="C42">
        <v>399733.85323917714</v>
      </c>
      <c r="D42">
        <v>460197.49462695734</v>
      </c>
      <c r="E42">
        <v>398130.37764814246</v>
      </c>
      <c r="F42">
        <v>422254.57783236104</v>
      </c>
      <c r="G42">
        <v>391716.47528400371</v>
      </c>
      <c r="H42">
        <v>419047.62665029167</v>
      </c>
      <c r="I42">
        <v>420651.10224132636</v>
      </c>
      <c r="J42">
        <v>405535.19189438137</v>
      </c>
      <c r="K42">
        <v>400724.76512127731</v>
      </c>
      <c r="L42">
        <v>393626.23272950563</v>
      </c>
      <c r="M42">
        <v>506842.41940435988</v>
      </c>
      <c r="N42">
        <v>505238.9438133252</v>
      </c>
      <c r="O42">
        <v>440577.43936137547</v>
      </c>
      <c r="P42">
        <v>400724.76512127731</v>
      </c>
      <c r="Q42">
        <v>386906.04851089959</v>
      </c>
      <c r="R42">
        <v>414237.19987718761</v>
      </c>
      <c r="S42">
        <v>405228.91003991402</v>
      </c>
      <c r="T42">
        <v>402328.24071231199</v>
      </c>
      <c r="U42">
        <v>492717.42093951488</v>
      </c>
      <c r="V42">
        <v>504932.66195885779</v>
      </c>
      <c r="W42">
        <v>504932.66195885779</v>
      </c>
      <c r="X42">
        <v>486609.80042984337</v>
      </c>
      <c r="Y42">
        <v>468593.22075529629</v>
      </c>
      <c r="Z42">
        <v>505238.9438133252</v>
      </c>
      <c r="AA42">
        <v>477601.51059256989</v>
      </c>
      <c r="AB42">
        <v>483402.84924777399</v>
      </c>
      <c r="AC42">
        <v>501419.42892232112</v>
      </c>
      <c r="AD42">
        <v>539362.34571691742</v>
      </c>
    </row>
    <row r="43" spans="1:36" x14ac:dyDescent="0.25">
      <c r="A43" t="str">
        <f>'Activity data'!C7&amp;" - "&amp;'Activity data'!D7</f>
        <v>3A1aii Other cattle - Non-lactating</v>
      </c>
      <c r="B43" t="s">
        <v>820</v>
      </c>
      <c r="C43">
        <v>585792.9</v>
      </c>
      <c r="D43">
        <v>665847.14000000013</v>
      </c>
      <c r="E43">
        <v>575959.50999999989</v>
      </c>
      <c r="F43">
        <v>602759.85000000009</v>
      </c>
      <c r="G43">
        <v>536625.95000000007</v>
      </c>
      <c r="H43">
        <v>583093.06999999995</v>
      </c>
      <c r="I43">
        <v>592926.46</v>
      </c>
      <c r="J43">
        <v>572912.89999999991</v>
      </c>
      <c r="K43">
        <v>543412.73</v>
      </c>
      <c r="L43">
        <v>572566.12</v>
      </c>
      <c r="M43">
        <v>709614.43</v>
      </c>
      <c r="N43">
        <v>699781.04</v>
      </c>
      <c r="O43">
        <v>642440.19000000006</v>
      </c>
      <c r="P43">
        <v>543412.73</v>
      </c>
      <c r="Q43">
        <v>507125.77999999997</v>
      </c>
      <c r="R43">
        <v>553592.9</v>
      </c>
      <c r="S43">
        <v>546806.12</v>
      </c>
      <c r="T43">
        <v>553246.12</v>
      </c>
      <c r="U43">
        <v>647220.70000000019</v>
      </c>
      <c r="V43">
        <v>673674.26</v>
      </c>
      <c r="W43">
        <v>673674.26</v>
      </c>
      <c r="X43">
        <v>633993.92000000016</v>
      </c>
      <c r="Y43">
        <v>620420.36</v>
      </c>
      <c r="Z43">
        <v>699781.04</v>
      </c>
      <c r="AA43">
        <v>627207.14</v>
      </c>
      <c r="AB43">
        <v>614327.14</v>
      </c>
      <c r="AC43">
        <v>627900.70000000007</v>
      </c>
      <c r="AD43">
        <v>690987.99</v>
      </c>
      <c r="AI43">
        <f>SLOPE(M43:AD43,M19:AD19)</f>
        <v>0.5507064553659301</v>
      </c>
      <c r="AJ43">
        <f>INTERCEPT(M43:AD43,M19:AD19)</f>
        <v>53440.533625985612</v>
      </c>
    </row>
    <row r="44" spans="1:36" x14ac:dyDescent="0.25">
      <c r="A44" t="str">
        <f>'Activity data'!C8&amp;" - "&amp;'Activity data'!D8</f>
        <v>3A1aii Other cattle - Commercial</v>
      </c>
      <c r="B44" t="s">
        <v>820</v>
      </c>
      <c r="C44">
        <v>6817100</v>
      </c>
      <c r="D44">
        <v>6522860</v>
      </c>
      <c r="E44">
        <v>6520490</v>
      </c>
      <c r="F44">
        <v>6100150</v>
      </c>
      <c r="G44">
        <v>6284050</v>
      </c>
      <c r="H44">
        <v>6426930</v>
      </c>
      <c r="I44">
        <v>6693540</v>
      </c>
      <c r="J44">
        <v>6947100</v>
      </c>
      <c r="K44">
        <v>7007270</v>
      </c>
      <c r="L44">
        <v>6893880</v>
      </c>
      <c r="M44">
        <v>6425570</v>
      </c>
      <c r="N44">
        <v>6458960</v>
      </c>
      <c r="O44">
        <v>6019810</v>
      </c>
      <c r="P44">
        <v>6177270</v>
      </c>
      <c r="Q44">
        <v>6234220</v>
      </c>
      <c r="R44">
        <v>6287100</v>
      </c>
      <c r="S44">
        <v>6143880</v>
      </c>
      <c r="T44">
        <v>6323880</v>
      </c>
      <c r="U44">
        <v>6148152.25</v>
      </c>
      <c r="V44">
        <v>6044920.583333333</v>
      </c>
      <c r="W44">
        <v>6025917.666666667</v>
      </c>
      <c r="X44">
        <v>6004279.833333333</v>
      </c>
      <c r="Y44">
        <v>7105366.333333334</v>
      </c>
      <c r="Z44">
        <v>5896311</v>
      </c>
      <c r="AA44">
        <v>6031835</v>
      </c>
      <c r="AB44">
        <v>5893460</v>
      </c>
      <c r="AC44">
        <v>5611164</v>
      </c>
      <c r="AD44">
        <v>5220425</v>
      </c>
      <c r="AE44">
        <v>5220425</v>
      </c>
      <c r="AF44">
        <v>5220425</v>
      </c>
      <c r="AG44">
        <v>5220425</v>
      </c>
      <c r="AI44">
        <f>SLOPE(M44:AD44,LN(M14:AD14))</f>
        <v>-849795.56703256955</v>
      </c>
      <c r="AJ44">
        <f>INTERCEPT(M44:AD44,LN(M14:AD14))</f>
        <v>17654028.051321879</v>
      </c>
    </row>
    <row r="45" spans="1:36" x14ac:dyDescent="0.25">
      <c r="A45" t="str">
        <f>'Activity data'!C9&amp;" - "&amp;'Activity data'!D9</f>
        <v>3A1aii Other cattle - Subsistence</v>
      </c>
      <c r="B45" t="s">
        <v>820</v>
      </c>
      <c r="C45">
        <v>5689999.9999999991</v>
      </c>
      <c r="D45">
        <v>6130000</v>
      </c>
      <c r="E45">
        <v>6190000</v>
      </c>
      <c r="F45">
        <v>6189999.9999999991</v>
      </c>
      <c r="G45">
        <v>5440000</v>
      </c>
      <c r="H45">
        <v>5369999.9999999991</v>
      </c>
      <c r="I45">
        <v>5500000</v>
      </c>
      <c r="J45">
        <v>5659999.9999999991</v>
      </c>
      <c r="K45">
        <v>5910000.0000000009</v>
      </c>
      <c r="L45">
        <v>6119999.9999999991</v>
      </c>
      <c r="M45">
        <v>6290000</v>
      </c>
      <c r="N45">
        <v>6160000</v>
      </c>
      <c r="O45">
        <v>6650000</v>
      </c>
      <c r="P45">
        <v>6640000.0000000009</v>
      </c>
      <c r="Q45">
        <v>6500000.0000000009</v>
      </c>
      <c r="R45">
        <v>6419999.9999999991</v>
      </c>
      <c r="S45">
        <v>6570000</v>
      </c>
      <c r="T45">
        <v>6789999.9999999991</v>
      </c>
      <c r="U45">
        <v>6920000</v>
      </c>
      <c r="V45">
        <v>6900000.0000000009</v>
      </c>
      <c r="W45">
        <v>6820000</v>
      </c>
      <c r="X45">
        <v>6800000</v>
      </c>
      <c r="Y45">
        <v>5890000</v>
      </c>
      <c r="Z45">
        <v>7040000</v>
      </c>
      <c r="AA45">
        <v>6919999.9999999991</v>
      </c>
      <c r="AB45">
        <v>6840000</v>
      </c>
      <c r="AC45">
        <v>6780000.0000000009</v>
      </c>
      <c r="AD45">
        <v>6710000</v>
      </c>
      <c r="AI45">
        <f>SLOPE(M45:AD45,Drivers!N4:AE4)</f>
        <v>3.6742549272280371E-2</v>
      </c>
      <c r="AJ45">
        <f>INTERCEPT(M45:AD45,Drivers!N4:AE4)</f>
        <v>4798742.5931549137</v>
      </c>
    </row>
    <row r="46" spans="1:36" x14ac:dyDescent="0.25">
      <c r="A46" t="str">
        <f>'Activity data'!C10&amp;" - "&amp;'Activity data'!D10</f>
        <v>3A1aii Other cattle - Feedlot</v>
      </c>
      <c r="B46" t="s">
        <v>820</v>
      </c>
      <c r="C46">
        <v>420000</v>
      </c>
      <c r="D46">
        <v>420000</v>
      </c>
      <c r="E46">
        <v>420000</v>
      </c>
      <c r="F46">
        <v>420000</v>
      </c>
      <c r="G46">
        <v>420000</v>
      </c>
      <c r="H46">
        <v>420000</v>
      </c>
      <c r="I46">
        <v>420000</v>
      </c>
      <c r="J46">
        <v>420000</v>
      </c>
      <c r="K46">
        <v>420000</v>
      </c>
      <c r="L46">
        <v>420000</v>
      </c>
      <c r="M46">
        <v>420000</v>
      </c>
      <c r="N46">
        <v>420000</v>
      </c>
      <c r="O46">
        <v>420000</v>
      </c>
      <c r="P46">
        <v>420000</v>
      </c>
      <c r="Q46">
        <v>420000</v>
      </c>
      <c r="R46">
        <v>420000</v>
      </c>
      <c r="S46">
        <v>420000</v>
      </c>
      <c r="T46">
        <v>420000</v>
      </c>
      <c r="U46">
        <v>391147.75</v>
      </c>
      <c r="V46">
        <v>400819.41666666669</v>
      </c>
      <c r="W46">
        <v>399822.33333333331</v>
      </c>
      <c r="X46">
        <v>461800.16666666669</v>
      </c>
      <c r="Y46">
        <v>484273.66666666669</v>
      </c>
      <c r="Z46">
        <v>502649</v>
      </c>
      <c r="AA46">
        <v>521025</v>
      </c>
      <c r="AB46">
        <v>539400</v>
      </c>
      <c r="AC46">
        <v>568136</v>
      </c>
      <c r="AD46">
        <v>591585</v>
      </c>
      <c r="AI46">
        <f>SLOPE(U46:AD46,U13:AD13)</f>
        <v>0.637449100124306</v>
      </c>
      <c r="AJ46">
        <f>INTERCEPT(U46:AD46,U13:AD13)</f>
        <v>-99494.910040854127</v>
      </c>
    </row>
    <row r="47" spans="1:36" x14ac:dyDescent="0.25">
      <c r="A47" t="str">
        <f>'Activity data'!C11&amp;" - "&amp;'Activity data'!D11</f>
        <v>3A1c Sheep - Commercial</v>
      </c>
      <c r="B47" t="s">
        <v>820</v>
      </c>
      <c r="C47">
        <v>29979000</v>
      </c>
      <c r="D47">
        <v>28631000</v>
      </c>
      <c r="E47">
        <v>27448000</v>
      </c>
      <c r="F47">
        <v>25670000</v>
      </c>
      <c r="G47">
        <v>25851000</v>
      </c>
      <c r="H47">
        <v>25481000</v>
      </c>
      <c r="I47">
        <v>25566000</v>
      </c>
      <c r="J47">
        <v>25010000</v>
      </c>
      <c r="K47">
        <v>25079000</v>
      </c>
      <c r="L47">
        <v>24463000</v>
      </c>
      <c r="M47">
        <v>23586000</v>
      </c>
      <c r="N47">
        <v>22998000</v>
      </c>
      <c r="O47">
        <v>22614000</v>
      </c>
      <c r="P47">
        <v>22693000</v>
      </c>
      <c r="Q47">
        <v>22289000</v>
      </c>
      <c r="R47">
        <v>22236000</v>
      </c>
      <c r="S47">
        <v>21945000</v>
      </c>
      <c r="T47">
        <v>21924000</v>
      </c>
      <c r="U47">
        <v>21995000</v>
      </c>
      <c r="V47">
        <v>21917000</v>
      </c>
      <c r="W47">
        <v>21493000</v>
      </c>
      <c r="X47">
        <v>21325000</v>
      </c>
      <c r="Y47">
        <v>21427000</v>
      </c>
      <c r="Z47">
        <v>21589000</v>
      </c>
      <c r="AA47">
        <v>21202000</v>
      </c>
      <c r="AB47">
        <v>21033000</v>
      </c>
      <c r="AC47">
        <v>20438000</v>
      </c>
      <c r="AD47">
        <v>19942000</v>
      </c>
      <c r="AE47">
        <f>AD47</f>
        <v>19942000</v>
      </c>
      <c r="AF47">
        <f t="shared" ref="AF47:AG47" si="3">AE47</f>
        <v>19942000</v>
      </c>
      <c r="AG47">
        <f t="shared" si="3"/>
        <v>19942000</v>
      </c>
      <c r="AI47">
        <f>SLOPE(F47:AD47,LN(F23:AD23))</f>
        <v>-5142301.054387291</v>
      </c>
      <c r="AJ47">
        <f>INTERCEPT(F47:AD47,LN(F23:AD23))</f>
        <v>83155618.791130543</v>
      </c>
    </row>
    <row r="48" spans="1:36" x14ac:dyDescent="0.25">
      <c r="A48" t="str">
        <f>'Activity data'!C12&amp;" - "&amp;'Activity data'!D12</f>
        <v>3A1c Sheep - Subsistence</v>
      </c>
      <c r="B48" t="s">
        <v>820</v>
      </c>
      <c r="C48">
        <v>4183862.7657327019</v>
      </c>
      <c r="D48">
        <v>3995736.1768468926</v>
      </c>
      <c r="E48">
        <v>3830636.9523276691</v>
      </c>
      <c r="F48">
        <v>3582499.6563046952</v>
      </c>
      <c r="G48">
        <v>3607759.9772159201</v>
      </c>
      <c r="H48">
        <v>3556122.8571211509</v>
      </c>
      <c r="I48">
        <v>3567985.4387645437</v>
      </c>
      <c r="J48">
        <v>3490390.1988383494</v>
      </c>
      <c r="K48">
        <v>3500019.8239371148</v>
      </c>
      <c r="L48">
        <v>3414050.996968525</v>
      </c>
      <c r="M48">
        <v>3291657.0663655167</v>
      </c>
      <c r="N48">
        <v>3209595.9133500443</v>
      </c>
      <c r="O48">
        <v>3156004.9562787157</v>
      </c>
      <c r="P48">
        <v>3167030.1792178694</v>
      </c>
      <c r="Q48">
        <v>3110648.0264657419</v>
      </c>
      <c r="R48">
        <v>3103251.3579116268</v>
      </c>
      <c r="S48">
        <v>3062639.4607560104</v>
      </c>
      <c r="T48">
        <v>3059708.705291172</v>
      </c>
      <c r="U48">
        <v>3069617.4499580064</v>
      </c>
      <c r="V48">
        <v>3058731.7868028926</v>
      </c>
      <c r="W48">
        <v>2999558.4383699675</v>
      </c>
      <c r="X48">
        <v>2976112.3946512612</v>
      </c>
      <c r="Y48">
        <v>2990347.4926233329</v>
      </c>
      <c r="Z48">
        <v>3012956.1776377996</v>
      </c>
      <c r="AA48">
        <v>2958946.5412143511</v>
      </c>
      <c r="AB48">
        <v>2935360.9377116049</v>
      </c>
      <c r="AC48">
        <v>2852322.8662078534</v>
      </c>
      <c r="AD48">
        <v>2783101.2133240541</v>
      </c>
    </row>
    <row r="49" spans="1:36" x14ac:dyDescent="0.25">
      <c r="A49" t="str">
        <f>'Activity data'!C13&amp;" - "&amp;'Activity data'!D13</f>
        <v>3A1d Goats - Commercial</v>
      </c>
      <c r="B49" t="s">
        <v>820</v>
      </c>
      <c r="C49">
        <v>2774000.0000000005</v>
      </c>
      <c r="D49">
        <v>2453000.0000000009</v>
      </c>
      <c r="E49">
        <v>2284999.9999999995</v>
      </c>
      <c r="F49">
        <v>2158999.9999999995</v>
      </c>
      <c r="G49">
        <v>2336999.9999999995</v>
      </c>
      <c r="H49">
        <v>2369000</v>
      </c>
      <c r="I49">
        <v>2405999.9999999995</v>
      </c>
      <c r="J49">
        <v>2394000</v>
      </c>
      <c r="K49">
        <v>2360000</v>
      </c>
      <c r="L49">
        <v>2325000.0000000005</v>
      </c>
      <c r="M49">
        <v>2355000</v>
      </c>
      <c r="N49">
        <v>2427000.0000000005</v>
      </c>
      <c r="O49">
        <v>2216000.0000000005</v>
      </c>
      <c r="P49">
        <v>2160000</v>
      </c>
      <c r="Q49">
        <v>2164000.0000000005</v>
      </c>
      <c r="R49">
        <v>2136000</v>
      </c>
      <c r="S49">
        <v>2181000</v>
      </c>
      <c r="T49">
        <v>2116000</v>
      </c>
      <c r="U49">
        <v>2114000.0000000005</v>
      </c>
      <c r="V49">
        <v>2077000</v>
      </c>
      <c r="W49">
        <v>2052000.0000000002</v>
      </c>
      <c r="X49">
        <v>2033000.0000000002</v>
      </c>
      <c r="Y49">
        <v>2028000.0000000002</v>
      </c>
      <c r="Z49">
        <v>2005000</v>
      </c>
      <c r="AA49">
        <v>1987000.0000000002</v>
      </c>
      <c r="AB49">
        <v>1960000.0000000002</v>
      </c>
      <c r="AC49">
        <v>1900999.9999999998</v>
      </c>
      <c r="AD49">
        <v>1843000</v>
      </c>
      <c r="AI49">
        <f>SLOPE(M49:AD49,M21:AD21)</f>
        <v>-70.552737449711444</v>
      </c>
      <c r="AJ49">
        <f>INTERCEPT(M49:AD49,M21:AD21)</f>
        <v>2826074.60206402</v>
      </c>
    </row>
    <row r="50" spans="1:36" x14ac:dyDescent="0.25">
      <c r="A50" t="str">
        <f>'Activity data'!C14&amp;" - "&amp;'Activity data'!D14</f>
        <v>3A1d Goats - Subsistence</v>
      </c>
      <c r="B50" t="s">
        <v>820</v>
      </c>
      <c r="C50">
        <v>5479284.9120494025</v>
      </c>
      <c r="D50">
        <v>4845236.4416932901</v>
      </c>
      <c r="E50">
        <v>4513397.9899181286</v>
      </c>
      <c r="F50">
        <v>4264519.151086757</v>
      </c>
      <c r="G50">
        <v>4616109.8916580593</v>
      </c>
      <c r="H50">
        <v>4679317.2158057094</v>
      </c>
      <c r="I50">
        <v>4752400.6843514293</v>
      </c>
      <c r="J50">
        <v>4728697.9377960609</v>
      </c>
      <c r="K50">
        <v>4661540.1558891824</v>
      </c>
      <c r="L50">
        <v>4592407.1451026909</v>
      </c>
      <c r="M50">
        <v>4651664.0114911124</v>
      </c>
      <c r="N50">
        <v>4793880.4908233248</v>
      </c>
      <c r="O50">
        <v>4377107.1972247576</v>
      </c>
      <c r="P50">
        <v>4266494.3799663708</v>
      </c>
      <c r="Q50">
        <v>4274395.2954848269</v>
      </c>
      <c r="R50">
        <v>4219088.886855633</v>
      </c>
      <c r="S50">
        <v>4307974.1864382662</v>
      </c>
      <c r="T50">
        <v>4179584.3092633518</v>
      </c>
      <c r="U50">
        <v>4175633.8515041238</v>
      </c>
      <c r="V50">
        <v>4102550.3829584038</v>
      </c>
      <c r="W50">
        <v>4053169.6609680522</v>
      </c>
      <c r="X50">
        <v>4015640.3122553849</v>
      </c>
      <c r="Y50">
        <v>4005764.1678573145</v>
      </c>
      <c r="Z50">
        <v>3960333.9036261914</v>
      </c>
      <c r="AA50">
        <v>3924779.7837931383</v>
      </c>
      <c r="AB50">
        <v>3871448.6040435587</v>
      </c>
      <c r="AC50">
        <v>3754910.100146329</v>
      </c>
      <c r="AD50">
        <v>3640346.8251287136</v>
      </c>
      <c r="AI50">
        <f>SLOPE(M50:AD50,Drivers!N4:AE4)</f>
        <v>-7.7810867666048139E-2</v>
      </c>
      <c r="AJ50">
        <f>INTERCEPT(M50:AD50,Drivers!N4:AE4)</f>
        <v>8056450.2831868809</v>
      </c>
    </row>
    <row r="51" spans="1:36" x14ac:dyDescent="0.25">
      <c r="A51" t="str">
        <f>'Activity data'!C15&amp;" - "&amp;'Activity data'!D15</f>
        <v>3A1f Horses - Horses</v>
      </c>
      <c r="B51" t="s">
        <v>820</v>
      </c>
      <c r="C51">
        <v>230000</v>
      </c>
      <c r="D51">
        <v>230000</v>
      </c>
      <c r="E51">
        <v>230000</v>
      </c>
      <c r="F51">
        <v>235000</v>
      </c>
      <c r="G51">
        <v>240000</v>
      </c>
      <c r="H51">
        <v>245000</v>
      </c>
      <c r="I51">
        <v>250000</v>
      </c>
      <c r="J51">
        <v>255000</v>
      </c>
      <c r="K51">
        <v>260000</v>
      </c>
      <c r="L51">
        <v>258000</v>
      </c>
      <c r="M51">
        <v>270000</v>
      </c>
      <c r="N51">
        <v>270000</v>
      </c>
      <c r="O51">
        <v>270000</v>
      </c>
      <c r="P51">
        <v>270000</v>
      </c>
      <c r="Q51">
        <v>270000</v>
      </c>
      <c r="R51">
        <v>270000</v>
      </c>
      <c r="S51">
        <v>280000</v>
      </c>
      <c r="T51">
        <v>290000</v>
      </c>
      <c r="U51">
        <v>298000</v>
      </c>
      <c r="V51">
        <v>300000</v>
      </c>
      <c r="W51">
        <v>300000</v>
      </c>
      <c r="X51">
        <v>305000</v>
      </c>
      <c r="Y51">
        <v>308000</v>
      </c>
      <c r="Z51">
        <v>310000</v>
      </c>
      <c r="AA51">
        <v>312000</v>
      </c>
      <c r="AB51">
        <v>314825</v>
      </c>
      <c r="AC51">
        <v>320860</v>
      </c>
      <c r="AD51">
        <v>322771</v>
      </c>
      <c r="AI51">
        <f>SLOPE(M51:AD51,M4:AD4)</f>
        <v>2914344192.2962456</v>
      </c>
      <c r="AJ51">
        <f>INTERCEPT(M51:AD51,M4:AD4)</f>
        <v>96333.125310359173</v>
      </c>
    </row>
    <row r="52" spans="1:36" x14ac:dyDescent="0.25">
      <c r="A52" t="str">
        <f>'Activity data'!C16&amp;" - "&amp;'Activity data'!D16</f>
        <v>3A1g Mules &amp; asses - Mules &amp; Asses</v>
      </c>
      <c r="B52" t="s">
        <v>820</v>
      </c>
      <c r="C52">
        <v>224000</v>
      </c>
      <c r="D52">
        <v>224000</v>
      </c>
      <c r="E52">
        <v>224000</v>
      </c>
      <c r="F52">
        <v>224000</v>
      </c>
      <c r="G52">
        <v>224000</v>
      </c>
      <c r="H52">
        <v>224000</v>
      </c>
      <c r="I52">
        <v>224000</v>
      </c>
      <c r="J52">
        <v>224000</v>
      </c>
      <c r="K52">
        <v>224000</v>
      </c>
      <c r="L52">
        <v>224000</v>
      </c>
      <c r="M52">
        <v>164000</v>
      </c>
      <c r="N52">
        <v>164000</v>
      </c>
      <c r="O52">
        <v>164000</v>
      </c>
      <c r="P52">
        <v>164000</v>
      </c>
      <c r="Q52">
        <v>164000</v>
      </c>
      <c r="R52">
        <v>164000</v>
      </c>
      <c r="S52">
        <v>164050</v>
      </c>
      <c r="T52">
        <v>164600</v>
      </c>
      <c r="U52">
        <v>164700</v>
      </c>
      <c r="V52">
        <v>164800</v>
      </c>
      <c r="W52">
        <v>166300</v>
      </c>
      <c r="X52">
        <v>167000</v>
      </c>
      <c r="Y52">
        <v>167000</v>
      </c>
      <c r="Z52">
        <v>170500</v>
      </c>
      <c r="AA52">
        <v>171000</v>
      </c>
      <c r="AB52">
        <v>169029</v>
      </c>
      <c r="AC52">
        <v>161868</v>
      </c>
      <c r="AD52">
        <v>162820</v>
      </c>
    </row>
    <row r="53" spans="1:36" x14ac:dyDescent="0.25">
      <c r="C53">
        <f>C55/C54</f>
        <v>12.07606973058637</v>
      </c>
      <c r="D53">
        <f t="shared" ref="D53:AD53" si="4">D55/D54</f>
        <v>12.729357798165138</v>
      </c>
      <c r="E53">
        <f t="shared" si="4"/>
        <v>14.676131322094054</v>
      </c>
      <c r="F53">
        <f t="shared" si="4"/>
        <v>12.75462962962963</v>
      </c>
      <c r="G53">
        <f t="shared" si="4"/>
        <v>13.127090301003344</v>
      </c>
      <c r="H53">
        <f t="shared" si="4"/>
        <v>13.319327731092438</v>
      </c>
      <c r="I53">
        <f t="shared" si="4"/>
        <v>13.494071146245059</v>
      </c>
      <c r="J53">
        <f t="shared" si="4"/>
        <v>13.28381548084441</v>
      </c>
      <c r="K53">
        <f t="shared" si="4"/>
        <v>13.888</v>
      </c>
      <c r="L53">
        <f t="shared" si="4"/>
        <v>14.932885906040269</v>
      </c>
      <c r="M53">
        <f t="shared" si="4"/>
        <v>13.390243902439025</v>
      </c>
      <c r="N53">
        <f t="shared" si="4"/>
        <v>15.696913002806362</v>
      </c>
      <c r="O53">
        <f t="shared" si="4"/>
        <v>14.665523156089193</v>
      </c>
      <c r="P53">
        <f t="shared" si="4"/>
        <v>12.318518518518518</v>
      </c>
      <c r="Q53">
        <f t="shared" si="4"/>
        <v>10.605867346938776</v>
      </c>
      <c r="R53">
        <f t="shared" si="4"/>
        <v>10.338134001252348</v>
      </c>
      <c r="S53">
        <f t="shared" si="4"/>
        <v>9.4632438739789961</v>
      </c>
      <c r="T53">
        <f t="shared" si="4"/>
        <v>8.824158204168894</v>
      </c>
      <c r="U53">
        <f t="shared" si="4"/>
        <v>8.8882773802971933</v>
      </c>
      <c r="V53">
        <f t="shared" si="4"/>
        <v>8.9263973436635311</v>
      </c>
      <c r="W53">
        <f t="shared" si="4"/>
        <v>8.306409588327254</v>
      </c>
      <c r="X53">
        <f t="shared" si="4"/>
        <v>7.7230619210141391</v>
      </c>
      <c r="Y53">
        <f t="shared" si="4"/>
        <v>7.6650485436893208</v>
      </c>
      <c r="Z53">
        <f t="shared" si="4"/>
        <v>7.3723653395784545</v>
      </c>
      <c r="AA53">
        <f t="shared" si="4"/>
        <v>6.9669937555753787</v>
      </c>
      <c r="AB53">
        <f t="shared" si="4"/>
        <v>6.5364806866952794</v>
      </c>
      <c r="AC53">
        <f t="shared" si="4"/>
        <v>6.2196626902509253</v>
      </c>
      <c r="AD53">
        <f t="shared" si="4"/>
        <v>6.3891285591026747</v>
      </c>
    </row>
    <row r="54" spans="1:36" x14ac:dyDescent="0.25">
      <c r="A54">
        <f>'Intermediate calculations'!A58</f>
        <v>0</v>
      </c>
      <c r="B54">
        <f>'Intermediate calculations'!B58</f>
        <v>0</v>
      </c>
      <c r="C54">
        <v>126200</v>
      </c>
      <c r="D54">
        <v>130800</v>
      </c>
      <c r="E54">
        <v>112700</v>
      </c>
      <c r="F54">
        <v>129600</v>
      </c>
      <c r="G54">
        <v>119600</v>
      </c>
      <c r="H54">
        <v>119000</v>
      </c>
      <c r="I54">
        <v>126500</v>
      </c>
      <c r="J54">
        <v>127900</v>
      </c>
      <c r="K54">
        <v>125000</v>
      </c>
      <c r="L54">
        <v>119200</v>
      </c>
      <c r="M54">
        <v>123000</v>
      </c>
      <c r="N54">
        <v>106900</v>
      </c>
      <c r="O54">
        <v>116600</v>
      </c>
      <c r="P54">
        <v>135000</v>
      </c>
      <c r="Q54">
        <v>156800</v>
      </c>
      <c r="R54">
        <v>159700</v>
      </c>
      <c r="S54">
        <v>171400</v>
      </c>
      <c r="T54">
        <v>187100</v>
      </c>
      <c r="U54">
        <v>181700</v>
      </c>
      <c r="V54">
        <v>180700</v>
      </c>
      <c r="W54">
        <v>191900</v>
      </c>
      <c r="X54">
        <v>205100</v>
      </c>
      <c r="Y54">
        <v>206000</v>
      </c>
      <c r="Z54">
        <v>213500</v>
      </c>
      <c r="AA54">
        <v>224200</v>
      </c>
      <c r="AB54">
        <v>233000</v>
      </c>
      <c r="AC54">
        <v>243100</v>
      </c>
      <c r="AD54">
        <v>231800</v>
      </c>
      <c r="AI54">
        <f>SLOPE(F54:AD54,F52:AD52)</f>
        <v>-0.9359862684889545</v>
      </c>
      <c r="AJ54">
        <f>INTERCEPT(F54:AD54,F52:AD52)</f>
        <v>335559.27572493523</v>
      </c>
    </row>
    <row r="55" spans="1:36" x14ac:dyDescent="0.25">
      <c r="A55" t="str">
        <f>'Activity data'!C17&amp;" - "&amp;'Activity data'!D17</f>
        <v>3A1h Swine - Commercial</v>
      </c>
      <c r="B55" t="s">
        <v>820</v>
      </c>
      <c r="C55">
        <v>1524000</v>
      </c>
      <c r="D55">
        <v>1665000</v>
      </c>
      <c r="E55">
        <v>1654000</v>
      </c>
      <c r="F55">
        <v>1653000</v>
      </c>
      <c r="G55">
        <v>1570000</v>
      </c>
      <c r="H55">
        <v>1585000</v>
      </c>
      <c r="I55">
        <v>1707000</v>
      </c>
      <c r="J55">
        <v>1699000</v>
      </c>
      <c r="K55">
        <v>1736000</v>
      </c>
      <c r="L55">
        <v>1780000</v>
      </c>
      <c r="M55">
        <v>1647000</v>
      </c>
      <c r="N55">
        <v>1678000</v>
      </c>
      <c r="O55">
        <v>1710000</v>
      </c>
      <c r="P55">
        <v>1663000</v>
      </c>
      <c r="Q55">
        <v>1663000</v>
      </c>
      <c r="R55">
        <v>1651000</v>
      </c>
      <c r="S55">
        <v>1622000</v>
      </c>
      <c r="T55">
        <v>1651000</v>
      </c>
      <c r="U55">
        <v>1615000</v>
      </c>
      <c r="V55">
        <v>1613000</v>
      </c>
      <c r="W55">
        <v>1594000</v>
      </c>
      <c r="X55">
        <v>1584000</v>
      </c>
      <c r="Y55">
        <v>1579000</v>
      </c>
      <c r="Z55">
        <v>1574000</v>
      </c>
      <c r="AA55">
        <v>1562000</v>
      </c>
      <c r="AB55">
        <v>1523000</v>
      </c>
      <c r="AC55">
        <v>1512000</v>
      </c>
      <c r="AD55">
        <v>1481000</v>
      </c>
      <c r="AI55">
        <f>SLOPE(F55:AD55,LN(F25:AD25))</f>
        <v>-205539.44223151155</v>
      </c>
      <c r="AJ55">
        <f>INTERCEPT(F55:AD55,LN(F25:AD25))</f>
        <v>4088839.9263823261</v>
      </c>
    </row>
    <row r="56" spans="1:36" x14ac:dyDescent="0.25">
      <c r="A56" t="str">
        <f>'Activity data'!C18&amp;" - "&amp;'Activity data'!D18</f>
        <v>3A1h Swine - Subsistence</v>
      </c>
      <c r="B56" t="s">
        <v>820</v>
      </c>
      <c r="C56">
        <v>199009.99166888703</v>
      </c>
      <c r="D56">
        <v>217422.33341778014</v>
      </c>
      <c r="E56">
        <v>215985.90959339839</v>
      </c>
      <c r="F56">
        <v>215855.3256093637</v>
      </c>
      <c r="G56">
        <v>205016.85493448336</v>
      </c>
      <c r="H56">
        <v>206975.6146950039</v>
      </c>
      <c r="I56">
        <v>222906.86074723766</v>
      </c>
      <c r="J56">
        <v>221862.18887496003</v>
      </c>
      <c r="K56">
        <v>226693.79628424402</v>
      </c>
      <c r="L56">
        <v>232439.49158177094</v>
      </c>
      <c r="M56">
        <v>215071.82170515548</v>
      </c>
      <c r="N56">
        <v>219119.92521023127</v>
      </c>
      <c r="O56">
        <v>223298.61269934176</v>
      </c>
      <c r="P56">
        <v>217161.16544971074</v>
      </c>
      <c r="Q56">
        <v>217161.16544971074</v>
      </c>
      <c r="R56">
        <v>215594.1576412943</v>
      </c>
      <c r="S56">
        <v>211807.22210428791</v>
      </c>
      <c r="T56">
        <v>215594.1576412943</v>
      </c>
      <c r="U56">
        <v>210893.134216045</v>
      </c>
      <c r="V56">
        <v>210631.96624797559</v>
      </c>
      <c r="W56">
        <v>208150.87055131624</v>
      </c>
      <c r="X56">
        <v>206845.03071096921</v>
      </c>
      <c r="Y56">
        <v>206192.1107907957</v>
      </c>
      <c r="Z56">
        <v>205539.19087062217</v>
      </c>
      <c r="AA56">
        <v>203972.18306220576</v>
      </c>
      <c r="AB56">
        <v>198879.40768485234</v>
      </c>
      <c r="AC56">
        <v>197442.98386047062</v>
      </c>
      <c r="AD56">
        <v>193394.88035539482</v>
      </c>
    </row>
    <row r="57" spans="1:36" x14ac:dyDescent="0.25">
      <c r="A57" t="str">
        <f>'Activity data'!C19&amp;" - "&amp;'Activity data'!D19</f>
        <v>3A2i Poultry - Commercial layers</v>
      </c>
      <c r="B57" t="s">
        <v>820</v>
      </c>
      <c r="C57">
        <v>14643674.931267885</v>
      </c>
      <c r="D57">
        <v>14226110.812328145</v>
      </c>
      <c r="E57">
        <v>13492476.52712371</v>
      </c>
      <c r="F57">
        <v>13280331.082668224</v>
      </c>
      <c r="G57">
        <v>12702684.496371185</v>
      </c>
      <c r="H57">
        <v>13860209.809151115</v>
      </c>
      <c r="I57">
        <v>14640611.562802857</v>
      </c>
      <c r="J57">
        <v>14688755.298092401</v>
      </c>
      <c r="K57">
        <v>16538299.007411262</v>
      </c>
      <c r="L57">
        <v>17730716.13950536</v>
      </c>
      <c r="M57">
        <v>17355030.714458548</v>
      </c>
      <c r="N57">
        <v>17818001.024886843</v>
      </c>
      <c r="O57">
        <v>17678155.288284503</v>
      </c>
      <c r="P57">
        <v>16972399.104253348</v>
      </c>
      <c r="Q57">
        <v>17587835.89054852</v>
      </c>
      <c r="R57">
        <v>18648391.6209228</v>
      </c>
      <c r="S57">
        <v>20580691.805783488</v>
      </c>
      <c r="T57">
        <v>22776081.657241259</v>
      </c>
      <c r="U57">
        <v>23076039.863330547</v>
      </c>
      <c r="V57">
        <v>22225308.649488669</v>
      </c>
      <c r="W57">
        <v>23091061.215630483</v>
      </c>
      <c r="X57">
        <v>24156882.687047753</v>
      </c>
      <c r="Y57">
        <v>25036870.403128054</v>
      </c>
      <c r="Z57">
        <v>24549576.616170555</v>
      </c>
      <c r="AA57">
        <v>24340499.841357533</v>
      </c>
      <c r="AB57">
        <v>24851160.720602136</v>
      </c>
      <c r="AC57">
        <v>24800000</v>
      </c>
      <c r="AD57">
        <v>23160000</v>
      </c>
      <c r="AI57">
        <f>SLOPE(M57:AD57,M27:AD27)</f>
        <v>53.758789541785902</v>
      </c>
      <c r="AJ57">
        <f>INTERCEPT(M57:AD57,M27:AD27)</f>
        <v>-485263.55440489948</v>
      </c>
    </row>
    <row r="58" spans="1:36" x14ac:dyDescent="0.25">
      <c r="A58" t="str">
        <f>'Activity data'!C20&amp;" - "&amp;'Activity data'!D20</f>
        <v>3A2i Poultry - Commercial broilers</v>
      </c>
      <c r="B58" t="s">
        <v>820</v>
      </c>
      <c r="C58">
        <v>40304488.125775687</v>
      </c>
      <c r="D58">
        <v>37886218.887128815</v>
      </c>
      <c r="E58">
        <v>35805187.036307976</v>
      </c>
      <c r="F58">
        <v>40268107.368938237</v>
      </c>
      <c r="G58">
        <v>39890443.299430735</v>
      </c>
      <c r="H58">
        <v>45660443.796231762</v>
      </c>
      <c r="I58">
        <v>53091326.838711366</v>
      </c>
      <c r="J58">
        <v>54040901.985378392</v>
      </c>
      <c r="K58">
        <v>59214394.697576575</v>
      </c>
      <c r="L58">
        <v>61819163.842046939</v>
      </c>
      <c r="M58">
        <v>66512864.907880791</v>
      </c>
      <c r="N58">
        <v>64225159.968942329</v>
      </c>
      <c r="O58">
        <v>71182309.580183759</v>
      </c>
      <c r="P58">
        <v>67705122.244331256</v>
      </c>
      <c r="Q58">
        <v>69339582.95804137</v>
      </c>
      <c r="R58">
        <v>76722494.212373629</v>
      </c>
      <c r="S58">
        <v>82061878.307196394</v>
      </c>
      <c r="T58">
        <v>85859218.536646262</v>
      </c>
      <c r="U58">
        <v>91416754.470852047</v>
      </c>
      <c r="V58">
        <v>86261715.79298</v>
      </c>
      <c r="W58">
        <v>88431266.728296682</v>
      </c>
      <c r="X58">
        <v>91461113.859690607</v>
      </c>
      <c r="Y58">
        <v>93498642.184348121</v>
      </c>
      <c r="Z58">
        <v>91051385.328801513</v>
      </c>
      <c r="AA58">
        <v>95192509.839774087</v>
      </c>
      <c r="AB58">
        <v>99033153.399708137</v>
      </c>
      <c r="AC58">
        <v>92093884</v>
      </c>
      <c r="AD58">
        <v>91976041</v>
      </c>
      <c r="AI58">
        <f>SLOPE(M58:AD58,M29:AD29)</f>
        <v>31.934053148515922</v>
      </c>
      <c r="AJ58">
        <f>INTERCEPT(M58:AD58,M29:AD29)</f>
        <v>38267366.030262902</v>
      </c>
    </row>
    <row r="59" spans="1:36" x14ac:dyDescent="0.25">
      <c r="A59" t="str">
        <f>'Activity data'!C21&amp;" - "&amp;'Activity data'!D21</f>
        <v>3A2i Poultry - Subsistence layers</v>
      </c>
      <c r="B59" t="s">
        <v>820</v>
      </c>
      <c r="C59">
        <v>615034.34711325122</v>
      </c>
      <c r="D59">
        <v>597496.65411778213</v>
      </c>
      <c r="E59">
        <v>566684.0141391959</v>
      </c>
      <c r="F59">
        <v>557773.90547206544</v>
      </c>
      <c r="G59">
        <v>533512.74884758983</v>
      </c>
      <c r="H59">
        <v>582128.81198434683</v>
      </c>
      <c r="I59">
        <v>614905.68563772005</v>
      </c>
      <c r="J59">
        <v>616927.72251988086</v>
      </c>
      <c r="K59">
        <v>694608.55831127299</v>
      </c>
      <c r="L59">
        <v>744690.07785922522</v>
      </c>
      <c r="M59">
        <v>728911.290007259</v>
      </c>
      <c r="N59">
        <v>748356.04304524744</v>
      </c>
      <c r="O59">
        <v>742482.52210794913</v>
      </c>
      <c r="P59">
        <v>712840.76237864071</v>
      </c>
      <c r="Q59">
        <v>738689.10740303784</v>
      </c>
      <c r="R59">
        <v>783232.44807875762</v>
      </c>
      <c r="S59">
        <v>864389.05584290659</v>
      </c>
      <c r="T59">
        <v>956595.42960413289</v>
      </c>
      <c r="U59">
        <v>969193.674259883</v>
      </c>
      <c r="V59">
        <v>933462.96327852411</v>
      </c>
      <c r="W59">
        <v>969824.57105648029</v>
      </c>
      <c r="X59">
        <v>1014589.0728560057</v>
      </c>
      <c r="Y59">
        <v>1051548.5569313783</v>
      </c>
      <c r="Z59">
        <v>1031082.2178791633</v>
      </c>
      <c r="AA59">
        <v>1022300.9933370164</v>
      </c>
      <c r="AB59">
        <v>1043748.7502652898</v>
      </c>
      <c r="AC59">
        <v>1041600.0000000001</v>
      </c>
      <c r="AD59">
        <v>972720.00000000012</v>
      </c>
    </row>
    <row r="60" spans="1:36" x14ac:dyDescent="0.25">
      <c r="A60" t="str">
        <f>'Activity data'!C22&amp;" - "&amp;'Activity data'!D22</f>
        <v>3A2i Poultry - Subsistence broilers</v>
      </c>
      <c r="B60" t="s">
        <v>820</v>
      </c>
      <c r="C60">
        <v>1692788.501282579</v>
      </c>
      <c r="D60">
        <v>1591221.1932594103</v>
      </c>
      <c r="E60">
        <v>1503817.8555249351</v>
      </c>
      <c r="F60">
        <v>1691260.5094954062</v>
      </c>
      <c r="G60">
        <v>1675398.618576091</v>
      </c>
      <c r="H60">
        <v>1917738.6394417342</v>
      </c>
      <c r="I60">
        <v>2229835.7272258773</v>
      </c>
      <c r="J60">
        <v>2269717.8833858925</v>
      </c>
      <c r="K60">
        <v>2487004.5772982165</v>
      </c>
      <c r="L60">
        <v>2596404.8813659716</v>
      </c>
      <c r="M60">
        <v>2793540.3261309932</v>
      </c>
      <c r="N60">
        <v>2697456.7186955782</v>
      </c>
      <c r="O60">
        <v>2989657.0023677181</v>
      </c>
      <c r="P60">
        <v>2843615.1342619131</v>
      </c>
      <c r="Q60">
        <v>2912262.4842377375</v>
      </c>
      <c r="R60">
        <v>3222344.7569196927</v>
      </c>
      <c r="S60">
        <v>3446598.8889022488</v>
      </c>
      <c r="T60">
        <v>3606087.1785391434</v>
      </c>
      <c r="U60">
        <v>3839503.687775786</v>
      </c>
      <c r="V60">
        <v>3622992.06330516</v>
      </c>
      <c r="W60">
        <v>3714113.2025884609</v>
      </c>
      <c r="X60">
        <v>3841366.7821070058</v>
      </c>
      <c r="Y60">
        <v>3926942.9717426212</v>
      </c>
      <c r="Z60">
        <v>3824158.1838096636</v>
      </c>
      <c r="AA60">
        <v>3998085.4132705121</v>
      </c>
      <c r="AB60">
        <v>4159392.4427877418</v>
      </c>
      <c r="AC60">
        <v>3867943.128</v>
      </c>
      <c r="AD60">
        <v>3862993.7220000001</v>
      </c>
    </row>
    <row r="61" spans="1:36" x14ac:dyDescent="0.25">
      <c r="A61" t="str">
        <f>A41</f>
        <v>3A1ai Dairy cattle - TMR</v>
      </c>
      <c r="B61" t="s">
        <v>823</v>
      </c>
      <c r="D61" s="57">
        <f>(D41-C41)/C41</f>
        <v>0.15125974669851733</v>
      </c>
      <c r="E61" s="57">
        <f>(E41-D41)/D41</f>
        <v>-0.13487061034334275</v>
      </c>
      <c r="F61" s="57">
        <f>(F41-E41)/E41</f>
        <v>6.0593718888587125E-2</v>
      </c>
      <c r="G61" s="57">
        <f>(G41-F41)/F41</f>
        <v>-7.2321542859580992E-2</v>
      </c>
      <c r="H61" s="57">
        <f>(H41-G41)/G41</f>
        <v>6.9772789991721179E-2</v>
      </c>
      <c r="I61" s="57">
        <f>(I41-H41)/H41</f>
        <v>3.8264757728191392E-3</v>
      </c>
      <c r="J61" s="57">
        <f>(J41-I41)/I41</f>
        <v>-3.593455542230585E-2</v>
      </c>
      <c r="K61" s="57">
        <f>(K41-J41)/J41</f>
        <v>-1.186192189790755E-2</v>
      </c>
      <c r="L61" s="57">
        <f>(L41-K41)/K41</f>
        <v>-1.7714234331445033E-2</v>
      </c>
      <c r="M61" s="57">
        <f>(M41-L41)/L41</f>
        <v>0.28762358110582209</v>
      </c>
      <c r="N61" s="57">
        <f>(N41-M41)/M41</f>
        <v>-3.1636570453577061E-3</v>
      </c>
      <c r="O61" s="57">
        <f>(O41-N41)/N41</f>
        <v>-0.12798202760047056</v>
      </c>
      <c r="P61" s="57">
        <f>(P41-O41)/O41</f>
        <v>-9.0455549194405863E-2</v>
      </c>
      <c r="Q61" s="57">
        <f>(Q41-P41)/P41</f>
        <v>-3.4484308965021235E-2</v>
      </c>
      <c r="R61" s="57">
        <f>(R41-Q41)/Q41</f>
        <v>7.0640279394644886E-2</v>
      </c>
      <c r="S61" s="57">
        <f>(S41-R41)/R41</f>
        <v>-2.1746694502435455E-2</v>
      </c>
      <c r="T61" s="57">
        <f>(T41-S41)/S41</f>
        <v>-7.158100658011749E-3</v>
      </c>
      <c r="U61" s="57">
        <f>(U41-T41)/T41</f>
        <v>0.22466526353499605</v>
      </c>
      <c r="V61" s="57">
        <f>(V41-U41)/U41</f>
        <v>2.4791575252303716E-2</v>
      </c>
      <c r="W61" s="57">
        <f>(W41-V41)/V41</f>
        <v>0</v>
      </c>
      <c r="X61" s="57">
        <f>(X41-W41)/W41</f>
        <v>-3.6287732819524923E-2</v>
      </c>
      <c r="Y61" s="57">
        <f>(Y41-X41)/X41</f>
        <v>-3.702469547187965E-2</v>
      </c>
      <c r="Z61" s="57">
        <f>(Z41-Y41)/Y41</f>
        <v>7.8203698719673989E-2</v>
      </c>
      <c r="AA61" s="57">
        <f>(AA41-Z41)/Z41</f>
        <v>-5.4701708091145718E-2</v>
      </c>
      <c r="AB61" s="57">
        <f>(AB41-AA41)/AA41</f>
        <v>1.2146818061790356E-2</v>
      </c>
      <c r="AC61" s="57">
        <f>(AC41-AB41)/AB41</f>
        <v>3.7270321642875873E-2</v>
      </c>
      <c r="AD61" s="57">
        <f>(AD41-AC41)/AC41</f>
        <v>7.5671014336531214E-2</v>
      </c>
      <c r="AE61" s="57"/>
      <c r="AF61" s="57"/>
      <c r="AG61" s="57"/>
    </row>
    <row r="62" spans="1:36" x14ac:dyDescent="0.25">
      <c r="A62" t="str">
        <f>A42</f>
        <v>3A1ai Dairy cattle - Pasture</v>
      </c>
      <c r="B62" t="s">
        <v>823</v>
      </c>
      <c r="D62" s="57">
        <f>(D42-C42)/C42</f>
        <v>0.15125974669851724</v>
      </c>
      <c r="E62" s="57">
        <f>(E42-D42)/D42</f>
        <v>-0.13487061034334263</v>
      </c>
      <c r="F62" s="57">
        <f>(F42-E42)/E42</f>
        <v>6.0593718888587153E-2</v>
      </c>
      <c r="G62" s="57">
        <f>(G42-F42)/F42</f>
        <v>-7.2321542859580881E-2</v>
      </c>
      <c r="H62" s="57">
        <f>(H42-G42)/G42</f>
        <v>6.9772789991720999E-2</v>
      </c>
      <c r="I62" s="57">
        <f>(I42-H42)/H42</f>
        <v>3.8264757728191053E-3</v>
      </c>
      <c r="J62" s="57">
        <f>(J42-I42)/I42</f>
        <v>-3.5934555422305864E-2</v>
      </c>
      <c r="K62" s="57">
        <f>(K42-J42)/J42</f>
        <v>-1.1861921897907444E-2</v>
      </c>
      <c r="L62" s="57">
        <f>(L42-K42)/K42</f>
        <v>-1.7714234331445273E-2</v>
      </c>
      <c r="M62" s="57">
        <f>(M42-L42)/L42</f>
        <v>0.28762358110582231</v>
      </c>
      <c r="N62" s="57">
        <f>(N42-M42)/M42</f>
        <v>-3.1636570453575843E-3</v>
      </c>
      <c r="O62" s="57">
        <f>(O42-N42)/N42</f>
        <v>-0.12798202760047087</v>
      </c>
      <c r="P62" s="57">
        <f>(P42-O42)/O42</f>
        <v>-9.0455549194405627E-2</v>
      </c>
      <c r="Q62" s="57">
        <f>(Q42-P42)/P42</f>
        <v>-3.448430896502129E-2</v>
      </c>
      <c r="R62" s="57">
        <f>(R42-Q42)/Q42</f>
        <v>7.0640279394644998E-2</v>
      </c>
      <c r="S62" s="57">
        <f>(S42-R42)/R42</f>
        <v>-2.1746694502435701E-2</v>
      </c>
      <c r="T62" s="57">
        <f>(T42-S42)/S42</f>
        <v>-7.1581006580115781E-3</v>
      </c>
      <c r="U62" s="57">
        <f>(U42-T42)/T42</f>
        <v>0.22466526353499602</v>
      </c>
      <c r="V62" s="57">
        <f>(V42-U42)/U42</f>
        <v>2.4791575252303553E-2</v>
      </c>
      <c r="W62" s="57">
        <f>(W42-V42)/V42</f>
        <v>0</v>
      </c>
      <c r="X62" s="57">
        <f>(X42-W42)/W42</f>
        <v>-3.6287732819524715E-2</v>
      </c>
      <c r="Y62" s="57">
        <f>(Y42-X42)/X42</f>
        <v>-3.7024695471879629E-2</v>
      </c>
      <c r="Z62" s="57">
        <f>(Z42-Y42)/Y42</f>
        <v>7.8203698719674045E-2</v>
      </c>
      <c r="AA62" s="57">
        <f>(AA42-Z42)/Z42</f>
        <v>-5.4701708091145759E-2</v>
      </c>
      <c r="AB62" s="57">
        <f>(AB42-AA42)/AA42</f>
        <v>1.2146818061790186E-2</v>
      </c>
      <c r="AC62" s="57">
        <f>(AC42-AB42)/AB42</f>
        <v>3.7270321642875782E-2</v>
      </c>
      <c r="AD62" s="57">
        <f>(AD42-AC42)/AC42</f>
        <v>7.5671014336531298E-2</v>
      </c>
      <c r="AE62" s="57"/>
      <c r="AF62" s="57"/>
      <c r="AG62" s="57"/>
    </row>
    <row r="63" spans="1:36" x14ac:dyDescent="0.25">
      <c r="A63" t="str">
        <f>A43</f>
        <v>3A1aii Other cattle - Non-lactating</v>
      </c>
      <c r="B63" t="s">
        <v>823</v>
      </c>
      <c r="D63" s="57">
        <f>(D43-C43)/C43</f>
        <v>0.13665962834305453</v>
      </c>
      <c r="E63" s="57">
        <f>(E43-D43)/D43</f>
        <v>-0.13499739594886631</v>
      </c>
      <c r="F63" s="57">
        <f>(F43-E43)/E43</f>
        <v>4.6531639003582398E-2</v>
      </c>
      <c r="G63" s="57">
        <f>(G43-F43)/F43</f>
        <v>-0.10971848904667425</v>
      </c>
      <c r="H63" s="57">
        <f>(H43-G43)/G43</f>
        <v>8.6591265293823147E-2</v>
      </c>
      <c r="I63" s="57">
        <f>(I43-H43)/H43</f>
        <v>1.6864186020938331E-2</v>
      </c>
      <c r="J63" s="57">
        <f>(J43-I43)/I43</f>
        <v>-3.3753865529968181E-2</v>
      </c>
      <c r="K63" s="57">
        <f>(K43-J43)/J43</f>
        <v>-5.149154435168056E-2</v>
      </c>
      <c r="L63" s="57">
        <f>(L43-K43)/K43</f>
        <v>5.3648706389340592E-2</v>
      </c>
      <c r="M63" s="57">
        <f>(M43-L43)/L43</f>
        <v>0.23935805003621252</v>
      </c>
      <c r="N63" s="57">
        <f>(N43-M43)/M43</f>
        <v>-1.3857370403248442E-2</v>
      </c>
      <c r="O63" s="57">
        <f>(O43-N43)/N43</f>
        <v>-8.194113118583489E-2</v>
      </c>
      <c r="P63" s="57">
        <f>(P43-O43)/O43</f>
        <v>-0.1541426914776301</v>
      </c>
      <c r="Q63" s="57">
        <f>(Q43-P43)/P43</f>
        <v>-6.6776039641176635E-2</v>
      </c>
      <c r="R63" s="57">
        <f>(R43-Q43)/Q43</f>
        <v>9.1628392467052372E-2</v>
      </c>
      <c r="S63" s="57">
        <f>(S43-R43)/R43</f>
        <v>-1.2259514166457026E-2</v>
      </c>
      <c r="T63" s="57">
        <f>(T43-S43)/S43</f>
        <v>1.1777483397588892E-2</v>
      </c>
      <c r="U63" s="57">
        <f>(U43-T43)/T43</f>
        <v>0.1698603507603455</v>
      </c>
      <c r="V63" s="57">
        <f>(V43-U43)/U43</f>
        <v>4.0872549348313206E-2</v>
      </c>
      <c r="W63" s="57">
        <f>(W43-V43)/V43</f>
        <v>0</v>
      </c>
      <c r="X63" s="57">
        <f>(X43-W43)/W43</f>
        <v>-5.8901374679210472E-2</v>
      </c>
      <c r="Y63" s="57">
        <f>(Y43-X43)/X43</f>
        <v>-2.1409605947009979E-2</v>
      </c>
      <c r="Z63" s="57">
        <f>(Z43-Y43)/Y43</f>
        <v>0.12791437083077037</v>
      </c>
      <c r="AA63" s="57">
        <f>(AA43-Z43)/Z43</f>
        <v>-0.10370944031292992</v>
      </c>
      <c r="AB63" s="57">
        <f>(AB43-AA43)/AA43</f>
        <v>-2.0535480511270965E-2</v>
      </c>
      <c r="AC63" s="57">
        <f>(AC43-AB43)/AB43</f>
        <v>2.2095002997914198E-2</v>
      </c>
      <c r="AD63" s="57">
        <f>(AD43-AC43)/AC43</f>
        <v>0.10047335510216809</v>
      </c>
      <c r="AE63" s="57"/>
      <c r="AF63" s="57"/>
      <c r="AG63" s="57"/>
    </row>
    <row r="64" spans="1:36" x14ac:dyDescent="0.25">
      <c r="A64" t="str">
        <f>A44</f>
        <v>3A1aii Other cattle - Commercial</v>
      </c>
      <c r="B64" t="s">
        <v>823</v>
      </c>
      <c r="D64" s="57">
        <f>(D44-C44)/C44</f>
        <v>-4.3162048378342699E-2</v>
      </c>
      <c r="E64" s="57">
        <f>(E44-D44)/D44</f>
        <v>-3.6333755438565293E-4</v>
      </c>
      <c r="F64" s="57">
        <f>(F44-E44)/E44</f>
        <v>-6.4464480430151724E-2</v>
      </c>
      <c r="G64" s="57">
        <f>(G44-F44)/F44</f>
        <v>3.0146799668860601E-2</v>
      </c>
      <c r="H64" s="57">
        <f>(H44-G44)/G44</f>
        <v>2.2736929209665743E-2</v>
      </c>
      <c r="I64" s="57">
        <f>(I44-H44)/H44</f>
        <v>4.1483258725394552E-2</v>
      </c>
      <c r="J64" s="57">
        <f>(J44-I44)/I44</f>
        <v>3.7881300477774091E-2</v>
      </c>
      <c r="K64" s="57">
        <f>(K44-J44)/J44</f>
        <v>8.6611679693685134E-3</v>
      </c>
      <c r="L64" s="57">
        <f>(L44-K44)/K44</f>
        <v>-1.6181765509249678E-2</v>
      </c>
      <c r="M64" s="57">
        <f>(M44-L44)/L44</f>
        <v>-6.7931266572670249E-2</v>
      </c>
      <c r="N64" s="57">
        <f>(N44-M44)/M44</f>
        <v>5.1964261536330625E-3</v>
      </c>
      <c r="O64" s="57">
        <f>(O44-N44)/N44</f>
        <v>-6.7990822051847352E-2</v>
      </c>
      <c r="P64" s="57">
        <f>(P44-O44)/O44</f>
        <v>2.6156971731665951E-2</v>
      </c>
      <c r="Q64" s="57">
        <f>(Q44-P44)/P44</f>
        <v>9.219282951854136E-3</v>
      </c>
      <c r="R64" s="57">
        <f>(R44-Q44)/Q44</f>
        <v>8.4822158987010402E-3</v>
      </c>
      <c r="S64" s="57">
        <f>(S44-R44)/R44</f>
        <v>-2.277997805029346E-2</v>
      </c>
      <c r="T64" s="57">
        <f>(T44-S44)/S44</f>
        <v>2.9297447215765934E-2</v>
      </c>
      <c r="U64" s="57">
        <f>(U44-T44)/T44</f>
        <v>-2.7787964034738166E-2</v>
      </c>
      <c r="V64" s="57">
        <f>(V44-U44)/U44</f>
        <v>-1.6790681568867618E-2</v>
      </c>
      <c r="W64" s="57">
        <f>(W44-V44)/V44</f>
        <v>-3.1436172576128902E-3</v>
      </c>
      <c r="X64" s="57">
        <f>(X44-W44)/W44</f>
        <v>-3.5907947187906516E-3</v>
      </c>
      <c r="Y64" s="57">
        <f>(Y44-X44)/X44</f>
        <v>0.18338360812019688</v>
      </c>
      <c r="Z64" s="57">
        <f>(Z44-Y44)/Y44</f>
        <v>-0.17016087230595062</v>
      </c>
      <c r="AA64" s="57">
        <f>(AA44-Z44)/Z44</f>
        <v>2.2984540672973321E-2</v>
      </c>
      <c r="AB64" s="57">
        <f>(AB44-AA44)/AA44</f>
        <v>-2.2940780044546975E-2</v>
      </c>
      <c r="AC64" s="57">
        <f>(AC44-AB44)/AB44</f>
        <v>-4.789987545516556E-2</v>
      </c>
      <c r="AD64" s="57">
        <f>(AD44-AC44)/AC44</f>
        <v>-6.9635997094364022E-2</v>
      </c>
      <c r="AE64" s="57"/>
      <c r="AF64" s="57"/>
      <c r="AG64" s="57"/>
    </row>
    <row r="65" spans="1:33" x14ac:dyDescent="0.25">
      <c r="A65" t="str">
        <f>A45</f>
        <v>3A1aii Other cattle - Subsistence</v>
      </c>
      <c r="B65" t="s">
        <v>823</v>
      </c>
      <c r="D65" s="57">
        <f>(D45-C45)/C45</f>
        <v>7.7328646748682076E-2</v>
      </c>
      <c r="E65" s="57">
        <f>(E45-D45)/D45</f>
        <v>9.7879282218597055E-3</v>
      </c>
      <c r="F65" s="57">
        <f>(F45-E45)/E45</f>
        <v>-1.5045598943707245E-16</v>
      </c>
      <c r="G65" s="57">
        <f>(G45-F45)/F45</f>
        <v>-0.12116316639741505</v>
      </c>
      <c r="H65" s="57">
        <f>(H45-G45)/G45</f>
        <v>-1.2867647058823701E-2</v>
      </c>
      <c r="I65" s="57">
        <f>(I45-H45)/H45</f>
        <v>2.4208566108007628E-2</v>
      </c>
      <c r="J65" s="57">
        <f>(J45-I45)/I45</f>
        <v>2.9090909090908921E-2</v>
      </c>
      <c r="K65" s="57">
        <f>(K45-J45)/J45</f>
        <v>4.4169611307420829E-2</v>
      </c>
      <c r="L65" s="57">
        <f>(L45-K45)/K45</f>
        <v>3.5532994923857544E-2</v>
      </c>
      <c r="M65" s="57">
        <f>(M45-L45)/L45</f>
        <v>2.7777777777777936E-2</v>
      </c>
      <c r="N65" s="57">
        <f>(N45-M45)/M45</f>
        <v>-2.066772655007949E-2</v>
      </c>
      <c r="O65" s="57">
        <f>(O45-N45)/N45</f>
        <v>7.9545454545454544E-2</v>
      </c>
      <c r="P65" s="57">
        <f>(P45-O45)/O45</f>
        <v>-1.5037593984961006E-3</v>
      </c>
      <c r="Q65" s="57">
        <f>(Q45-P45)/P45</f>
        <v>-2.1084337349397589E-2</v>
      </c>
      <c r="R65" s="57">
        <f>(R45-Q45)/Q45</f>
        <v>-1.2307692307692592E-2</v>
      </c>
      <c r="S65" s="57">
        <f>(S45-R45)/R45</f>
        <v>2.336448598130856E-2</v>
      </c>
      <c r="T65" s="57">
        <f>(T45-S45)/S45</f>
        <v>3.3485540334855263E-2</v>
      </c>
      <c r="U65" s="57">
        <f>(U45-T45)/T45</f>
        <v>1.914580265095743E-2</v>
      </c>
      <c r="V65" s="57">
        <f>(V45-U45)/U45</f>
        <v>-2.8901734104044897E-3</v>
      </c>
      <c r="W65" s="57">
        <f>(W45-V45)/V45</f>
        <v>-1.1594202898550858E-2</v>
      </c>
      <c r="X65" s="57">
        <f>(X45-W45)/W45</f>
        <v>-2.9325513196480938E-3</v>
      </c>
      <c r="Y65" s="57">
        <f>(Y45-X45)/X45</f>
        <v>-0.1338235294117647</v>
      </c>
      <c r="Z65" s="57">
        <f>(Z45-Y45)/Y45</f>
        <v>0.19524617996604415</v>
      </c>
      <c r="AA65" s="57">
        <f>(AA45-Z45)/Z45</f>
        <v>-1.7045454545454676E-2</v>
      </c>
      <c r="AB65" s="57">
        <f>(AB45-AA45)/AA45</f>
        <v>-1.1560693641618365E-2</v>
      </c>
      <c r="AC65" s="57">
        <f>(AC45-AB45)/AB45</f>
        <v>-8.7719298245612677E-3</v>
      </c>
      <c r="AD65" s="57">
        <f>(AD45-AC45)/AC45</f>
        <v>-1.0324483775811345E-2</v>
      </c>
      <c r="AE65" s="57"/>
      <c r="AF65" s="57"/>
      <c r="AG65" s="57"/>
    </row>
    <row r="66" spans="1:33" x14ac:dyDescent="0.25">
      <c r="A66" t="str">
        <f>A46</f>
        <v>3A1aii Other cattle - Feedlot</v>
      </c>
      <c r="B66" t="s">
        <v>823</v>
      </c>
      <c r="D66" s="57">
        <f>(D46-C46)/C46</f>
        <v>0</v>
      </c>
      <c r="E66" s="57">
        <f>(E46-D46)/D46</f>
        <v>0</v>
      </c>
      <c r="F66" s="57">
        <f>(F46-E46)/E46</f>
        <v>0</v>
      </c>
      <c r="G66" s="57">
        <f>(G46-F46)/F46</f>
        <v>0</v>
      </c>
      <c r="H66" s="57">
        <f>(H46-G46)/G46</f>
        <v>0</v>
      </c>
      <c r="I66" s="57">
        <f>(I46-H46)/H46</f>
        <v>0</v>
      </c>
      <c r="J66" s="57">
        <f>(J46-I46)/I46</f>
        <v>0</v>
      </c>
      <c r="K66" s="57">
        <f>(K46-J46)/J46</f>
        <v>0</v>
      </c>
      <c r="L66" s="57">
        <f>(L46-K46)/K46</f>
        <v>0</v>
      </c>
      <c r="M66" s="57">
        <f>(M46-L46)/L46</f>
        <v>0</v>
      </c>
      <c r="N66" s="57">
        <f>(N46-M46)/M46</f>
        <v>0</v>
      </c>
      <c r="O66" s="57">
        <f>(O46-N46)/N46</f>
        <v>0</v>
      </c>
      <c r="P66" s="57">
        <f>(P46-O46)/O46</f>
        <v>0</v>
      </c>
      <c r="Q66" s="57">
        <f>(Q46-P46)/P46</f>
        <v>0</v>
      </c>
      <c r="R66" s="57">
        <f>(R46-Q46)/Q46</f>
        <v>0</v>
      </c>
      <c r="S66" s="57">
        <f>(S46-R46)/R46</f>
        <v>0</v>
      </c>
      <c r="T66" s="57">
        <f>(T46-S46)/S46</f>
        <v>0</v>
      </c>
      <c r="U66" s="57">
        <f>(U46-T46)/T46</f>
        <v>-6.8695833333333331E-2</v>
      </c>
      <c r="V66" s="57">
        <f>(V46-U46)/U46</f>
        <v>2.472637684012419E-2</v>
      </c>
      <c r="W66" s="57">
        <f>(W46-V46)/V46</f>
        <v>-2.4876123557721164E-3</v>
      </c>
      <c r="X66" s="57">
        <f>(X46-W46)/W46</f>
        <v>0.15501343513410551</v>
      </c>
      <c r="Y66" s="57">
        <f>(Y46-X46)/X46</f>
        <v>4.8664988932803181E-2</v>
      </c>
      <c r="Z66" s="57">
        <f>(Z46-Y46)/Y46</f>
        <v>3.7944110114047046E-2</v>
      </c>
      <c r="AA66" s="57">
        <f>(AA46-Z46)/Z46</f>
        <v>3.6558314052151701E-2</v>
      </c>
      <c r="AB66" s="57">
        <f>(AB46-AA46)/AA46</f>
        <v>3.5267021736001151E-2</v>
      </c>
      <c r="AC66" s="57">
        <f>(AC46-AB46)/AB46</f>
        <v>5.3274008157211714E-2</v>
      </c>
      <c r="AD66" s="57">
        <f>(AD46-AC46)/AC46</f>
        <v>4.1273568300547757E-2</v>
      </c>
      <c r="AE66" s="57"/>
      <c r="AF66" s="57"/>
      <c r="AG66" s="57"/>
    </row>
    <row r="67" spans="1:33" x14ac:dyDescent="0.25">
      <c r="A67" t="str">
        <f>A47</f>
        <v>3A1c Sheep - Commercial</v>
      </c>
      <c r="B67" t="s">
        <v>823</v>
      </c>
      <c r="D67" s="57">
        <f>(D47-C47)/C47</f>
        <v>-4.4964808699422931E-2</v>
      </c>
      <c r="E67" s="57">
        <f>(E47-D47)/D47</f>
        <v>-4.1318850197338552E-2</v>
      </c>
      <c r="F67" s="57">
        <f>(F47-E47)/E47</f>
        <v>-6.4777032935004378E-2</v>
      </c>
      <c r="G67" s="57">
        <f>(G47-F47)/F47</f>
        <v>7.0510323334631864E-3</v>
      </c>
      <c r="H67" s="57">
        <f>(H47-G47)/G47</f>
        <v>-1.4312792541874588E-2</v>
      </c>
      <c r="I67" s="57">
        <f>(I47-H47)/H47</f>
        <v>3.3358188454142303E-3</v>
      </c>
      <c r="J67" s="57">
        <f>(J47-I47)/I47</f>
        <v>-2.1747633575842917E-2</v>
      </c>
      <c r="K67" s="57">
        <f>(K47-J47)/J47</f>
        <v>2.7588964414234306E-3</v>
      </c>
      <c r="L67" s="57">
        <f>(L47-K47)/K47</f>
        <v>-2.4562382870130389E-2</v>
      </c>
      <c r="M67" s="57">
        <f>(M47-L47)/L47</f>
        <v>-3.585005927318808E-2</v>
      </c>
      <c r="N67" s="57">
        <f>(N47-M47)/M47</f>
        <v>-2.4930043245993384E-2</v>
      </c>
      <c r="O67" s="57">
        <f>(O47-N47)/N47</f>
        <v>-1.6697104096008348E-2</v>
      </c>
      <c r="P67" s="57">
        <f>(P47-O47)/O47</f>
        <v>3.4934111612275583E-3</v>
      </c>
      <c r="Q67" s="57">
        <f>(Q47-P47)/P47</f>
        <v>-1.7802846692812763E-2</v>
      </c>
      <c r="R67" s="57">
        <f>(R47-Q47)/Q47</f>
        <v>-2.3778545470860067E-3</v>
      </c>
      <c r="S67" s="57">
        <f>(S47-R47)/R47</f>
        <v>-1.3086886130599029E-2</v>
      </c>
      <c r="T67" s="57">
        <f>(T47-S47)/S47</f>
        <v>-9.5693779904306223E-4</v>
      </c>
      <c r="U67" s="57">
        <f>(U47-T47)/T47</f>
        <v>3.2384601350118592E-3</v>
      </c>
      <c r="V67" s="57">
        <f>(V47-U47)/U47</f>
        <v>-3.5462605137531258E-3</v>
      </c>
      <c r="W67" s="57">
        <f>(W47-V47)/V47</f>
        <v>-1.9345713373180636E-2</v>
      </c>
      <c r="X67" s="57">
        <f>(X47-W47)/W47</f>
        <v>-7.8164983948262219E-3</v>
      </c>
      <c r="Y67" s="57">
        <f>(Y47-X47)/X47</f>
        <v>4.7831184056271979E-3</v>
      </c>
      <c r="Z67" s="57">
        <f>(Z47-Y47)/Y47</f>
        <v>7.5605544406589812E-3</v>
      </c>
      <c r="AA67" s="57">
        <f>(AA47-Z47)/Z47</f>
        <v>-1.792579554402705E-2</v>
      </c>
      <c r="AB67" s="57">
        <f>(AB47-AA47)/AA47</f>
        <v>-7.9709461371568723E-3</v>
      </c>
      <c r="AC67" s="57">
        <f>(AC47-AB47)/AB47</f>
        <v>-2.8288879380021871E-2</v>
      </c>
      <c r="AD67" s="57">
        <f>(AD47-AC47)/AC47</f>
        <v>-2.4268519424601231E-2</v>
      </c>
      <c r="AE67" s="57"/>
      <c r="AF67" s="57"/>
      <c r="AG67" s="57"/>
    </row>
    <row r="68" spans="1:33" x14ac:dyDescent="0.25">
      <c r="A68" t="str">
        <f>A48</f>
        <v>3A1c Sheep - Subsistence</v>
      </c>
      <c r="B68" t="s">
        <v>823</v>
      </c>
      <c r="D68" s="57">
        <f>(D48-C48)/C48</f>
        <v>-4.496480869942289E-2</v>
      </c>
      <c r="E68" s="57">
        <f>(E48-D48)/D48</f>
        <v>-4.1318850197338657E-2</v>
      </c>
      <c r="F68" s="57">
        <f>(F48-E48)/E48</f>
        <v>-6.4777032935004308E-2</v>
      </c>
      <c r="G68" s="57">
        <f>(G48-F48)/F48</f>
        <v>7.051032333463123E-3</v>
      </c>
      <c r="H68" s="57">
        <f>(H48-G48)/G48</f>
        <v>-1.4312792541874453E-2</v>
      </c>
      <c r="I68" s="57">
        <f>(I48-H48)/H48</f>
        <v>3.3358188454141644E-3</v>
      </c>
      <c r="J68" s="57">
        <f>(J48-I48)/I48</f>
        <v>-2.1747633575842886E-2</v>
      </c>
      <c r="K68" s="57">
        <f>(K48-J48)/J48</f>
        <v>2.7588964414265878E-3</v>
      </c>
      <c r="L68" s="57">
        <f>(L48-K48)/K48</f>
        <v>-2.4562382870130399E-2</v>
      </c>
      <c r="M68" s="57">
        <f>(M48-L48)/L48</f>
        <v>-3.5850059273188011E-2</v>
      </c>
      <c r="N68" s="57">
        <f>(N48-M48)/M48</f>
        <v>-2.4930043245993509E-2</v>
      </c>
      <c r="O68" s="57">
        <f>(O48-N48)/N48</f>
        <v>-1.6697104096008303E-2</v>
      </c>
      <c r="P68" s="57">
        <f>(P48-O48)/O48</f>
        <v>3.493411161227593E-3</v>
      </c>
      <c r="Q68" s="57">
        <f>(Q48-P48)/P48</f>
        <v>-1.7802846692812901E-2</v>
      </c>
      <c r="R68" s="57">
        <f>(R48-Q48)/Q48</f>
        <v>-2.3778545470858241E-3</v>
      </c>
      <c r="S68" s="57">
        <f>(S48-R48)/R48</f>
        <v>-1.3086886130599081E-2</v>
      </c>
      <c r="T68" s="57">
        <f>(T48-S48)/S48</f>
        <v>-9.5693779904308326E-4</v>
      </c>
      <c r="U68" s="57">
        <f>(U48-T48)/T48</f>
        <v>3.2384601350119091E-3</v>
      </c>
      <c r="V68" s="57">
        <f>(V48-U48)/U48</f>
        <v>-3.5462605137531822E-3</v>
      </c>
      <c r="W68" s="57">
        <f>(W48-V48)/V48</f>
        <v>-1.9345713373180518E-2</v>
      </c>
      <c r="X68" s="57">
        <f>(X48-W48)/W48</f>
        <v>-7.8164983948262393E-3</v>
      </c>
      <c r="Y68" s="57">
        <f>(Y48-X48)/X48</f>
        <v>4.7831184056272135E-3</v>
      </c>
      <c r="Z68" s="57">
        <f>(Z48-Y48)/Y48</f>
        <v>7.56055444065897E-3</v>
      </c>
      <c r="AA68" s="57">
        <f>(AA48-Z48)/Z48</f>
        <v>-1.7925795544027092E-2</v>
      </c>
      <c r="AB68" s="57">
        <f>(AB48-AA48)/AA48</f>
        <v>-7.970946137156867E-3</v>
      </c>
      <c r="AC68" s="57">
        <f>(AC48-AB48)/AB48</f>
        <v>-2.8288879380021857E-2</v>
      </c>
      <c r="AD68" s="57">
        <f>(AD48-AC48)/AC48</f>
        <v>-2.4268519424601138E-2</v>
      </c>
      <c r="AE68" s="57"/>
      <c r="AF68" s="57"/>
      <c r="AG68" s="57"/>
    </row>
    <row r="69" spans="1:33" x14ac:dyDescent="0.25">
      <c r="A69" t="str">
        <f>A49</f>
        <v>3A1d Goats - Commercial</v>
      </c>
      <c r="B69" t="s">
        <v>823</v>
      </c>
      <c r="D69" s="57">
        <f>(D49-C49)/C49</f>
        <v>-0.11571737563085778</v>
      </c>
      <c r="E69" s="57">
        <f>(E49-D49)/D49</f>
        <v>-6.8487566245414327E-2</v>
      </c>
      <c r="F69" s="57">
        <f>(F49-E49)/E49</f>
        <v>-5.5142231947483598E-2</v>
      </c>
      <c r="G69" s="57">
        <f>(G49-F49)/F49</f>
        <v>8.2445576655859207E-2</v>
      </c>
      <c r="H69" s="57">
        <f>(H49-G49)/G49</f>
        <v>1.3692768506632636E-2</v>
      </c>
      <c r="I69" s="57">
        <f>(I49-H49)/H49</f>
        <v>1.5618404390037794E-2</v>
      </c>
      <c r="J69" s="57">
        <f>(J49-I49)/I49</f>
        <v>-4.9875311720696328E-3</v>
      </c>
      <c r="K69" s="57">
        <f>(K49-J49)/J49</f>
        <v>-1.4202172096908938E-2</v>
      </c>
      <c r="L69" s="57">
        <f>(L49-K49)/K49</f>
        <v>-1.4830508474576074E-2</v>
      </c>
      <c r="M69" s="57">
        <f>(M49-L49)/L49</f>
        <v>1.290322580645141E-2</v>
      </c>
      <c r="N69" s="57">
        <f>(N49-M49)/M49</f>
        <v>3.057324840764351E-2</v>
      </c>
      <c r="O69" s="57">
        <f>(O49-N49)/N49</f>
        <v>-8.6938607334157383E-2</v>
      </c>
      <c r="P69" s="57">
        <f>(P49-O49)/O49</f>
        <v>-2.5270758122743889E-2</v>
      </c>
      <c r="Q69" s="57">
        <f>(Q49-P49)/P49</f>
        <v>1.8518518518520675E-3</v>
      </c>
      <c r="R69" s="57">
        <f>(R49-Q49)/Q49</f>
        <v>-1.2939001848429048E-2</v>
      </c>
      <c r="S69" s="57">
        <f>(S49-R49)/R49</f>
        <v>2.1067415730337078E-2</v>
      </c>
      <c r="T69" s="57">
        <f>(T49-S49)/S49</f>
        <v>-2.9802842732691424E-2</v>
      </c>
      <c r="U69" s="57">
        <f>(U49-T49)/T49</f>
        <v>-9.4517958412076292E-4</v>
      </c>
      <c r="V69" s="57">
        <f>(V49-U49)/U49</f>
        <v>-1.7502365184484607E-2</v>
      </c>
      <c r="W69" s="57">
        <f>(W49-V49)/V49</f>
        <v>-1.2036591237361467E-2</v>
      </c>
      <c r="X69" s="57">
        <f>(X49-W49)/W49</f>
        <v>-9.2592592592592587E-3</v>
      </c>
      <c r="Y69" s="57">
        <f>(Y49-X49)/X49</f>
        <v>-2.4594195769798324E-3</v>
      </c>
      <c r="Z69" s="57">
        <f>(Z49-Y49)/Y49</f>
        <v>-1.1341222879684532E-2</v>
      </c>
      <c r="AA69" s="57">
        <f>(AA49-Z49)/Z49</f>
        <v>-8.97755610972557E-3</v>
      </c>
      <c r="AB69" s="57">
        <f>(AB49-AA49)/AA49</f>
        <v>-1.3588324106693507E-2</v>
      </c>
      <c r="AC69" s="57">
        <f>(AC49-AB49)/AB49</f>
        <v>-3.0102040816326763E-2</v>
      </c>
      <c r="AD69" s="57">
        <f>(AD49-AC49)/AC49</f>
        <v>-3.0510257759074053E-2</v>
      </c>
      <c r="AE69" s="57"/>
      <c r="AF69" s="57"/>
      <c r="AG69" s="57"/>
    </row>
    <row r="70" spans="1:33" x14ac:dyDescent="0.25">
      <c r="A70" t="str">
        <f>A50</f>
        <v>3A1d Goats - Subsistence</v>
      </c>
      <c r="B70" t="s">
        <v>823</v>
      </c>
      <c r="D70" s="57">
        <f>(D50-C50)/C50</f>
        <v>-0.11571737563085779</v>
      </c>
      <c r="E70" s="57">
        <f>(E50-D50)/D50</f>
        <v>-6.8487566245413661E-2</v>
      </c>
      <c r="F70" s="57">
        <f>(F50-E50)/E50</f>
        <v>-5.5142231947483585E-2</v>
      </c>
      <c r="G70" s="57">
        <f>(G50-F50)/F50</f>
        <v>8.2445576655859096E-2</v>
      </c>
      <c r="H70" s="57">
        <f>(H50-G50)/G50</f>
        <v>1.3692768506632457E-2</v>
      </c>
      <c r="I70" s="57">
        <f>(I50-H50)/H50</f>
        <v>1.5618404390037935E-2</v>
      </c>
      <c r="J70" s="57">
        <f>(J50-I50)/I50</f>
        <v>-4.9875311720697603E-3</v>
      </c>
      <c r="K70" s="57">
        <f>(K50-J50)/J50</f>
        <v>-1.4202172096909049E-2</v>
      </c>
      <c r="L70" s="57">
        <f>(L50-K50)/K50</f>
        <v>-1.4830508474576129E-2</v>
      </c>
      <c r="M70" s="57">
        <f>(M50-L50)/L50</f>
        <v>1.2903225806451545E-2</v>
      </c>
      <c r="N70" s="57">
        <f>(N50-M50)/M50</f>
        <v>3.0573248407643312E-2</v>
      </c>
      <c r="O70" s="57">
        <f>(O50-N50)/N50</f>
        <v>-8.6938607334157481E-2</v>
      </c>
      <c r="P70" s="57">
        <f>(P50-O50)/O50</f>
        <v>-2.5270758122743566E-2</v>
      </c>
      <c r="Q70" s="57">
        <f>(Q50-P50)/P50</f>
        <v>1.8518518518518276E-3</v>
      </c>
      <c r="R70" s="57">
        <f>(R50-Q50)/Q50</f>
        <v>-1.2939001848428885E-2</v>
      </c>
      <c r="S70" s="57">
        <f>(S50-R50)/R50</f>
        <v>2.1067415730337189E-2</v>
      </c>
      <c r="T70" s="57">
        <f>(T50-S50)/S50</f>
        <v>-2.9802842732691522E-2</v>
      </c>
      <c r="U70" s="57">
        <f>(U50-T50)/T50</f>
        <v>-9.4517958412097065E-4</v>
      </c>
      <c r="V70" s="57">
        <f>(V50-U50)/U50</f>
        <v>-1.7502365184484329E-2</v>
      </c>
      <c r="W70" s="57">
        <f>(W50-V50)/V50</f>
        <v>-1.2036591237361591E-2</v>
      </c>
      <c r="X70" s="57">
        <f>(X50-W50)/W50</f>
        <v>-9.2592592592593108E-3</v>
      </c>
      <c r="Y70" s="57">
        <f>(Y50-X50)/X50</f>
        <v>-2.4594195769798589E-3</v>
      </c>
      <c r="Z70" s="57">
        <f>(Z50-Y50)/Y50</f>
        <v>-1.1341222879684329E-2</v>
      </c>
      <c r="AA70" s="57">
        <f>(AA50-Z50)/Z50</f>
        <v>-8.9775561097256863E-3</v>
      </c>
      <c r="AB70" s="57">
        <f>(AB50-AA50)/AA50</f>
        <v>-1.3588324106693507E-2</v>
      </c>
      <c r="AC70" s="57">
        <f>(AC50-AB50)/AB50</f>
        <v>-3.0102040816326558E-2</v>
      </c>
      <c r="AD70" s="57">
        <f>(AD50-AC50)/AC50</f>
        <v>-3.0510257759074143E-2</v>
      </c>
      <c r="AE70" s="57"/>
      <c r="AF70" s="57"/>
      <c r="AG70" s="57"/>
    </row>
    <row r="71" spans="1:33" x14ac:dyDescent="0.25">
      <c r="A71" t="str">
        <f>A51</f>
        <v>3A1f Horses - Horses</v>
      </c>
      <c r="B71" t="s">
        <v>823</v>
      </c>
      <c r="D71" s="57">
        <f>(D51-C51)/C51</f>
        <v>0</v>
      </c>
      <c r="E71" s="57">
        <f>(E51-D51)/D51</f>
        <v>0</v>
      </c>
      <c r="F71" s="57">
        <f>(F51-E51)/E51</f>
        <v>2.1739130434782608E-2</v>
      </c>
      <c r="G71" s="57">
        <f>(G51-F51)/F51</f>
        <v>2.1276595744680851E-2</v>
      </c>
      <c r="H71" s="57">
        <f>(H51-G51)/G51</f>
        <v>2.0833333333333332E-2</v>
      </c>
      <c r="I71" s="57">
        <f>(I51-H51)/H51</f>
        <v>2.0408163265306121E-2</v>
      </c>
      <c r="J71" s="57">
        <f>(J51-I51)/I51</f>
        <v>0.02</v>
      </c>
      <c r="K71" s="57">
        <f>(K51-J51)/J51</f>
        <v>1.9607843137254902E-2</v>
      </c>
      <c r="L71" s="57">
        <f>(L51-K51)/K51</f>
        <v>-7.6923076923076927E-3</v>
      </c>
      <c r="M71" s="57">
        <f>(M51-L51)/L51</f>
        <v>4.6511627906976744E-2</v>
      </c>
      <c r="N71" s="57">
        <f>(N51-M51)/M51</f>
        <v>0</v>
      </c>
      <c r="O71" s="57">
        <f>(O51-N51)/N51</f>
        <v>0</v>
      </c>
      <c r="P71" s="57">
        <f>(P51-O51)/O51</f>
        <v>0</v>
      </c>
      <c r="Q71" s="57">
        <f>(Q51-P51)/P51</f>
        <v>0</v>
      </c>
      <c r="R71" s="57">
        <f>(R51-Q51)/Q51</f>
        <v>0</v>
      </c>
      <c r="S71" s="57">
        <f>(S51-R51)/R51</f>
        <v>3.7037037037037035E-2</v>
      </c>
      <c r="T71" s="57">
        <f>(T51-S51)/S51</f>
        <v>3.5714285714285712E-2</v>
      </c>
      <c r="U71" s="57">
        <f>(U51-T51)/T51</f>
        <v>2.7586206896551724E-2</v>
      </c>
      <c r="V71" s="57">
        <f>(V51-U51)/U51</f>
        <v>6.7114093959731542E-3</v>
      </c>
      <c r="W71" s="57">
        <f>(W51-V51)/V51</f>
        <v>0</v>
      </c>
      <c r="X71" s="57">
        <f>(X51-W51)/W51</f>
        <v>1.6666666666666666E-2</v>
      </c>
      <c r="Y71" s="57">
        <f>(Y51-X51)/X51</f>
        <v>9.8360655737704927E-3</v>
      </c>
      <c r="Z71" s="57">
        <f>(Z51-Y51)/Y51</f>
        <v>6.4935064935064939E-3</v>
      </c>
      <c r="AA71" s="57">
        <f>(AA51-Z51)/Z51</f>
        <v>6.4516129032258064E-3</v>
      </c>
      <c r="AB71" s="57">
        <f>(AB51-AA51)/AA51</f>
        <v>9.0544871794871803E-3</v>
      </c>
      <c r="AC71" s="57">
        <f>(AC51-AB51)/AB51</f>
        <v>1.9169379814182482E-2</v>
      </c>
      <c r="AD71" s="57">
        <f>(AD51-AC51)/AC51</f>
        <v>5.9558686031290905E-3</v>
      </c>
      <c r="AE71" s="57"/>
      <c r="AF71" s="57"/>
      <c r="AG71" s="57"/>
    </row>
    <row r="72" spans="1:33" x14ac:dyDescent="0.25">
      <c r="A72" t="str">
        <f>A52</f>
        <v>3A1g Mules &amp; asses - Mules &amp; Asses</v>
      </c>
      <c r="B72" t="s">
        <v>823</v>
      </c>
      <c r="D72" s="57">
        <f>(D52-C52)/C52</f>
        <v>0</v>
      </c>
      <c r="E72" s="57">
        <f>(E52-D52)/D52</f>
        <v>0</v>
      </c>
      <c r="F72" s="57">
        <f>(F52-E52)/E52</f>
        <v>0</v>
      </c>
      <c r="G72" s="57">
        <f>(G52-F52)/F52</f>
        <v>0</v>
      </c>
      <c r="H72" s="57">
        <f>(H52-G52)/G52</f>
        <v>0</v>
      </c>
      <c r="I72" s="57">
        <f>(I52-H52)/H52</f>
        <v>0</v>
      </c>
      <c r="J72" s="57">
        <f>(J52-I52)/I52</f>
        <v>0</v>
      </c>
      <c r="K72" s="57">
        <f>(K52-J52)/J52</f>
        <v>0</v>
      </c>
      <c r="L72" s="57">
        <f>(L52-K52)/K52</f>
        <v>0</v>
      </c>
      <c r="M72" s="57">
        <f>(M52-L52)/L52</f>
        <v>-0.26785714285714285</v>
      </c>
      <c r="N72" s="57">
        <f>(N52-M52)/M52</f>
        <v>0</v>
      </c>
      <c r="O72" s="57">
        <f>(O52-N52)/N52</f>
        <v>0</v>
      </c>
      <c r="P72" s="57">
        <f>(P52-O52)/O52</f>
        <v>0</v>
      </c>
      <c r="Q72" s="57">
        <f>(Q52-P52)/P52</f>
        <v>0</v>
      </c>
      <c r="R72" s="57">
        <f>(R52-Q52)/Q52</f>
        <v>0</v>
      </c>
      <c r="S72" s="57">
        <f>(S52-R52)/R52</f>
        <v>3.048780487804878E-4</v>
      </c>
      <c r="T72" s="57">
        <f>(T52-S52)/S52</f>
        <v>3.3526363913441025E-3</v>
      </c>
      <c r="U72" s="57">
        <f>(U52-T52)/T52</f>
        <v>6.0753341433778852E-4</v>
      </c>
      <c r="V72" s="57">
        <f>(V52-U52)/U52</f>
        <v>6.0716454159077113E-4</v>
      </c>
      <c r="W72" s="57">
        <f>(W52-V52)/V52</f>
        <v>9.101941747572815E-3</v>
      </c>
      <c r="X72" s="57">
        <f>(X52-W52)/W52</f>
        <v>4.2092603728202047E-3</v>
      </c>
      <c r="Y72" s="57">
        <f>(Y52-X52)/X52</f>
        <v>0</v>
      </c>
      <c r="Z72" s="57">
        <f>(Z52-Y52)/Y52</f>
        <v>2.0958083832335328E-2</v>
      </c>
      <c r="AA72" s="57">
        <f>(AA52-Z52)/Z52</f>
        <v>2.9325513196480938E-3</v>
      </c>
      <c r="AB72" s="57">
        <f>(AB52-AA52)/AA52</f>
        <v>-1.1526315789473685E-2</v>
      </c>
      <c r="AC72" s="57">
        <f>(AC52-AB52)/AB52</f>
        <v>-4.2365511243632747E-2</v>
      </c>
      <c r="AD72" s="57">
        <f>(AD52-AC52)/AC52</f>
        <v>5.8813354090987719E-3</v>
      </c>
      <c r="AE72" s="57"/>
      <c r="AF72" s="57"/>
      <c r="AG72" s="57"/>
    </row>
    <row r="73" spans="1:33" x14ac:dyDescent="0.25">
      <c r="A73" t="str">
        <f t="shared" ref="A73:A78" si="5">A55</f>
        <v>3A1h Swine - Commercial</v>
      </c>
      <c r="B73" t="s">
        <v>823</v>
      </c>
      <c r="D73" s="57">
        <f t="shared" ref="D73:D78" si="6">(D55-C55)/C55</f>
        <v>9.2519685039370081E-2</v>
      </c>
      <c r="E73" s="57">
        <f t="shared" ref="E73:AD78" si="7">(E55-D55)/D55</f>
        <v>-6.6066066066066062E-3</v>
      </c>
      <c r="F73" s="57">
        <f t="shared" si="7"/>
        <v>-6.0459492140266019E-4</v>
      </c>
      <c r="G73" s="57">
        <f t="shared" si="7"/>
        <v>-5.0211736237144589E-2</v>
      </c>
      <c r="H73" s="57">
        <f t="shared" si="7"/>
        <v>9.5541401273885346E-3</v>
      </c>
      <c r="I73" s="57">
        <f t="shared" si="7"/>
        <v>7.697160883280757E-2</v>
      </c>
      <c r="J73" s="57">
        <f t="shared" si="7"/>
        <v>-4.6865846514352666E-3</v>
      </c>
      <c r="K73" s="57">
        <f t="shared" si="7"/>
        <v>2.177751618599176E-2</v>
      </c>
      <c r="L73" s="57">
        <f t="shared" si="7"/>
        <v>2.5345622119815669E-2</v>
      </c>
      <c r="M73" s="57">
        <f t="shared" si="7"/>
        <v>-7.4719101123595505E-2</v>
      </c>
      <c r="N73" s="57">
        <f t="shared" si="7"/>
        <v>1.8822100789313904E-2</v>
      </c>
      <c r="O73" s="57">
        <f t="shared" si="7"/>
        <v>1.9070321811680571E-2</v>
      </c>
      <c r="P73" s="57">
        <f t="shared" si="7"/>
        <v>-2.7485380116959064E-2</v>
      </c>
      <c r="Q73" s="57">
        <f t="shared" si="7"/>
        <v>0</v>
      </c>
      <c r="R73" s="57">
        <f t="shared" si="7"/>
        <v>-7.2158749248346366E-3</v>
      </c>
      <c r="S73" s="57">
        <f t="shared" si="7"/>
        <v>-1.7565112053301031E-2</v>
      </c>
      <c r="T73" s="57">
        <f t="shared" si="7"/>
        <v>1.7879161528976572E-2</v>
      </c>
      <c r="U73" s="57">
        <f t="shared" si="7"/>
        <v>-2.1804966686856452E-2</v>
      </c>
      <c r="V73" s="57">
        <f t="shared" si="7"/>
        <v>-1.238390092879257E-3</v>
      </c>
      <c r="W73" s="57">
        <f t="shared" si="7"/>
        <v>-1.1779293242405457E-2</v>
      </c>
      <c r="X73" s="57">
        <f t="shared" si="7"/>
        <v>-6.2735257214554582E-3</v>
      </c>
      <c r="Y73" s="57">
        <f t="shared" si="7"/>
        <v>-3.1565656565656565E-3</v>
      </c>
      <c r="Z73" s="57">
        <f t="shared" si="7"/>
        <v>-3.1665611146295125E-3</v>
      </c>
      <c r="AA73" s="57">
        <f t="shared" si="7"/>
        <v>-7.6238881829733167E-3</v>
      </c>
      <c r="AB73" s="57">
        <f t="shared" si="7"/>
        <v>-2.496798975672215E-2</v>
      </c>
      <c r="AC73" s="57">
        <f t="shared" si="7"/>
        <v>-7.222586999343401E-3</v>
      </c>
      <c r="AD73" s="57">
        <f t="shared" si="7"/>
        <v>-2.0502645502645502E-2</v>
      </c>
      <c r="AE73" s="57"/>
      <c r="AF73" s="57"/>
      <c r="AG73" s="57"/>
    </row>
    <row r="74" spans="1:33" x14ac:dyDescent="0.25">
      <c r="A74" t="str">
        <f t="shared" si="5"/>
        <v>3A1h Swine - Subsistence</v>
      </c>
      <c r="B74" t="s">
        <v>823</v>
      </c>
      <c r="D74" s="57">
        <f t="shared" si="6"/>
        <v>9.2519685039370206E-2</v>
      </c>
      <c r="E74" s="57">
        <f t="shared" si="7"/>
        <v>-6.6066066066067077E-3</v>
      </c>
      <c r="F74" s="57">
        <f t="shared" si="7"/>
        <v>-6.04594921402596E-4</v>
      </c>
      <c r="G74" s="57">
        <f t="shared" si="7"/>
        <v>-5.0211736237144644E-2</v>
      </c>
      <c r="H74" s="57">
        <f t="shared" si="7"/>
        <v>9.5541401273885138E-3</v>
      </c>
      <c r="I74" s="57">
        <f t="shared" si="7"/>
        <v>7.6971608832807695E-2</v>
      </c>
      <c r="J74" s="57">
        <f t="shared" si="7"/>
        <v>-4.6865846514352908E-3</v>
      </c>
      <c r="K74" s="57">
        <f t="shared" si="7"/>
        <v>2.1777516185991677E-2</v>
      </c>
      <c r="L74" s="57">
        <f t="shared" si="7"/>
        <v>2.5345622119815673E-2</v>
      </c>
      <c r="M74" s="57">
        <f t="shared" si="7"/>
        <v>-7.4719101123595463E-2</v>
      </c>
      <c r="N74" s="57">
        <f t="shared" si="7"/>
        <v>1.8822100789313935E-2</v>
      </c>
      <c r="O74" s="57">
        <f t="shared" si="7"/>
        <v>1.9070321811680536E-2</v>
      </c>
      <c r="P74" s="57">
        <f t="shared" si="7"/>
        <v>-2.7485380116959012E-2</v>
      </c>
      <c r="Q74" s="57">
        <f t="shared" si="7"/>
        <v>0</v>
      </c>
      <c r="R74" s="57">
        <f t="shared" si="7"/>
        <v>-7.2158749248346738E-3</v>
      </c>
      <c r="S74" s="57">
        <f t="shared" si="7"/>
        <v>-1.7565112053301052E-2</v>
      </c>
      <c r="T74" s="57">
        <f t="shared" si="7"/>
        <v>1.7879161528976596E-2</v>
      </c>
      <c r="U74" s="57">
        <f t="shared" si="7"/>
        <v>-2.1804966686856428E-2</v>
      </c>
      <c r="V74" s="57">
        <f t="shared" si="7"/>
        <v>-1.2383900928792633E-3</v>
      </c>
      <c r="W74" s="57">
        <f t="shared" si="7"/>
        <v>-1.1779293242405448E-2</v>
      </c>
      <c r="X74" s="57">
        <f t="shared" si="7"/>
        <v>-6.2735257214554902E-3</v>
      </c>
      <c r="Y74" s="57">
        <f t="shared" si="7"/>
        <v>-3.1565656565656027E-3</v>
      </c>
      <c r="Z74" s="57">
        <f t="shared" si="7"/>
        <v>-3.1665611146295992E-3</v>
      </c>
      <c r="AA74" s="57">
        <f t="shared" si="7"/>
        <v>-7.6238881829732144E-3</v>
      </c>
      <c r="AB74" s="57">
        <f t="shared" si="7"/>
        <v>-2.4967989756722209E-2</v>
      </c>
      <c r="AC74" s="57">
        <f t="shared" si="7"/>
        <v>-7.2225869993433655E-3</v>
      </c>
      <c r="AD74" s="57">
        <f t="shared" si="7"/>
        <v>-2.0502645502645536E-2</v>
      </c>
      <c r="AE74" s="57"/>
      <c r="AF74" s="57"/>
      <c r="AG74" s="57"/>
    </row>
    <row r="75" spans="1:33" x14ac:dyDescent="0.25">
      <c r="A75" t="str">
        <f>A57</f>
        <v>3A2i Poultry - Commercial layers</v>
      </c>
      <c r="B75" t="s">
        <v>823</v>
      </c>
      <c r="D75" s="57">
        <f t="shared" si="6"/>
        <v>-2.8514981444182252E-2</v>
      </c>
      <c r="E75" s="57">
        <f t="shared" si="7"/>
        <v>-5.1569560710062634E-2</v>
      </c>
      <c r="F75" s="57">
        <f t="shared" si="7"/>
        <v>-1.5723239838810407E-2</v>
      </c>
      <c r="G75" s="57">
        <f t="shared" si="7"/>
        <v>-4.3496399502487459E-2</v>
      </c>
      <c r="H75" s="57">
        <f t="shared" si="7"/>
        <v>9.1124463739188616E-2</v>
      </c>
      <c r="I75" s="57">
        <f t="shared" si="7"/>
        <v>5.6305190498378073E-2</v>
      </c>
      <c r="J75" s="57">
        <f t="shared" si="7"/>
        <v>3.2883691424381344E-3</v>
      </c>
      <c r="K75" s="57">
        <f t="shared" si="7"/>
        <v>0.125915618565656</v>
      </c>
      <c r="L75" s="57">
        <f t="shared" si="7"/>
        <v>7.2100349108438766E-2</v>
      </c>
      <c r="M75" s="57">
        <f t="shared" si="7"/>
        <v>-2.1188395442740045E-2</v>
      </c>
      <c r="N75" s="57">
        <f t="shared" si="7"/>
        <v>2.6676432790325909E-2</v>
      </c>
      <c r="O75" s="57">
        <f t="shared" si="7"/>
        <v>-7.8485648534318692E-3</v>
      </c>
      <c r="P75" s="57">
        <f t="shared" si="7"/>
        <v>-3.992250167068432E-2</v>
      </c>
      <c r="Q75" s="57">
        <f t="shared" si="7"/>
        <v>3.6261036669880162E-2</v>
      </c>
      <c r="R75" s="57">
        <f t="shared" si="7"/>
        <v>6.0300524577000948E-2</v>
      </c>
      <c r="S75" s="57">
        <f t="shared" si="7"/>
        <v>0.10361752499302508</v>
      </c>
      <c r="T75" s="57">
        <f t="shared" si="7"/>
        <v>0.10667230587656111</v>
      </c>
      <c r="U75" s="57">
        <f t="shared" si="7"/>
        <v>1.3169877532201484E-2</v>
      </c>
      <c r="V75" s="57">
        <f t="shared" si="7"/>
        <v>-3.6866430240214208E-2</v>
      </c>
      <c r="W75" s="57">
        <f t="shared" si="7"/>
        <v>3.8953455261091827E-2</v>
      </c>
      <c r="X75" s="57">
        <f t="shared" si="7"/>
        <v>4.6157318689875083E-2</v>
      </c>
      <c r="Y75" s="57">
        <f t="shared" si="7"/>
        <v>3.6428032850121236E-2</v>
      </c>
      <c r="Z75" s="57">
        <f t="shared" si="7"/>
        <v>-1.946304706264794E-2</v>
      </c>
      <c r="AA75" s="57">
        <f t="shared" si="7"/>
        <v>-8.5165124467077667E-3</v>
      </c>
      <c r="AB75" s="57">
        <f t="shared" si="7"/>
        <v>2.0979884660253648E-2</v>
      </c>
      <c r="AC75" s="57">
        <f t="shared" si="7"/>
        <v>-2.0586853538685133E-3</v>
      </c>
      <c r="AD75" s="57">
        <f t="shared" si="7"/>
        <v>-6.6129032258064518E-2</v>
      </c>
      <c r="AE75" s="57"/>
      <c r="AF75" s="57"/>
      <c r="AG75" s="57"/>
    </row>
    <row r="76" spans="1:33" x14ac:dyDescent="0.25">
      <c r="A76" t="str">
        <f t="shared" si="5"/>
        <v>3A2i Poultry - Commercial broilers</v>
      </c>
      <c r="B76" t="s">
        <v>823</v>
      </c>
      <c r="D76" s="57">
        <f t="shared" si="6"/>
        <v>-5.9999998786743829E-2</v>
      </c>
      <c r="E76" s="57">
        <f t="shared" si="7"/>
        <v>-5.492846507118275E-2</v>
      </c>
      <c r="F76" s="57">
        <f t="shared" si="7"/>
        <v>0.12464451946877618</v>
      </c>
      <c r="G76" s="57">
        <f t="shared" si="7"/>
        <v>-9.3787390116780653E-3</v>
      </c>
      <c r="H76" s="57">
        <f t="shared" si="7"/>
        <v>0.14464618639330509</v>
      </c>
      <c r="I76" s="57">
        <f t="shared" si="7"/>
        <v>0.1627422430592507</v>
      </c>
      <c r="J76" s="57">
        <f t="shared" si="7"/>
        <v>1.7885692507775986E-2</v>
      </c>
      <c r="K76" s="57">
        <f t="shared" si="7"/>
        <v>9.5732908262670224E-2</v>
      </c>
      <c r="L76" s="57">
        <f t="shared" si="7"/>
        <v>4.3988782757530535E-2</v>
      </c>
      <c r="M76" s="57">
        <f t="shared" si="7"/>
        <v>7.592631110033525E-2</v>
      </c>
      <c r="N76" s="57">
        <f t="shared" si="7"/>
        <v>-3.439492408133215E-2</v>
      </c>
      <c r="O76" s="57">
        <f t="shared" si="7"/>
        <v>0.10832436407485373</v>
      </c>
      <c r="P76" s="57">
        <f t="shared" si="7"/>
        <v>-4.8849037862920199E-2</v>
      </c>
      <c r="Q76" s="57">
        <f t="shared" si="7"/>
        <v>2.414087235248974E-2</v>
      </c>
      <c r="R76" s="57">
        <f t="shared" si="7"/>
        <v>0.10647469943394081</v>
      </c>
      <c r="S76" s="57">
        <f t="shared" si="7"/>
        <v>6.9593463424728455E-2</v>
      </c>
      <c r="T76" s="57">
        <f t="shared" si="7"/>
        <v>4.6274108121613172E-2</v>
      </c>
      <c r="U76" s="57">
        <f t="shared" si="7"/>
        <v>6.4728470965918813E-2</v>
      </c>
      <c r="V76" s="57">
        <f t="shared" si="7"/>
        <v>-5.6390523900251954E-2</v>
      </c>
      <c r="W76" s="57">
        <f t="shared" si="7"/>
        <v>2.5150797377174829E-2</v>
      </c>
      <c r="X76" s="57">
        <f t="shared" si="7"/>
        <v>3.4262170423308189E-2</v>
      </c>
      <c r="Y76" s="57">
        <f t="shared" si="7"/>
        <v>2.2277536744011912E-2</v>
      </c>
      <c r="Z76" s="57">
        <f t="shared" si="7"/>
        <v>-2.6174250217681608E-2</v>
      </c>
      <c r="AA76" s="57">
        <f t="shared" si="7"/>
        <v>4.5481180720296492E-2</v>
      </c>
      <c r="AB76" s="57">
        <f t="shared" si="7"/>
        <v>4.0346068891329114E-2</v>
      </c>
      <c r="AC76" s="57">
        <f t="shared" si="7"/>
        <v>-7.0070165005253565E-2</v>
      </c>
      <c r="AD76" s="57">
        <f t="shared" si="7"/>
        <v>-1.2795963736310654E-3</v>
      </c>
      <c r="AE76" s="57"/>
      <c r="AF76" s="57"/>
      <c r="AG76" s="57"/>
    </row>
    <row r="77" spans="1:33" x14ac:dyDescent="0.25">
      <c r="A77" t="str">
        <f t="shared" si="5"/>
        <v>3A2i Poultry - Subsistence layers</v>
      </c>
      <c r="B77" t="s">
        <v>823</v>
      </c>
      <c r="D77" s="57">
        <f t="shared" si="6"/>
        <v>-2.8514981444182221E-2</v>
      </c>
      <c r="E77" s="57">
        <f t="shared" si="7"/>
        <v>-5.1569560710062586E-2</v>
      </c>
      <c r="F77" s="57">
        <f t="shared" si="7"/>
        <v>-1.5723239838810514E-2</v>
      </c>
      <c r="G77" s="57">
        <f t="shared" si="7"/>
        <v>-4.3496399502487418E-2</v>
      </c>
      <c r="H77" s="57">
        <f t="shared" si="7"/>
        <v>9.1124463739188546E-2</v>
      </c>
      <c r="I77" s="57">
        <f t="shared" si="7"/>
        <v>5.6305190498378163E-2</v>
      </c>
      <c r="J77" s="57">
        <f t="shared" si="7"/>
        <v>3.2883691424380871E-3</v>
      </c>
      <c r="K77" s="57">
        <f t="shared" si="7"/>
        <v>0.12591561856565592</v>
      </c>
      <c r="L77" s="57">
        <f t="shared" si="7"/>
        <v>7.2100349108438905E-2</v>
      </c>
      <c r="M77" s="57">
        <f t="shared" si="7"/>
        <v>-2.1188395442740156E-2</v>
      </c>
      <c r="N77" s="57">
        <f t="shared" si="7"/>
        <v>2.6676432790325961E-2</v>
      </c>
      <c r="O77" s="57">
        <f t="shared" si="7"/>
        <v>-7.8485648534319125E-3</v>
      </c>
      <c r="P77" s="57">
        <f t="shared" si="7"/>
        <v>-3.9922501670684209E-2</v>
      </c>
      <c r="Q77" s="57">
        <f t="shared" si="7"/>
        <v>3.6261036669880037E-2</v>
      </c>
      <c r="R77" s="57">
        <f t="shared" si="7"/>
        <v>6.0300524577000955E-2</v>
      </c>
      <c r="S77" s="57">
        <f t="shared" si="7"/>
        <v>0.10361752499302518</v>
      </c>
      <c r="T77" s="57">
        <f t="shared" si="7"/>
        <v>0.10667230587656101</v>
      </c>
      <c r="U77" s="57">
        <f t="shared" si="7"/>
        <v>1.3169877532201498E-2</v>
      </c>
      <c r="V77" s="57">
        <f t="shared" si="7"/>
        <v>-3.6866430240214229E-2</v>
      </c>
      <c r="W77" s="57">
        <f t="shared" si="7"/>
        <v>3.8953455261091806E-2</v>
      </c>
      <c r="X77" s="57">
        <f t="shared" si="7"/>
        <v>4.6157318689875181E-2</v>
      </c>
      <c r="Y77" s="57">
        <f t="shared" si="7"/>
        <v>3.6428032850121188E-2</v>
      </c>
      <c r="Z77" s="57">
        <f t="shared" si="7"/>
        <v>-1.9463047062647981E-2</v>
      </c>
      <c r="AA77" s="57">
        <f t="shared" si="7"/>
        <v>-8.5165124467077215E-3</v>
      </c>
      <c r="AB77" s="57">
        <f t="shared" si="7"/>
        <v>2.0979884660253668E-2</v>
      </c>
      <c r="AC77" s="57">
        <f t="shared" si="7"/>
        <v>-2.0586853538684781E-3</v>
      </c>
      <c r="AD77" s="57">
        <f t="shared" si="7"/>
        <v>-6.6129032258064505E-2</v>
      </c>
      <c r="AE77" s="57"/>
      <c r="AF77" s="57"/>
      <c r="AG77" s="57"/>
    </row>
    <row r="78" spans="1:33" x14ac:dyDescent="0.25">
      <c r="A78" t="str">
        <f t="shared" si="5"/>
        <v>3A2i Poultry - Subsistence broilers</v>
      </c>
      <c r="B78" t="s">
        <v>823</v>
      </c>
      <c r="D78" s="57">
        <f t="shared" si="6"/>
        <v>-5.9999998786743863E-2</v>
      </c>
      <c r="E78" s="57">
        <f t="shared" si="7"/>
        <v>-5.4928465071182757E-2</v>
      </c>
      <c r="F78" s="57">
        <f t="shared" si="7"/>
        <v>0.12464451946877625</v>
      </c>
      <c r="G78" s="57">
        <f t="shared" si="7"/>
        <v>-9.3787390116781104E-3</v>
      </c>
      <c r="H78" s="57">
        <f t="shared" si="7"/>
        <v>0.14464618639330512</v>
      </c>
      <c r="I78" s="57">
        <f t="shared" si="7"/>
        <v>0.16274224305925056</v>
      </c>
      <c r="J78" s="57">
        <f t="shared" si="7"/>
        <v>1.788569250777601E-2</v>
      </c>
      <c r="K78" s="57">
        <f t="shared" si="7"/>
        <v>9.5732908262670377E-2</v>
      </c>
      <c r="L78" s="57">
        <f t="shared" si="7"/>
        <v>4.3988782757530459E-2</v>
      </c>
      <c r="M78" s="57">
        <f t="shared" si="7"/>
        <v>7.5926311100335153E-2</v>
      </c>
      <c r="N78" s="57">
        <f t="shared" si="7"/>
        <v>-3.4394924081332032E-2</v>
      </c>
      <c r="O78" s="57">
        <f t="shared" si="7"/>
        <v>0.10832436407485369</v>
      </c>
      <c r="P78" s="57">
        <f t="shared" si="7"/>
        <v>-4.884903786292015E-2</v>
      </c>
      <c r="Q78" s="57">
        <f t="shared" si="7"/>
        <v>2.4140872352489576E-2</v>
      </c>
      <c r="R78" s="57">
        <f t="shared" si="7"/>
        <v>0.10647469943394093</v>
      </c>
      <c r="S78" s="57">
        <f t="shared" si="7"/>
        <v>6.9593463424728441E-2</v>
      </c>
      <c r="T78" s="57">
        <f t="shared" si="7"/>
        <v>4.62741081216132E-2</v>
      </c>
      <c r="U78" s="57">
        <f t="shared" si="7"/>
        <v>6.4728470965918702E-2</v>
      </c>
      <c r="V78" s="57">
        <f t="shared" si="7"/>
        <v>-5.6390523900251961E-2</v>
      </c>
      <c r="W78" s="57">
        <f t="shared" si="7"/>
        <v>2.5150797377174884E-2</v>
      </c>
      <c r="X78" s="57">
        <f t="shared" si="7"/>
        <v>3.4262170423308223E-2</v>
      </c>
      <c r="Y78" s="57">
        <f t="shared" si="7"/>
        <v>2.2277536744011835E-2</v>
      </c>
      <c r="Z78" s="57">
        <f t="shared" si="7"/>
        <v>-2.6174250217681598E-2</v>
      </c>
      <c r="AA78" s="57">
        <f t="shared" si="7"/>
        <v>4.5481180720296589E-2</v>
      </c>
      <c r="AB78" s="57">
        <f t="shared" si="7"/>
        <v>4.0346068891328996E-2</v>
      </c>
      <c r="AC78" s="57">
        <f t="shared" si="7"/>
        <v>-7.0070165005253565E-2</v>
      </c>
      <c r="AD78" s="57">
        <f t="shared" si="7"/>
        <v>-1.2795963736310549E-3</v>
      </c>
      <c r="AE78" s="57"/>
      <c r="AF78" s="57"/>
      <c r="AG78" s="57"/>
    </row>
    <row r="79" spans="1:33" x14ac:dyDescent="0.25">
      <c r="D79" s="57"/>
      <c r="E79" s="57"/>
      <c r="F79" s="57"/>
      <c r="G79" s="57"/>
      <c r="H79" s="57"/>
      <c r="I79" s="57"/>
      <c r="J79" s="57"/>
      <c r="K79" s="57"/>
      <c r="L79" s="57"/>
      <c r="M79" s="57">
        <f>AVERAGE(D64:M64)</f>
        <v>-5.119344239373649E-3</v>
      </c>
      <c r="N79" s="57"/>
      <c r="O79" s="57"/>
      <c r="P79" s="57"/>
      <c r="Q79" s="57"/>
      <c r="R79" s="57"/>
      <c r="S79" s="57"/>
      <c r="T79" s="57"/>
      <c r="U79" s="57"/>
      <c r="V79" s="57"/>
      <c r="W79" s="57">
        <f>AVERAGE(N64:W64)</f>
        <v>-6.0140719011739351E-3</v>
      </c>
      <c r="X79" s="57"/>
      <c r="Y79" s="57"/>
      <c r="Z79" s="57"/>
      <c r="AA79" s="57"/>
      <c r="AB79" s="57"/>
      <c r="AC79" s="57"/>
      <c r="AD79" s="57">
        <f>AVERAGE(U64:AD64)</f>
        <v>-1.5558243368686627E-2</v>
      </c>
      <c r="AE79" s="57"/>
      <c r="AF79" s="57"/>
      <c r="AG79" s="57"/>
    </row>
    <row r="80" spans="1:33" x14ac:dyDescent="0.25">
      <c r="A80" t="str">
        <f>A14</f>
        <v>Beef production</v>
      </c>
      <c r="B80" t="s">
        <v>824</v>
      </c>
      <c r="D80" s="57">
        <f>(D14-C14)/C14</f>
        <v>8.9464197935441581E-2</v>
      </c>
      <c r="E80" s="57">
        <f>(E14-D14)/D14</f>
        <v>5.8053842683110243E-2</v>
      </c>
      <c r="F80" s="57">
        <f>(F14-E14)/E14</f>
        <v>-1.3503909026297086E-2</v>
      </c>
      <c r="G80" s="57">
        <f>(G14-F14)/F14</f>
        <v>-0.11930835734870317</v>
      </c>
      <c r="H80" s="57">
        <f>(H14-G14)/G14</f>
        <v>-0.16966623036649214</v>
      </c>
      <c r="I80" s="57">
        <f>(I14-H14)/H14</f>
        <v>-9.8522167487684722E-4</v>
      </c>
      <c r="J80" s="57">
        <f>(J14-I14)/I14</f>
        <v>-9.0729783037475347E-3</v>
      </c>
      <c r="K80" s="57">
        <f>(K14-J14)/J14</f>
        <v>-1.2141719745222931E-2</v>
      </c>
      <c r="L80" s="57">
        <f>(L14-K14)/K14</f>
        <v>3.1029619181946404E-2</v>
      </c>
      <c r="M80" s="57">
        <f>(M14-L14)/L14</f>
        <v>0.22063709204612078</v>
      </c>
      <c r="N80" s="57">
        <f>(N14-M14)/M14</f>
        <v>-0.1605827729747038</v>
      </c>
      <c r="O80" s="57">
        <f>(O14-N14)/N14</f>
        <v>9.3648674423040243E-2</v>
      </c>
      <c r="P80" s="57">
        <f>(P14-O14)/O14</f>
        <v>6.3306592256714339E-2</v>
      </c>
      <c r="Q80" s="57">
        <f>(Q14-P14)/P14</f>
        <v>3.6083319665409216E-2</v>
      </c>
      <c r="R80" s="57">
        <f>(R14-Q14)/Q14</f>
        <v>6.4271014722178249E-2</v>
      </c>
      <c r="S80" s="57">
        <f>(S14-R14)/R14</f>
        <v>0.201993157816451</v>
      </c>
      <c r="T80" s="57">
        <f>(T14-S14)/S14</f>
        <v>6.5957183516891477E-2</v>
      </c>
      <c r="U80" s="57">
        <f>(U14-T14)/T14</f>
        <v>-0.10587415834687718</v>
      </c>
      <c r="V80" s="57">
        <f>(V14-U14)/U14</f>
        <v>3.4406647623993765E-2</v>
      </c>
      <c r="W80" s="57">
        <f>(W14-V14)/V14</f>
        <v>0.11183632483996485</v>
      </c>
      <c r="X80" s="57">
        <f>(X14-W14)/W14</f>
        <v>-1.8401445021449536E-2</v>
      </c>
      <c r="Y80" s="57">
        <f>(Y14-X14)/X14</f>
        <v>-2.0011500862564691E-2</v>
      </c>
      <c r="Z80" s="57">
        <f>(Z14-Y14)/Y14</f>
        <v>6.1495129679615068E-2</v>
      </c>
      <c r="AA80" s="57">
        <f>(AA14-Z14)/Z14</f>
        <v>8.6346047540077395E-2</v>
      </c>
      <c r="AB80" s="57">
        <f>(AB14-AA14)/AA14</f>
        <v>5.6279259108487689E-2</v>
      </c>
      <c r="AC80" s="57">
        <f>(AC14-AB14)/AB14</f>
        <v>5.1064649773581272E-2</v>
      </c>
      <c r="AD80" s="57">
        <f>(AD14-AC14)/AC14</f>
        <v>-4.0883674030616921E-2</v>
      </c>
      <c r="AE80" s="57"/>
      <c r="AF80" s="57"/>
      <c r="AG80" s="57"/>
    </row>
    <row r="81" spans="13:33" x14ac:dyDescent="0.25">
      <c r="M81" s="57">
        <f>AVERAGE(D80:M80)</f>
        <v>7.4506335381279293E-3</v>
      </c>
      <c r="W81" s="57">
        <f>AVERAGE(N80:W80)</f>
        <v>4.0504598354306212E-2</v>
      </c>
      <c r="AD81" s="57">
        <f>AVERAGE(U80:AD80)</f>
        <v>2.1625728030421169E-2</v>
      </c>
      <c r="AE81" s="57"/>
      <c r="AF81" s="57"/>
      <c r="AG81" s="57"/>
    </row>
  </sheetData>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Relationships!D61:AD61</xm:f>
              <xm:sqref>AI61</xm:sqref>
            </x14:sparkline>
            <x14:sparkline>
              <xm:f>Relationships!D62:AD62</xm:f>
              <xm:sqref>AI62</xm:sqref>
            </x14:sparkline>
            <x14:sparkline>
              <xm:f>Relationships!D63:AD63</xm:f>
              <xm:sqref>AI63</xm:sqref>
            </x14:sparkline>
            <x14:sparkline>
              <xm:f>Relationships!D64:AD64</xm:f>
              <xm:sqref>AI64</xm:sqref>
            </x14:sparkline>
            <x14:sparkline>
              <xm:f>Relationships!D65:AD65</xm:f>
              <xm:sqref>AI65</xm:sqref>
            </x14:sparkline>
            <x14:sparkline>
              <xm:f>Relationships!D66:AD66</xm:f>
              <xm:sqref>AI66</xm:sqref>
            </x14:sparkline>
            <x14:sparkline>
              <xm:f>Relationships!D67:AD67</xm:f>
              <xm:sqref>AI67</xm:sqref>
            </x14:sparkline>
            <x14:sparkline>
              <xm:f>Relationships!D68:AD68</xm:f>
              <xm:sqref>AI68</xm:sqref>
            </x14:sparkline>
            <x14:sparkline>
              <xm:f>Relationships!D69:AD69</xm:f>
              <xm:sqref>AI69</xm:sqref>
            </x14:sparkline>
            <x14:sparkline>
              <xm:f>Relationships!D70:AD70</xm:f>
              <xm:sqref>AI70</xm:sqref>
            </x14:sparkline>
            <x14:sparkline>
              <xm:f>Relationships!D71:AD71</xm:f>
              <xm:sqref>AI71</xm:sqref>
            </x14:sparkline>
            <x14:sparkline>
              <xm:f>Relationships!D72:AD72</xm:f>
              <xm:sqref>AI72</xm:sqref>
            </x14:sparkline>
            <x14:sparkline>
              <xm:f>Relationships!D73:AD73</xm:f>
              <xm:sqref>AI73</xm:sqref>
            </x14:sparkline>
            <x14:sparkline>
              <xm:f>Relationships!D74:AD74</xm:f>
              <xm:sqref>AI74</xm:sqref>
            </x14:sparkline>
            <x14:sparkline>
              <xm:f>Relationships!D75:AD75</xm:f>
              <xm:sqref>AI75</xm:sqref>
            </x14:sparkline>
            <x14:sparkline>
              <xm:f>Relationships!D76:AD76</xm:f>
              <xm:sqref>AI76</xm:sqref>
            </x14:sparkline>
            <x14:sparkline>
              <xm:f>Relationships!D77:AD77</xm:f>
              <xm:sqref>AI77</xm:sqref>
            </x14:sparkline>
            <x14:sparkline>
              <xm:f>Relationships!D78:AD78</xm:f>
              <xm:sqref>AI78</xm:sqref>
            </x14:sparkline>
            <x14:sparkline>
              <xm:f>Relationships!D79:AD79</xm:f>
              <xm:sqref>AI79</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K112"/>
  <sheetViews>
    <sheetView topLeftCell="A10" workbookViewId="0">
      <selection activeCell="G39" sqref="G39"/>
    </sheetView>
  </sheetViews>
  <sheetFormatPr defaultRowHeight="15" x14ac:dyDescent="0.25"/>
  <cols>
    <col min="1" max="1" width="21.28515625" customWidth="1"/>
    <col min="2" max="2" width="24.85546875" customWidth="1"/>
    <col min="3" max="3" width="16.85546875" customWidth="1"/>
    <col min="4" max="4" width="12.85546875" customWidth="1"/>
    <col min="5" max="5" width="42.42578125" customWidth="1"/>
    <col min="6" max="7" width="12.85546875" customWidth="1"/>
    <col min="8" max="8" width="12.7109375" customWidth="1"/>
    <col min="9" max="9" width="11.42578125" customWidth="1"/>
    <col min="10" max="10" width="11.7109375" customWidth="1"/>
  </cols>
  <sheetData>
    <row r="1" spans="1:10" ht="18.75" x14ac:dyDescent="0.3">
      <c r="A1" s="1" t="s">
        <v>8</v>
      </c>
    </row>
    <row r="3" spans="1:10" x14ac:dyDescent="0.25">
      <c r="A3" t="s">
        <v>9</v>
      </c>
      <c r="B3" s="21">
        <v>21</v>
      </c>
    </row>
    <row r="4" spans="1:10" x14ac:dyDescent="0.25">
      <c r="A4" t="s">
        <v>10</v>
      </c>
      <c r="B4" s="21">
        <v>310</v>
      </c>
    </row>
    <row r="5" spans="1:10" x14ac:dyDescent="0.25">
      <c r="A5" t="s">
        <v>393</v>
      </c>
      <c r="B5" s="21">
        <f>44/12</f>
        <v>3.6666666666666665</v>
      </c>
    </row>
    <row r="6" spans="1:10" x14ac:dyDescent="0.25">
      <c r="A6" t="s">
        <v>803</v>
      </c>
      <c r="B6" s="21">
        <f>12/44</f>
        <v>0.27272727272727271</v>
      </c>
    </row>
    <row r="8" spans="1:10" x14ac:dyDescent="0.25">
      <c r="A8" t="s">
        <v>146</v>
      </c>
      <c r="B8" s="21">
        <f>44/28</f>
        <v>1.5714285714285714</v>
      </c>
    </row>
    <row r="9" spans="1:10" x14ac:dyDescent="0.25">
      <c r="A9" t="s">
        <v>147</v>
      </c>
      <c r="B9" s="21">
        <v>9.9999999999999995E-7</v>
      </c>
    </row>
    <row r="10" spans="1:10" x14ac:dyDescent="0.25">
      <c r="A10" t="s">
        <v>319</v>
      </c>
      <c r="B10" s="21">
        <v>1E-3</v>
      </c>
    </row>
    <row r="11" spans="1:10" x14ac:dyDescent="0.25">
      <c r="A11" t="s">
        <v>394</v>
      </c>
      <c r="B11" s="21">
        <v>1E-3</v>
      </c>
    </row>
    <row r="12" spans="1:10" x14ac:dyDescent="0.25">
      <c r="A12" t="s">
        <v>423</v>
      </c>
      <c r="B12" s="21">
        <v>1000</v>
      </c>
    </row>
    <row r="13" spans="1:10" x14ac:dyDescent="0.25">
      <c r="A13" t="s">
        <v>804</v>
      </c>
      <c r="B13" s="21">
        <v>1000</v>
      </c>
    </row>
    <row r="16" spans="1:10" s="19" customFormat="1" ht="29.25" customHeight="1" x14ac:dyDescent="0.25">
      <c r="A16" s="17" t="s">
        <v>4</v>
      </c>
      <c r="B16" s="17" t="s">
        <v>313</v>
      </c>
      <c r="C16" s="17" t="s">
        <v>315</v>
      </c>
      <c r="D16" s="17" t="s">
        <v>149</v>
      </c>
      <c r="E16" s="17" t="s">
        <v>150</v>
      </c>
      <c r="F16" s="17" t="s">
        <v>0</v>
      </c>
      <c r="G16" s="17" t="s">
        <v>283</v>
      </c>
      <c r="H16" s="17" t="s">
        <v>723</v>
      </c>
      <c r="I16" s="17" t="s">
        <v>723</v>
      </c>
      <c r="J16" s="17" t="s">
        <v>723</v>
      </c>
    </row>
    <row r="17" spans="1:11" ht="18.75" customHeight="1" x14ac:dyDescent="0.25">
      <c r="A17" s="20" t="s">
        <v>1</v>
      </c>
      <c r="B17" s="20"/>
      <c r="C17" s="20"/>
      <c r="D17" s="15"/>
      <c r="E17" s="15"/>
      <c r="F17" s="15"/>
      <c r="G17" s="15"/>
      <c r="H17" s="15"/>
      <c r="I17" s="15"/>
      <c r="J17" s="15"/>
    </row>
    <row r="18" spans="1:11" x14ac:dyDescent="0.25">
      <c r="A18" s="23" t="str">
        <f>'IPCC Categories'!A5</f>
        <v>3A Livestock</v>
      </c>
      <c r="B18" s="23"/>
      <c r="C18" s="23" t="str">
        <f>'IPCC Categories'!$D$5</f>
        <v>3A1ai Dairy cattle</v>
      </c>
      <c r="D18" t="str">
        <f>'IPCC Categories'!$F$39</f>
        <v>TMR</v>
      </c>
      <c r="E18" t="s">
        <v>330</v>
      </c>
      <c r="F18" t="s">
        <v>327</v>
      </c>
      <c r="G18" t="s">
        <v>331</v>
      </c>
      <c r="H18" s="56">
        <v>0.55000000000000004</v>
      </c>
    </row>
    <row r="19" spans="1:11" x14ac:dyDescent="0.25">
      <c r="A19" t="str">
        <f t="shared" ref="A19:A25" si="0">A18</f>
        <v>3A Livestock</v>
      </c>
      <c r="C19" t="str">
        <f>'IPCC Categories'!C7</f>
        <v>3A1c Sheep</v>
      </c>
      <c r="E19" t="s">
        <v>334</v>
      </c>
      <c r="F19" t="s">
        <v>284</v>
      </c>
      <c r="H19" s="56">
        <v>0.14000000000000001</v>
      </c>
    </row>
    <row r="20" spans="1:11" x14ac:dyDescent="0.25">
      <c r="A20" t="str">
        <f t="shared" si="0"/>
        <v>3A Livestock</v>
      </c>
      <c r="C20" t="str">
        <f>'IPCC Categories'!C8</f>
        <v>3A1d Goats</v>
      </c>
      <c r="E20" t="s">
        <v>350</v>
      </c>
      <c r="F20" t="s">
        <v>284</v>
      </c>
      <c r="H20" s="56">
        <v>1.9750000000000001</v>
      </c>
    </row>
    <row r="21" spans="1:11" x14ac:dyDescent="0.25">
      <c r="A21" t="str">
        <f t="shared" si="0"/>
        <v>3A Livestock</v>
      </c>
      <c r="C21" t="str">
        <f>'IPCC Categories'!C11</f>
        <v>3A1h Swine</v>
      </c>
      <c r="E21" t="s">
        <v>337</v>
      </c>
      <c r="F21" t="s">
        <v>284</v>
      </c>
      <c r="H21" s="56">
        <v>0.13100000000000001</v>
      </c>
    </row>
    <row r="22" spans="1:11" x14ac:dyDescent="0.25">
      <c r="A22" t="str">
        <f t="shared" si="0"/>
        <v>3A Livestock</v>
      </c>
      <c r="C22" t="str">
        <f>'IPCC Categories'!C19</f>
        <v>3A2i Poultry</v>
      </c>
      <c r="E22" t="s">
        <v>340</v>
      </c>
      <c r="F22" t="s">
        <v>284</v>
      </c>
      <c r="H22" s="56">
        <v>0.04</v>
      </c>
    </row>
    <row r="23" spans="1:11" x14ac:dyDescent="0.25">
      <c r="A23" t="str">
        <f t="shared" si="0"/>
        <v>3A Livestock</v>
      </c>
      <c r="C23" t="str">
        <f>C22</f>
        <v>3A2i Poultry</v>
      </c>
      <c r="E23" t="s">
        <v>343</v>
      </c>
      <c r="F23" t="s">
        <v>284</v>
      </c>
      <c r="H23" s="56">
        <v>0.04</v>
      </c>
    </row>
    <row r="24" spans="1:11" x14ac:dyDescent="0.25">
      <c r="A24" t="str">
        <f t="shared" si="0"/>
        <v>3A Livestock</v>
      </c>
      <c r="C24" t="str">
        <f>C20</f>
        <v>3A1d Goats</v>
      </c>
      <c r="E24" t="s">
        <v>346</v>
      </c>
      <c r="F24" t="s">
        <v>327</v>
      </c>
      <c r="G24" t="s">
        <v>347</v>
      </c>
      <c r="H24" s="56">
        <v>0.06</v>
      </c>
    </row>
    <row r="25" spans="1:11" x14ac:dyDescent="0.25">
      <c r="A25" t="str">
        <f t="shared" si="0"/>
        <v>3A Livestock</v>
      </c>
      <c r="C25" t="str">
        <f>C28</f>
        <v>3A1aii Other cattle</v>
      </c>
      <c r="E25" t="s">
        <v>843</v>
      </c>
      <c r="H25" s="56">
        <v>0.03</v>
      </c>
      <c r="I25">
        <v>0.02</v>
      </c>
      <c r="J25">
        <v>0.01</v>
      </c>
    </row>
    <row r="26" spans="1:11" ht="18.75" customHeight="1" x14ac:dyDescent="0.25">
      <c r="A26" s="20" t="s">
        <v>825</v>
      </c>
      <c r="B26" s="20"/>
      <c r="C26" s="20"/>
      <c r="D26" s="15"/>
      <c r="E26" s="15"/>
      <c r="F26" s="15"/>
      <c r="G26" s="15"/>
      <c r="H26" s="101" t="s">
        <v>827</v>
      </c>
      <c r="I26" s="101" t="s">
        <v>828</v>
      </c>
      <c r="J26" s="101" t="s">
        <v>829</v>
      </c>
    </row>
    <row r="27" spans="1:11" x14ac:dyDescent="0.25">
      <c r="A27" t="str">
        <f>A18</f>
        <v>3A Livestock</v>
      </c>
      <c r="C27" t="str">
        <f>'IPCC Categories'!D5</f>
        <v>3A1ai Dairy cattle</v>
      </c>
      <c r="E27" t="s">
        <v>830</v>
      </c>
      <c r="F27" t="s">
        <v>327</v>
      </c>
      <c r="H27" s="50">
        <v>0.15</v>
      </c>
      <c r="I27" s="50">
        <v>0.12</v>
      </c>
      <c r="J27" s="50">
        <f>I27/1.2</f>
        <v>0.1</v>
      </c>
      <c r="K27" t="s">
        <v>836</v>
      </c>
    </row>
    <row r="28" spans="1:11" x14ac:dyDescent="0.25">
      <c r="A28" t="str">
        <f t="shared" ref="A28:A37" si="1">A19</f>
        <v>3A Livestock</v>
      </c>
      <c r="C28" t="str">
        <f>'IPCC Categories'!D6</f>
        <v>3A1aii Other cattle</v>
      </c>
      <c r="E28" t="s">
        <v>826</v>
      </c>
      <c r="F28" t="s">
        <v>327</v>
      </c>
      <c r="H28" s="50">
        <v>0.23</v>
      </c>
      <c r="I28" s="50">
        <v>0.2</v>
      </c>
      <c r="J28" s="50">
        <v>0.16</v>
      </c>
      <c r="K28" t="s">
        <v>837</v>
      </c>
    </row>
    <row r="29" spans="1:11" x14ac:dyDescent="0.25">
      <c r="A29" t="str">
        <f t="shared" si="1"/>
        <v>3A Livestock</v>
      </c>
      <c r="C29" t="str">
        <f>C19</f>
        <v>3A1c Sheep</v>
      </c>
      <c r="E29" t="s">
        <v>831</v>
      </c>
      <c r="F29" t="s">
        <v>327</v>
      </c>
      <c r="H29" s="50">
        <v>0.1</v>
      </c>
      <c r="I29" s="50">
        <v>0.08</v>
      </c>
      <c r="J29" s="50">
        <v>0.06</v>
      </c>
      <c r="K29" t="s">
        <v>838</v>
      </c>
    </row>
    <row r="30" spans="1:11" x14ac:dyDescent="0.25">
      <c r="A30" t="str">
        <f t="shared" si="1"/>
        <v>3A Livestock</v>
      </c>
      <c r="C30" t="str">
        <f t="shared" ref="C30:C31" si="2">C20</f>
        <v>3A1d Goats</v>
      </c>
      <c r="E30" t="s">
        <v>832</v>
      </c>
      <c r="F30" t="s">
        <v>327</v>
      </c>
      <c r="H30" s="50">
        <v>0.1</v>
      </c>
      <c r="I30" s="50">
        <v>0.08</v>
      </c>
      <c r="J30" s="50">
        <v>0.06</v>
      </c>
      <c r="K30" t="s">
        <v>841</v>
      </c>
    </row>
    <row r="31" spans="1:11" x14ac:dyDescent="0.25">
      <c r="A31" t="str">
        <f t="shared" si="1"/>
        <v>3A Livestock</v>
      </c>
      <c r="C31" t="str">
        <f t="shared" si="2"/>
        <v>3A1h Swine</v>
      </c>
      <c r="E31" t="s">
        <v>833</v>
      </c>
      <c r="F31" t="s">
        <v>327</v>
      </c>
      <c r="H31" s="50">
        <v>0.22</v>
      </c>
      <c r="I31" s="50">
        <v>0.18</v>
      </c>
      <c r="J31" s="50">
        <v>0.15</v>
      </c>
      <c r="K31" t="s">
        <v>839</v>
      </c>
    </row>
    <row r="32" spans="1:11" x14ac:dyDescent="0.25">
      <c r="A32" t="str">
        <f t="shared" si="1"/>
        <v>3A Livestock</v>
      </c>
      <c r="C32" t="str">
        <f>C22</f>
        <v>3A2i Poultry</v>
      </c>
      <c r="E32" t="s">
        <v>834</v>
      </c>
      <c r="F32" t="s">
        <v>327</v>
      </c>
      <c r="H32" s="50">
        <v>0.2</v>
      </c>
      <c r="I32" s="50">
        <v>0.16</v>
      </c>
      <c r="J32" s="50">
        <v>0.13</v>
      </c>
      <c r="K32" t="s">
        <v>840</v>
      </c>
    </row>
    <row r="33" spans="1:11" x14ac:dyDescent="0.25">
      <c r="A33" t="str">
        <f t="shared" si="1"/>
        <v>3A Livestock</v>
      </c>
      <c r="C33" t="str">
        <f>C23</f>
        <v>3A2i Poultry</v>
      </c>
      <c r="E33" t="s">
        <v>835</v>
      </c>
      <c r="F33" t="s">
        <v>327</v>
      </c>
      <c r="H33" s="50">
        <v>0.2</v>
      </c>
      <c r="I33" s="50">
        <v>0.16</v>
      </c>
      <c r="J33" s="50">
        <v>0.13</v>
      </c>
      <c r="K33" t="s">
        <v>842</v>
      </c>
    </row>
    <row r="34" spans="1:11" x14ac:dyDescent="0.25">
      <c r="A34" t="str">
        <f t="shared" si="1"/>
        <v>3A Livestock</v>
      </c>
      <c r="C34" t="str">
        <f>C28</f>
        <v>3A1aii Other cattle</v>
      </c>
      <c r="E34" t="s">
        <v>852</v>
      </c>
      <c r="F34" t="s">
        <v>848</v>
      </c>
      <c r="H34" s="50"/>
      <c r="I34" s="50">
        <f>(('Intermediate calculations'!$AQ$9-'Intermediate calculations'!$AH$9)/9)/1.5</f>
        <v>-0.13302765003798475</v>
      </c>
      <c r="J34" s="50">
        <f>(('Intermediate calculations'!$AQ$9-'Intermediate calculations'!$AH$9)/9)/2</f>
        <v>-9.9770737528488571E-2</v>
      </c>
    </row>
    <row r="35" spans="1:11" x14ac:dyDescent="0.25">
      <c r="A35" t="str">
        <f t="shared" si="1"/>
        <v>Meat production</v>
      </c>
      <c r="C35" t="str">
        <f>C29</f>
        <v>3A1c Sheep</v>
      </c>
      <c r="E35" t="s">
        <v>853</v>
      </c>
      <c r="F35" t="s">
        <v>848</v>
      </c>
      <c r="H35" s="50"/>
      <c r="I35" s="50">
        <f>(('Intermediate calculations'!$AQ$23-'Intermediate calculations'!$AH$23)/10)/1.5</f>
        <v>-1.3784145440938385</v>
      </c>
      <c r="J35" s="50">
        <f>(('Intermediate calculations'!$AQ$23-'Intermediate calculations'!$AH$23)/10)/2</f>
        <v>-1.0338109080703788</v>
      </c>
    </row>
    <row r="36" spans="1:11" x14ac:dyDescent="0.25">
      <c r="A36" t="str">
        <f t="shared" si="1"/>
        <v>3A Livestock</v>
      </c>
      <c r="C36" t="str">
        <f>C30</f>
        <v>3A1d Goats</v>
      </c>
      <c r="E36" t="s">
        <v>854</v>
      </c>
      <c r="F36" t="s">
        <v>848</v>
      </c>
      <c r="H36" s="50"/>
      <c r="I36" s="50">
        <f>(('Intermediate calculations'!$AQ$20-'Intermediate calculations'!$AH$20)/10)/1.5</f>
        <v>-1.3449455275246143</v>
      </c>
      <c r="J36" s="50">
        <f>(('Intermediate calculations'!$AQ$20-'Intermediate calculations'!$AH$20)/10)/2</f>
        <v>-1.0087091456434607</v>
      </c>
    </row>
    <row r="37" spans="1:11" x14ac:dyDescent="0.25">
      <c r="A37" t="str">
        <f t="shared" si="1"/>
        <v>3A Livestock</v>
      </c>
      <c r="C37" t="str">
        <f>C31</f>
        <v>3A1h Swine</v>
      </c>
      <c r="E37" t="s">
        <v>855</v>
      </c>
      <c r="F37" t="s">
        <v>848</v>
      </c>
      <c r="H37" s="50"/>
      <c r="I37" s="50">
        <f>(('Intermediate calculations'!$AQ$28-'Intermediate calculations'!$AH$28)/10)/1.25</f>
        <v>-0.1383387852514445</v>
      </c>
      <c r="J37" s="50">
        <f>(('Intermediate calculations'!$AQ$28-'Intermediate calculations'!$AH$28)/10)/1.6</f>
        <v>-0.10807717597769101</v>
      </c>
    </row>
    <row r="38" spans="1:11" ht="18.75" customHeight="1" x14ac:dyDescent="0.25">
      <c r="A38" s="20" t="s">
        <v>635</v>
      </c>
      <c r="B38" s="20"/>
      <c r="C38" s="20"/>
      <c r="D38" s="15"/>
      <c r="E38" s="15"/>
      <c r="F38" s="15"/>
      <c r="G38" s="15"/>
      <c r="H38" s="15"/>
      <c r="I38" s="15"/>
      <c r="J38" s="15"/>
    </row>
    <row r="39" spans="1:11" x14ac:dyDescent="0.25">
      <c r="A39" t="str">
        <f>'IPCC Categories'!A59</f>
        <v>3C Aggregated and non-CO2 emissions on land</v>
      </c>
      <c r="B39" t="str">
        <f>'IPCC Categories'!B73</f>
        <v>3C4 Direct N2O from managed soils (N2O)</v>
      </c>
      <c r="C39" t="str">
        <f>'IPCC Categories'!C75</f>
        <v>Crop residues</v>
      </c>
      <c r="E39" t="s">
        <v>450</v>
      </c>
      <c r="F39" t="s">
        <v>382</v>
      </c>
      <c r="H39" s="56">
        <f>1+(70/30)</f>
        <v>3.3333333333333335</v>
      </c>
    </row>
    <row r="40" spans="1:11" x14ac:dyDescent="0.25">
      <c r="A40" t="str">
        <f>'IPCC Categories'!A59</f>
        <v>3C Aggregated and non-CO2 emissions on land</v>
      </c>
      <c r="B40" t="str">
        <f>'IPCC Categories'!B73</f>
        <v>3C4 Direct N2O from managed soils (N2O)</v>
      </c>
      <c r="C40" t="s">
        <v>310</v>
      </c>
      <c r="D40" t="str">
        <f>" - "&amp;'Activity data'!D5</f>
        <v xml:space="preserve"> - TMR</v>
      </c>
      <c r="E40" t="str">
        <f t="shared" ref="E40:E60" si="3">C40&amp;D40</f>
        <v>Excretion rate - TMR</v>
      </c>
      <c r="F40" t="s">
        <v>311</v>
      </c>
      <c r="H40" s="22">
        <f>SUM('Aggregated EF'!T8:T10)</f>
        <v>128.28236394776278</v>
      </c>
    </row>
    <row r="41" spans="1:11" x14ac:dyDescent="0.25">
      <c r="A41" t="str">
        <f t="shared" ref="A41:A57" si="4">A40</f>
        <v>3C Aggregated and non-CO2 emissions on land</v>
      </c>
      <c r="B41" t="str">
        <f t="shared" ref="B41:B57" si="5">B40</f>
        <v>3C4 Direct N2O from managed soils (N2O)</v>
      </c>
      <c r="C41" t="str">
        <f t="shared" ref="C41:C57" si="6">C40</f>
        <v>Excretion rate</v>
      </c>
      <c r="D41" t="str">
        <f>" - "&amp;'Activity data'!D6</f>
        <v xml:space="preserve"> - Pasture</v>
      </c>
      <c r="E41" t="str">
        <f t="shared" si="3"/>
        <v>Excretion rate - Pasture</v>
      </c>
      <c r="F41" t="str">
        <f t="shared" ref="F41:F57" si="7">F40</f>
        <v>kg N/head/yr</v>
      </c>
      <c r="H41" s="22">
        <f>SUM('Aggregated EF'!T5:T7)</f>
        <v>116.88195504174696</v>
      </c>
    </row>
    <row r="42" spans="1:11" x14ac:dyDescent="0.25">
      <c r="A42" t="str">
        <f t="shared" si="4"/>
        <v>3C Aggregated and non-CO2 emissions on land</v>
      </c>
      <c r="B42" t="str">
        <f t="shared" si="5"/>
        <v>3C4 Direct N2O from managed soils (N2O)</v>
      </c>
      <c r="C42" t="str">
        <f t="shared" si="6"/>
        <v>Excretion rate</v>
      </c>
      <c r="D42" t="str">
        <f>" - "&amp;'Activity data'!D7</f>
        <v xml:space="preserve"> - Non-lactating</v>
      </c>
      <c r="E42" t="str">
        <f t="shared" si="3"/>
        <v>Excretion rate - Non-lactating</v>
      </c>
      <c r="F42" t="str">
        <f t="shared" si="7"/>
        <v>kg N/head/yr</v>
      </c>
      <c r="H42" s="22">
        <f>SUM('Aggregated EF'!T12:T21)</f>
        <v>40.496928454397946</v>
      </c>
    </row>
    <row r="43" spans="1:11" x14ac:dyDescent="0.25">
      <c r="A43" t="str">
        <f t="shared" si="4"/>
        <v>3C Aggregated and non-CO2 emissions on land</v>
      </c>
      <c r="B43" t="str">
        <f t="shared" si="5"/>
        <v>3C4 Direct N2O from managed soils (N2O)</v>
      </c>
      <c r="C43" t="str">
        <f t="shared" si="6"/>
        <v>Excretion rate</v>
      </c>
      <c r="D43" t="str">
        <f>" - "&amp;'Activity data'!D8&amp;" cattle"</f>
        <v xml:space="preserve"> - Commercial cattle</v>
      </c>
      <c r="E43" t="str">
        <f t="shared" si="3"/>
        <v>Excretion rate - Commercial cattle</v>
      </c>
      <c r="F43" t="str">
        <f t="shared" si="7"/>
        <v>kg N/head/yr</v>
      </c>
      <c r="H43" s="22">
        <f>SUM('Aggregated EF'!T22:T24,'Aggregated EF'!T26:T28)</f>
        <v>86.354881619987609</v>
      </c>
    </row>
    <row r="44" spans="1:11" x14ac:dyDescent="0.25">
      <c r="A44" t="str">
        <f t="shared" si="4"/>
        <v>3C Aggregated and non-CO2 emissions on land</v>
      </c>
      <c r="B44" t="str">
        <f t="shared" si="5"/>
        <v>3C4 Direct N2O from managed soils (N2O)</v>
      </c>
      <c r="C44" t="str">
        <f t="shared" si="6"/>
        <v>Excretion rate</v>
      </c>
      <c r="D44" t="str">
        <f>" - "&amp;'Activity data'!D9&amp;" cattle"</f>
        <v xml:space="preserve"> - Subsistence cattle</v>
      </c>
      <c r="E44" t="str">
        <f t="shared" si="3"/>
        <v>Excretion rate - Subsistence cattle</v>
      </c>
      <c r="F44" t="str">
        <f t="shared" si="7"/>
        <v>kg N/head/yr</v>
      </c>
      <c r="H44" s="22">
        <f>SUM('Aggregated EF'!T29:T34)</f>
        <v>64.633710943402036</v>
      </c>
    </row>
    <row r="45" spans="1:11" x14ac:dyDescent="0.25">
      <c r="A45" t="str">
        <f t="shared" si="4"/>
        <v>3C Aggregated and non-CO2 emissions on land</v>
      </c>
      <c r="B45" t="str">
        <f t="shared" si="5"/>
        <v>3C4 Direct N2O from managed soils (N2O)</v>
      </c>
      <c r="C45" t="str">
        <f t="shared" si="6"/>
        <v>Excretion rate</v>
      </c>
      <c r="D45" t="str">
        <f>" - "&amp;'Activity data'!D10</f>
        <v xml:space="preserve"> - Feedlot</v>
      </c>
      <c r="E45" t="str">
        <f t="shared" si="3"/>
        <v>Excretion rate - Feedlot</v>
      </c>
      <c r="F45" t="str">
        <f t="shared" si="7"/>
        <v>kg N/head/yr</v>
      </c>
      <c r="H45" s="22">
        <f>'Aggregated EF'!T25</f>
        <v>65.765699999999995</v>
      </c>
    </row>
    <row r="46" spans="1:11" x14ac:dyDescent="0.25">
      <c r="A46" t="str">
        <f t="shared" si="4"/>
        <v>3C Aggregated and non-CO2 emissions on land</v>
      </c>
      <c r="B46" t="str">
        <f t="shared" si="5"/>
        <v>3C4 Direct N2O from managed soils (N2O)</v>
      </c>
      <c r="C46" t="str">
        <f t="shared" si="6"/>
        <v>Excretion rate</v>
      </c>
      <c r="D46" t="str">
        <f>" - "&amp;'Activity data'!D11&amp;" sheep"</f>
        <v xml:space="preserve"> - Commercial sheep</v>
      </c>
      <c r="E46" t="str">
        <f t="shared" si="3"/>
        <v>Excretion rate - Commercial sheep</v>
      </c>
      <c r="F46" t="str">
        <f t="shared" si="7"/>
        <v>kg N/head/yr</v>
      </c>
      <c r="H46" s="22">
        <f>SUM('Aggregated EF'!T36:T59)</f>
        <v>19.60551595998232</v>
      </c>
    </row>
    <row r="47" spans="1:11" x14ac:dyDescent="0.25">
      <c r="A47" t="str">
        <f t="shared" si="4"/>
        <v>3C Aggregated and non-CO2 emissions on land</v>
      </c>
      <c r="B47" t="str">
        <f t="shared" si="5"/>
        <v>3C4 Direct N2O from managed soils (N2O)</v>
      </c>
      <c r="C47" t="str">
        <f t="shared" si="6"/>
        <v>Excretion rate</v>
      </c>
      <c r="D47" t="str">
        <f>" - "&amp;'Activity data'!D12&amp;" sheep"</f>
        <v xml:space="preserve"> - Subsistence sheep</v>
      </c>
      <c r="E47" t="str">
        <f t="shared" si="3"/>
        <v>Excretion rate - Subsistence sheep</v>
      </c>
      <c r="F47" t="str">
        <f t="shared" si="7"/>
        <v>kg N/head/yr</v>
      </c>
      <c r="H47" s="22">
        <f>SUM('Aggregated EF'!T60:T83)</f>
        <v>15.591414113527657</v>
      </c>
    </row>
    <row r="48" spans="1:11" x14ac:dyDescent="0.25">
      <c r="A48" t="str">
        <f t="shared" si="4"/>
        <v>3C Aggregated and non-CO2 emissions on land</v>
      </c>
      <c r="B48" t="str">
        <f t="shared" si="5"/>
        <v>3C4 Direct N2O from managed soils (N2O)</v>
      </c>
      <c r="C48" t="str">
        <f t="shared" si="6"/>
        <v>Excretion rate</v>
      </c>
      <c r="D48" t="str">
        <f>" - "&amp;'Activity data'!D13&amp;" goats"</f>
        <v xml:space="preserve"> - Commercial goats</v>
      </c>
      <c r="E48" t="str">
        <f t="shared" si="3"/>
        <v>Excretion rate - Commercial goats</v>
      </c>
      <c r="F48" t="str">
        <f t="shared" si="7"/>
        <v>kg N/head/yr</v>
      </c>
      <c r="H48" s="22">
        <f>SUM('Aggregated EF'!T85:T102)</f>
        <v>22.287353637058541</v>
      </c>
    </row>
    <row r="49" spans="1:8" x14ac:dyDescent="0.25">
      <c r="A49" t="str">
        <f t="shared" si="4"/>
        <v>3C Aggregated and non-CO2 emissions on land</v>
      </c>
      <c r="B49" t="str">
        <f t="shared" si="5"/>
        <v>3C4 Direct N2O from managed soils (N2O)</v>
      </c>
      <c r="C49" t="str">
        <f t="shared" si="6"/>
        <v>Excretion rate</v>
      </c>
      <c r="D49" t="str">
        <f>" - "&amp;'Activity data'!D14&amp;" goats"</f>
        <v xml:space="preserve"> - Subsistence goats</v>
      </c>
      <c r="E49" t="str">
        <f t="shared" si="3"/>
        <v>Excretion rate - Subsistence goats</v>
      </c>
      <c r="F49" t="str">
        <f t="shared" si="7"/>
        <v>kg N/head/yr</v>
      </c>
      <c r="H49" s="22">
        <f>SUM('Aggregated EF'!T103:T108)</f>
        <v>20.227322529999995</v>
      </c>
    </row>
    <row r="50" spans="1:8" x14ac:dyDescent="0.25">
      <c r="A50" t="str">
        <f t="shared" si="4"/>
        <v>3C Aggregated and non-CO2 emissions on land</v>
      </c>
      <c r="B50" t="str">
        <f t="shared" si="5"/>
        <v>3C4 Direct N2O from managed soils (N2O)</v>
      </c>
      <c r="C50" t="str">
        <f t="shared" si="6"/>
        <v>Excretion rate</v>
      </c>
      <c r="D50" t="str">
        <f>" - "&amp;'Activity data'!D15</f>
        <v xml:space="preserve"> - Horses</v>
      </c>
      <c r="E50" t="str">
        <f t="shared" si="3"/>
        <v>Excretion rate - Horses</v>
      </c>
      <c r="F50" t="str">
        <f t="shared" si="7"/>
        <v>kg N/head/yr</v>
      </c>
      <c r="H50" s="22">
        <f>'Aggregated EF'!T110</f>
        <v>39.5</v>
      </c>
    </row>
    <row r="51" spans="1:8" x14ac:dyDescent="0.25">
      <c r="A51" t="str">
        <f t="shared" si="4"/>
        <v>3C Aggregated and non-CO2 emissions on land</v>
      </c>
      <c r="B51" t="str">
        <f t="shared" si="5"/>
        <v>3C4 Direct N2O from managed soils (N2O)</v>
      </c>
      <c r="C51" t="str">
        <f t="shared" si="6"/>
        <v>Excretion rate</v>
      </c>
      <c r="D51" t="str">
        <f>" - "&amp;'Activity data'!D16</f>
        <v xml:space="preserve"> - Mules &amp; Asses</v>
      </c>
      <c r="E51" t="str">
        <f t="shared" si="3"/>
        <v>Excretion rate - Mules &amp; Asses</v>
      </c>
      <c r="F51" t="str">
        <f t="shared" si="7"/>
        <v>kg N/head/yr</v>
      </c>
      <c r="H51" s="22">
        <f>'Aggregated EF'!T112</f>
        <v>13.2</v>
      </c>
    </row>
    <row r="52" spans="1:8" x14ac:dyDescent="0.25">
      <c r="A52" t="str">
        <f t="shared" si="4"/>
        <v>3C Aggregated and non-CO2 emissions on land</v>
      </c>
      <c r="B52" t="str">
        <f t="shared" si="5"/>
        <v>3C4 Direct N2O from managed soils (N2O)</v>
      </c>
      <c r="C52" t="str">
        <f t="shared" si="6"/>
        <v>Excretion rate</v>
      </c>
      <c r="D52" t="str">
        <f>" - "&amp;'Activity data'!D17&amp;" swine"</f>
        <v xml:space="preserve"> - Commercial swine</v>
      </c>
      <c r="E52" t="str">
        <f t="shared" si="3"/>
        <v>Excretion rate - Commercial swine</v>
      </c>
      <c r="F52" t="str">
        <f t="shared" si="7"/>
        <v>kg N/head/yr</v>
      </c>
      <c r="H52" s="22">
        <f>SUM('Aggregated EF'!T114:T123)</f>
        <v>13.769600000000001</v>
      </c>
    </row>
    <row r="53" spans="1:8" x14ac:dyDescent="0.25">
      <c r="A53" t="str">
        <f t="shared" si="4"/>
        <v>3C Aggregated and non-CO2 emissions on land</v>
      </c>
      <c r="B53" t="str">
        <f t="shared" si="5"/>
        <v>3C4 Direct N2O from managed soils (N2O)</v>
      </c>
      <c r="C53" t="str">
        <f t="shared" si="6"/>
        <v>Excretion rate</v>
      </c>
      <c r="D53" t="str">
        <f>" - "&amp;'Activity data'!D18&amp;" swine"</f>
        <v xml:space="preserve"> - Subsistence swine</v>
      </c>
      <c r="E53" t="str">
        <f t="shared" si="3"/>
        <v>Excretion rate - Subsistence swine</v>
      </c>
      <c r="F53" t="str">
        <f t="shared" si="7"/>
        <v>kg N/head/yr</v>
      </c>
      <c r="H53" s="22">
        <f>SUM('Aggregated EF'!T124:T133)</f>
        <v>15.091520000000001</v>
      </c>
    </row>
    <row r="54" spans="1:8" x14ac:dyDescent="0.25">
      <c r="A54" t="str">
        <f t="shared" si="4"/>
        <v>3C Aggregated and non-CO2 emissions on land</v>
      </c>
      <c r="B54" t="str">
        <f t="shared" si="5"/>
        <v>3C4 Direct N2O from managed soils (N2O)</v>
      </c>
      <c r="C54" t="str">
        <f t="shared" si="6"/>
        <v>Excretion rate</v>
      </c>
      <c r="D54" t="str">
        <f>" - "&amp;'Activity data'!D19</f>
        <v xml:space="preserve"> - Commercial layers</v>
      </c>
      <c r="E54" t="str">
        <f t="shared" si="3"/>
        <v>Excretion rate - Commercial layers</v>
      </c>
      <c r="F54" t="str">
        <f t="shared" si="7"/>
        <v>kg N/head/yr</v>
      </c>
      <c r="H54" s="22">
        <f>'Aggregated EF'!T136</f>
        <v>0.6</v>
      </c>
    </row>
    <row r="55" spans="1:8" x14ac:dyDescent="0.25">
      <c r="A55" t="str">
        <f t="shared" si="4"/>
        <v>3C Aggregated and non-CO2 emissions on land</v>
      </c>
      <c r="B55" t="str">
        <f t="shared" si="5"/>
        <v>3C4 Direct N2O from managed soils (N2O)</v>
      </c>
      <c r="C55" t="str">
        <f t="shared" si="6"/>
        <v>Excretion rate</v>
      </c>
      <c r="D55" t="str">
        <f>" - "&amp;'Activity data'!D20</f>
        <v xml:space="preserve"> - Commercial broilers</v>
      </c>
      <c r="E55" t="str">
        <f t="shared" si="3"/>
        <v>Excretion rate - Commercial broilers</v>
      </c>
      <c r="F55" t="str">
        <f t="shared" si="7"/>
        <v>kg N/head/yr</v>
      </c>
      <c r="H55" s="22">
        <f>'Aggregated EF'!T135</f>
        <v>0.7</v>
      </c>
    </row>
    <row r="56" spans="1:8" x14ac:dyDescent="0.25">
      <c r="A56" t="str">
        <f t="shared" si="4"/>
        <v>3C Aggregated and non-CO2 emissions on land</v>
      </c>
      <c r="B56" t="str">
        <f t="shared" si="5"/>
        <v>3C4 Direct N2O from managed soils (N2O)</v>
      </c>
      <c r="C56" t="str">
        <f t="shared" si="6"/>
        <v>Excretion rate</v>
      </c>
      <c r="D56" t="str">
        <f>" - "&amp;'Activity data'!D21</f>
        <v xml:space="preserve"> - Subsistence layers</v>
      </c>
      <c r="E56" t="str">
        <f t="shared" si="3"/>
        <v>Excretion rate - Subsistence layers</v>
      </c>
      <c r="F56" t="str">
        <f t="shared" si="7"/>
        <v>kg N/head/yr</v>
      </c>
      <c r="H56" s="22">
        <f>'Aggregated EF'!T138</f>
        <v>0.6</v>
      </c>
    </row>
    <row r="57" spans="1:8" x14ac:dyDescent="0.25">
      <c r="A57" t="str">
        <f t="shared" si="4"/>
        <v>3C Aggregated and non-CO2 emissions on land</v>
      </c>
      <c r="B57" t="str">
        <f t="shared" si="5"/>
        <v>3C4 Direct N2O from managed soils (N2O)</v>
      </c>
      <c r="C57" t="str">
        <f t="shared" si="6"/>
        <v>Excretion rate</v>
      </c>
      <c r="D57" t="str">
        <f>" - "&amp;'Activity data'!D22</f>
        <v xml:space="preserve"> - Subsistence broilers</v>
      </c>
      <c r="E57" t="str">
        <f t="shared" si="3"/>
        <v>Excretion rate - Subsistence broilers</v>
      </c>
      <c r="F57" t="str">
        <f t="shared" si="7"/>
        <v>kg N/head/yr</v>
      </c>
      <c r="H57" s="22">
        <f>'Aggregated EF'!T137</f>
        <v>0.7</v>
      </c>
    </row>
    <row r="58" spans="1:8" x14ac:dyDescent="0.25">
      <c r="A58" t="str">
        <f t="shared" ref="A58:A89" si="8">A57</f>
        <v>3C Aggregated and non-CO2 emissions on land</v>
      </c>
      <c r="B58" t="str">
        <f t="shared" ref="B58:B89" si="9">B57</f>
        <v>3C4 Direct N2O from managed soils (N2O)</v>
      </c>
      <c r="C58" t="s">
        <v>396</v>
      </c>
      <c r="D58" t="str">
        <f t="shared" ref="D58:D91" si="10">D40</f>
        <v xml:space="preserve"> - TMR</v>
      </c>
      <c r="E58" t="str">
        <f t="shared" si="3"/>
        <v>FracMM - TMR</v>
      </c>
      <c r="F58" t="s">
        <v>327</v>
      </c>
      <c r="H58" s="22">
        <v>1</v>
      </c>
    </row>
    <row r="59" spans="1:8" x14ac:dyDescent="0.25">
      <c r="A59" t="str">
        <f t="shared" si="8"/>
        <v>3C Aggregated and non-CO2 emissions on land</v>
      </c>
      <c r="B59" t="str">
        <f t="shared" si="9"/>
        <v>3C4 Direct N2O from managed soils (N2O)</v>
      </c>
      <c r="C59" t="s">
        <v>396</v>
      </c>
      <c r="D59" t="str">
        <f t="shared" si="10"/>
        <v xml:space="preserve"> - Pasture</v>
      </c>
      <c r="E59" t="str">
        <f t="shared" si="3"/>
        <v>FracMM - Pasture</v>
      </c>
      <c r="F59" t="s">
        <v>327</v>
      </c>
      <c r="H59" s="22">
        <v>0.4</v>
      </c>
    </row>
    <row r="60" spans="1:8" x14ac:dyDescent="0.25">
      <c r="A60" t="str">
        <f t="shared" si="8"/>
        <v>3C Aggregated and non-CO2 emissions on land</v>
      </c>
      <c r="B60" t="str">
        <f t="shared" si="9"/>
        <v>3C4 Direct N2O from managed soils (N2O)</v>
      </c>
      <c r="C60" t="s">
        <v>396</v>
      </c>
      <c r="D60" t="str">
        <f t="shared" si="10"/>
        <v xml:space="preserve"> - Non-lactating</v>
      </c>
      <c r="E60" t="str">
        <f t="shared" si="3"/>
        <v>FracMM - Non-lactating</v>
      </c>
      <c r="F60" t="s">
        <v>327</v>
      </c>
      <c r="H60" s="22">
        <v>0.05</v>
      </c>
    </row>
    <row r="61" spans="1:8" x14ac:dyDescent="0.25">
      <c r="A61" t="str">
        <f t="shared" si="8"/>
        <v>3C Aggregated and non-CO2 emissions on land</v>
      </c>
      <c r="B61" t="str">
        <f t="shared" si="9"/>
        <v>3C4 Direct N2O from managed soils (N2O)</v>
      </c>
      <c r="C61" t="s">
        <v>396</v>
      </c>
      <c r="D61" t="str">
        <f t="shared" si="10"/>
        <v xml:space="preserve"> - Commercial cattle</v>
      </c>
      <c r="E61" t="str">
        <f>C61&amp;D61&amp;" cattle"</f>
        <v>FracMM - Commercial cattle cattle</v>
      </c>
      <c r="F61" t="s">
        <v>327</v>
      </c>
      <c r="H61" s="22">
        <v>0.05</v>
      </c>
    </row>
    <row r="62" spans="1:8" x14ac:dyDescent="0.25">
      <c r="A62" t="str">
        <f t="shared" si="8"/>
        <v>3C Aggregated and non-CO2 emissions on land</v>
      </c>
      <c r="B62" t="str">
        <f t="shared" si="9"/>
        <v>3C4 Direct N2O from managed soils (N2O)</v>
      </c>
      <c r="C62" t="s">
        <v>396</v>
      </c>
      <c r="D62" t="str">
        <f t="shared" si="10"/>
        <v xml:space="preserve"> - Subsistence cattle</v>
      </c>
      <c r="E62" t="str">
        <f>C62&amp;D62&amp;" cattle"</f>
        <v>FracMM - Subsistence cattle cattle</v>
      </c>
      <c r="F62" t="s">
        <v>327</v>
      </c>
      <c r="H62" s="22">
        <v>0.1</v>
      </c>
    </row>
    <row r="63" spans="1:8" x14ac:dyDescent="0.25">
      <c r="A63" t="str">
        <f t="shared" si="8"/>
        <v>3C Aggregated and non-CO2 emissions on land</v>
      </c>
      <c r="B63" t="str">
        <f t="shared" si="9"/>
        <v>3C4 Direct N2O from managed soils (N2O)</v>
      </c>
      <c r="C63" t="s">
        <v>396</v>
      </c>
      <c r="D63" t="str">
        <f t="shared" si="10"/>
        <v xml:space="preserve"> - Feedlot</v>
      </c>
      <c r="E63" t="str">
        <f t="shared" ref="E63:E107" si="11">C63&amp;D63</f>
        <v>FracMM - Feedlot</v>
      </c>
      <c r="F63" t="s">
        <v>327</v>
      </c>
      <c r="H63" s="22">
        <v>1</v>
      </c>
    </row>
    <row r="64" spans="1:8" x14ac:dyDescent="0.25">
      <c r="A64" t="str">
        <f t="shared" si="8"/>
        <v>3C Aggregated and non-CO2 emissions on land</v>
      </c>
      <c r="B64" t="str">
        <f t="shared" si="9"/>
        <v>3C4 Direct N2O from managed soils (N2O)</v>
      </c>
      <c r="C64" t="s">
        <v>396</v>
      </c>
      <c r="D64" t="str">
        <f t="shared" si="10"/>
        <v xml:space="preserve"> - Commercial sheep</v>
      </c>
      <c r="E64" t="str">
        <f t="shared" si="11"/>
        <v>FracMM - Commercial sheep</v>
      </c>
      <c r="F64" t="s">
        <v>327</v>
      </c>
      <c r="H64" s="22">
        <v>0.01</v>
      </c>
    </row>
    <row r="65" spans="1:8" x14ac:dyDescent="0.25">
      <c r="A65" t="str">
        <f t="shared" si="8"/>
        <v>3C Aggregated and non-CO2 emissions on land</v>
      </c>
      <c r="B65" t="str">
        <f t="shared" si="9"/>
        <v>3C4 Direct N2O from managed soils (N2O)</v>
      </c>
      <c r="C65" t="s">
        <v>396</v>
      </c>
      <c r="D65" t="str">
        <f t="shared" si="10"/>
        <v xml:space="preserve"> - Subsistence sheep</v>
      </c>
      <c r="E65" t="str">
        <f t="shared" si="11"/>
        <v>FracMM - Subsistence sheep</v>
      </c>
      <c r="F65" t="s">
        <v>327</v>
      </c>
      <c r="H65" s="22">
        <v>7.0000000000000007E-2</v>
      </c>
    </row>
    <row r="66" spans="1:8" x14ac:dyDescent="0.25">
      <c r="A66" t="str">
        <f t="shared" si="8"/>
        <v>3C Aggregated and non-CO2 emissions on land</v>
      </c>
      <c r="B66" t="str">
        <f t="shared" si="9"/>
        <v>3C4 Direct N2O from managed soils (N2O)</v>
      </c>
      <c r="C66" t="s">
        <v>396</v>
      </c>
      <c r="D66" t="str">
        <f t="shared" si="10"/>
        <v xml:space="preserve"> - Commercial goats</v>
      </c>
      <c r="E66" t="str">
        <f t="shared" si="11"/>
        <v>FracMM - Commercial goats</v>
      </c>
      <c r="F66" t="s">
        <v>327</v>
      </c>
      <c r="H66" s="22">
        <v>0.01</v>
      </c>
    </row>
    <row r="67" spans="1:8" x14ac:dyDescent="0.25">
      <c r="A67" t="str">
        <f t="shared" si="8"/>
        <v>3C Aggregated and non-CO2 emissions on land</v>
      </c>
      <c r="B67" t="str">
        <f t="shared" si="9"/>
        <v>3C4 Direct N2O from managed soils (N2O)</v>
      </c>
      <c r="C67" t="s">
        <v>396</v>
      </c>
      <c r="D67" t="str">
        <f t="shared" si="10"/>
        <v xml:space="preserve"> - Subsistence goats</v>
      </c>
      <c r="E67" t="str">
        <f t="shared" si="11"/>
        <v>FracMM - Subsistence goats</v>
      </c>
      <c r="F67" t="s">
        <v>327</v>
      </c>
      <c r="H67" s="22">
        <v>7.0000000000000007E-2</v>
      </c>
    </row>
    <row r="68" spans="1:8" x14ac:dyDescent="0.25">
      <c r="A68" t="str">
        <f t="shared" si="8"/>
        <v>3C Aggregated and non-CO2 emissions on land</v>
      </c>
      <c r="B68" t="str">
        <f t="shared" si="9"/>
        <v>3C4 Direct N2O from managed soils (N2O)</v>
      </c>
      <c r="C68" t="s">
        <v>396</v>
      </c>
      <c r="D68" t="str">
        <f t="shared" si="10"/>
        <v xml:space="preserve"> - Horses</v>
      </c>
      <c r="E68" t="str">
        <f t="shared" si="11"/>
        <v>FracMM - Horses</v>
      </c>
      <c r="F68" t="s">
        <v>327</v>
      </c>
      <c r="H68" s="22">
        <v>0</v>
      </c>
    </row>
    <row r="69" spans="1:8" x14ac:dyDescent="0.25">
      <c r="A69" t="str">
        <f t="shared" si="8"/>
        <v>3C Aggregated and non-CO2 emissions on land</v>
      </c>
      <c r="B69" t="str">
        <f t="shared" si="9"/>
        <v>3C4 Direct N2O from managed soils (N2O)</v>
      </c>
      <c r="C69" t="s">
        <v>396</v>
      </c>
      <c r="D69" t="str">
        <f t="shared" si="10"/>
        <v xml:space="preserve"> - Mules &amp; Asses</v>
      </c>
      <c r="E69" t="str">
        <f t="shared" si="11"/>
        <v>FracMM - Mules &amp; Asses</v>
      </c>
      <c r="F69" t="s">
        <v>327</v>
      </c>
      <c r="H69" s="22">
        <v>0</v>
      </c>
    </row>
    <row r="70" spans="1:8" x14ac:dyDescent="0.25">
      <c r="A70" t="str">
        <f t="shared" si="8"/>
        <v>3C Aggregated and non-CO2 emissions on land</v>
      </c>
      <c r="B70" t="str">
        <f t="shared" si="9"/>
        <v>3C4 Direct N2O from managed soils (N2O)</v>
      </c>
      <c r="C70" t="s">
        <v>396</v>
      </c>
      <c r="D70" t="str">
        <f t="shared" si="10"/>
        <v xml:space="preserve"> - Commercial swine</v>
      </c>
      <c r="E70" t="str">
        <f t="shared" si="11"/>
        <v>FracMM - Commercial swine</v>
      </c>
      <c r="F70" t="s">
        <v>327</v>
      </c>
      <c r="H70" s="22">
        <v>1</v>
      </c>
    </row>
    <row r="71" spans="1:8" x14ac:dyDescent="0.25">
      <c r="A71" t="str">
        <f t="shared" si="8"/>
        <v>3C Aggregated and non-CO2 emissions on land</v>
      </c>
      <c r="B71" t="str">
        <f t="shared" si="9"/>
        <v>3C4 Direct N2O from managed soils (N2O)</v>
      </c>
      <c r="C71" t="s">
        <v>396</v>
      </c>
      <c r="D71" t="str">
        <f t="shared" si="10"/>
        <v xml:space="preserve"> - Subsistence swine</v>
      </c>
      <c r="E71" t="str">
        <f t="shared" si="11"/>
        <v>FracMM - Subsistence swine</v>
      </c>
      <c r="F71" t="s">
        <v>327</v>
      </c>
      <c r="H71" s="22">
        <v>1</v>
      </c>
    </row>
    <row r="72" spans="1:8" x14ac:dyDescent="0.25">
      <c r="A72" t="str">
        <f t="shared" si="8"/>
        <v>3C Aggregated and non-CO2 emissions on land</v>
      </c>
      <c r="B72" t="str">
        <f t="shared" si="9"/>
        <v>3C4 Direct N2O from managed soils (N2O)</v>
      </c>
      <c r="C72" t="s">
        <v>396</v>
      </c>
      <c r="D72" t="str">
        <f t="shared" si="10"/>
        <v xml:space="preserve"> - Commercial layers</v>
      </c>
      <c r="E72" t="str">
        <f t="shared" si="11"/>
        <v>FracMM - Commercial layers</v>
      </c>
      <c r="F72" t="s">
        <v>327</v>
      </c>
      <c r="H72" s="22">
        <v>1</v>
      </c>
    </row>
    <row r="73" spans="1:8" x14ac:dyDescent="0.25">
      <c r="A73" t="str">
        <f t="shared" si="8"/>
        <v>3C Aggregated and non-CO2 emissions on land</v>
      </c>
      <c r="B73" t="str">
        <f t="shared" si="9"/>
        <v>3C4 Direct N2O from managed soils (N2O)</v>
      </c>
      <c r="C73" t="s">
        <v>396</v>
      </c>
      <c r="D73" t="str">
        <f t="shared" si="10"/>
        <v xml:space="preserve"> - Commercial broilers</v>
      </c>
      <c r="E73" t="str">
        <f t="shared" si="11"/>
        <v>FracMM - Commercial broilers</v>
      </c>
      <c r="F73" t="s">
        <v>327</v>
      </c>
      <c r="H73" s="22">
        <v>1</v>
      </c>
    </row>
    <row r="74" spans="1:8" x14ac:dyDescent="0.25">
      <c r="A74" t="str">
        <f t="shared" si="8"/>
        <v>3C Aggregated and non-CO2 emissions on land</v>
      </c>
      <c r="B74" t="str">
        <f t="shared" si="9"/>
        <v>3C4 Direct N2O from managed soils (N2O)</v>
      </c>
      <c r="C74" t="s">
        <v>396</v>
      </c>
      <c r="D74" t="str">
        <f t="shared" si="10"/>
        <v xml:space="preserve"> - Subsistence layers</v>
      </c>
      <c r="E74" t="str">
        <f t="shared" si="11"/>
        <v>FracMM - Subsistence layers</v>
      </c>
      <c r="F74" t="s">
        <v>327</v>
      </c>
      <c r="H74" s="22">
        <v>1</v>
      </c>
    </row>
    <row r="75" spans="1:8" x14ac:dyDescent="0.25">
      <c r="A75" t="str">
        <f t="shared" si="8"/>
        <v>3C Aggregated and non-CO2 emissions on land</v>
      </c>
      <c r="B75" t="str">
        <f t="shared" si="9"/>
        <v>3C4 Direct N2O from managed soils (N2O)</v>
      </c>
      <c r="C75" t="s">
        <v>396</v>
      </c>
      <c r="D75" t="str">
        <f t="shared" si="10"/>
        <v xml:space="preserve"> - Subsistence broilers</v>
      </c>
      <c r="E75" t="str">
        <f t="shared" si="11"/>
        <v>FracMM - Subsistence broilers</v>
      </c>
      <c r="F75" t="s">
        <v>327</v>
      </c>
      <c r="H75" s="22">
        <v>1</v>
      </c>
    </row>
    <row r="76" spans="1:8" x14ac:dyDescent="0.25">
      <c r="A76" t="str">
        <f t="shared" si="8"/>
        <v>3C Aggregated and non-CO2 emissions on land</v>
      </c>
      <c r="B76" t="str">
        <f t="shared" si="9"/>
        <v>3C4 Direct N2O from managed soils (N2O)</v>
      </c>
      <c r="C76" t="s">
        <v>409</v>
      </c>
      <c r="D76" t="str">
        <f t="shared" si="10"/>
        <v xml:space="preserve"> - TMR</v>
      </c>
      <c r="E76" t="str">
        <f t="shared" si="11"/>
        <v>FracLoss - TMR</v>
      </c>
      <c r="F76" t="s">
        <v>327</v>
      </c>
      <c r="H76" s="22">
        <v>0.73199999999999998</v>
      </c>
    </row>
    <row r="77" spans="1:8" x14ac:dyDescent="0.25">
      <c r="A77" t="str">
        <f t="shared" si="8"/>
        <v>3C Aggregated and non-CO2 emissions on land</v>
      </c>
      <c r="B77" t="str">
        <f t="shared" si="9"/>
        <v>3C4 Direct N2O from managed soils (N2O)</v>
      </c>
      <c r="C77" t="s">
        <v>409</v>
      </c>
      <c r="D77" t="str">
        <f t="shared" si="10"/>
        <v xml:space="preserve"> - Pasture</v>
      </c>
      <c r="E77" t="str">
        <f t="shared" si="11"/>
        <v>FracLoss - Pasture</v>
      </c>
      <c r="F77" t="s">
        <v>327</v>
      </c>
      <c r="H77" s="22">
        <v>0.155</v>
      </c>
    </row>
    <row r="78" spans="1:8" x14ac:dyDescent="0.25">
      <c r="A78" t="str">
        <f t="shared" si="8"/>
        <v>3C Aggregated and non-CO2 emissions on land</v>
      </c>
      <c r="B78" t="str">
        <f t="shared" si="9"/>
        <v>3C4 Direct N2O from managed soils (N2O)</v>
      </c>
      <c r="C78" t="s">
        <v>409</v>
      </c>
      <c r="D78" t="str">
        <f t="shared" si="10"/>
        <v xml:space="preserve"> - Non-lactating</v>
      </c>
      <c r="E78" t="str">
        <f t="shared" si="11"/>
        <v>FracLoss - Non-lactating</v>
      </c>
      <c r="F78" t="s">
        <v>327</v>
      </c>
      <c r="H78" s="22">
        <v>1.7999999999999999E-2</v>
      </c>
    </row>
    <row r="79" spans="1:8" x14ac:dyDescent="0.25">
      <c r="A79" t="str">
        <f t="shared" si="8"/>
        <v>3C Aggregated and non-CO2 emissions on land</v>
      </c>
      <c r="B79" t="str">
        <f t="shared" si="9"/>
        <v>3C4 Direct N2O from managed soils (N2O)</v>
      </c>
      <c r="C79" t="s">
        <v>409</v>
      </c>
      <c r="D79" t="str">
        <f t="shared" si="10"/>
        <v xml:space="preserve"> - Commercial cattle</v>
      </c>
      <c r="E79" t="str">
        <f t="shared" si="11"/>
        <v>FracLoss - Commercial cattle</v>
      </c>
      <c r="F79" t="s">
        <v>327</v>
      </c>
      <c r="H79" s="22">
        <v>0.01</v>
      </c>
    </row>
    <row r="80" spans="1:8" x14ac:dyDescent="0.25">
      <c r="A80" t="str">
        <f t="shared" si="8"/>
        <v>3C Aggregated and non-CO2 emissions on land</v>
      </c>
      <c r="B80" t="str">
        <f t="shared" si="9"/>
        <v>3C4 Direct N2O from managed soils (N2O)</v>
      </c>
      <c r="C80" t="s">
        <v>409</v>
      </c>
      <c r="D80" t="str">
        <f t="shared" si="10"/>
        <v xml:space="preserve"> - Subsistence cattle</v>
      </c>
      <c r="E80" t="str">
        <f t="shared" si="11"/>
        <v>FracLoss - Subsistence cattle</v>
      </c>
      <c r="F80" t="s">
        <v>327</v>
      </c>
      <c r="H80" s="22">
        <v>0.04</v>
      </c>
    </row>
    <row r="81" spans="1:8" x14ac:dyDescent="0.25">
      <c r="A81" t="str">
        <f t="shared" si="8"/>
        <v>3C Aggregated and non-CO2 emissions on land</v>
      </c>
      <c r="B81" t="str">
        <f t="shared" si="9"/>
        <v>3C4 Direct N2O from managed soils (N2O)</v>
      </c>
      <c r="C81" t="s">
        <v>409</v>
      </c>
      <c r="D81" t="str">
        <f t="shared" si="10"/>
        <v xml:space="preserve"> - Feedlot</v>
      </c>
      <c r="E81" t="str">
        <f t="shared" si="11"/>
        <v>FracLoss - Feedlot</v>
      </c>
      <c r="F81" t="s">
        <v>327</v>
      </c>
      <c r="H81" s="22">
        <v>0.38600000000000001</v>
      </c>
    </row>
    <row r="82" spans="1:8" x14ac:dyDescent="0.25">
      <c r="A82" t="str">
        <f t="shared" si="8"/>
        <v>3C Aggregated and non-CO2 emissions on land</v>
      </c>
      <c r="B82" t="str">
        <f t="shared" si="9"/>
        <v>3C4 Direct N2O from managed soils (N2O)</v>
      </c>
      <c r="C82" t="s">
        <v>409</v>
      </c>
      <c r="D82" t="str">
        <f t="shared" si="10"/>
        <v xml:space="preserve"> - Commercial sheep</v>
      </c>
      <c r="E82" t="str">
        <f t="shared" si="11"/>
        <v>FracLoss - Commercial sheep</v>
      </c>
      <c r="F82" t="s">
        <v>327</v>
      </c>
      <c r="H82" s="22">
        <v>4.0000000000000001E-3</v>
      </c>
    </row>
    <row r="83" spans="1:8" x14ac:dyDescent="0.25">
      <c r="A83" t="str">
        <f t="shared" si="8"/>
        <v>3C Aggregated and non-CO2 emissions on land</v>
      </c>
      <c r="B83" t="str">
        <f t="shared" si="9"/>
        <v>3C4 Direct N2O from managed soils (N2O)</v>
      </c>
      <c r="C83" t="s">
        <v>409</v>
      </c>
      <c r="D83" t="str">
        <f t="shared" si="10"/>
        <v xml:space="preserve"> - Subsistence sheep</v>
      </c>
      <c r="E83" t="str">
        <f t="shared" si="11"/>
        <v>FracLoss - Subsistence sheep</v>
      </c>
      <c r="F83" t="s">
        <v>327</v>
      </c>
      <c r="H83" s="22">
        <v>2.5499999999999998E-2</v>
      </c>
    </row>
    <row r="84" spans="1:8" x14ac:dyDescent="0.25">
      <c r="A84" t="str">
        <f t="shared" si="8"/>
        <v>3C Aggregated and non-CO2 emissions on land</v>
      </c>
      <c r="B84" t="str">
        <f t="shared" si="9"/>
        <v>3C4 Direct N2O from managed soils (N2O)</v>
      </c>
      <c r="C84" t="s">
        <v>409</v>
      </c>
      <c r="D84" t="str">
        <f t="shared" si="10"/>
        <v xml:space="preserve"> - Commercial goats</v>
      </c>
      <c r="E84" t="str">
        <f t="shared" si="11"/>
        <v>FracLoss - Commercial goats</v>
      </c>
      <c r="F84" t="s">
        <v>327</v>
      </c>
      <c r="H84" s="22">
        <v>4.0000000000000001E-3</v>
      </c>
    </row>
    <row r="85" spans="1:8" x14ac:dyDescent="0.25">
      <c r="A85" t="str">
        <f t="shared" si="8"/>
        <v>3C Aggregated and non-CO2 emissions on land</v>
      </c>
      <c r="B85" t="str">
        <f t="shared" si="9"/>
        <v>3C4 Direct N2O from managed soils (N2O)</v>
      </c>
      <c r="C85" t="s">
        <v>409</v>
      </c>
      <c r="D85" t="str">
        <f t="shared" si="10"/>
        <v xml:space="preserve"> - Subsistence goats</v>
      </c>
      <c r="E85" t="str">
        <f t="shared" si="11"/>
        <v>FracLoss - Subsistence goats</v>
      </c>
      <c r="F85" t="s">
        <v>327</v>
      </c>
      <c r="H85" s="22">
        <v>2.5499999999999998E-2</v>
      </c>
    </row>
    <row r="86" spans="1:8" x14ac:dyDescent="0.25">
      <c r="A86" t="str">
        <f t="shared" si="8"/>
        <v>3C Aggregated and non-CO2 emissions on land</v>
      </c>
      <c r="B86" t="str">
        <f t="shared" si="9"/>
        <v>3C4 Direct N2O from managed soils (N2O)</v>
      </c>
      <c r="C86" t="s">
        <v>409</v>
      </c>
      <c r="D86" t="str">
        <f t="shared" si="10"/>
        <v xml:space="preserve"> - Horses</v>
      </c>
      <c r="E86" t="str">
        <f t="shared" si="11"/>
        <v>FracLoss - Horses</v>
      </c>
      <c r="F86" t="s">
        <v>327</v>
      </c>
      <c r="H86" s="22">
        <v>0</v>
      </c>
    </row>
    <row r="87" spans="1:8" x14ac:dyDescent="0.25">
      <c r="A87" t="str">
        <f t="shared" si="8"/>
        <v>3C Aggregated and non-CO2 emissions on land</v>
      </c>
      <c r="B87" t="str">
        <f t="shared" si="9"/>
        <v>3C4 Direct N2O from managed soils (N2O)</v>
      </c>
      <c r="C87" t="s">
        <v>409</v>
      </c>
      <c r="D87" t="str">
        <f t="shared" si="10"/>
        <v xml:space="preserve"> - Mules &amp; Asses</v>
      </c>
      <c r="E87" t="str">
        <f t="shared" si="11"/>
        <v>FracLoss - Mules &amp; Asses</v>
      </c>
      <c r="F87" t="s">
        <v>327</v>
      </c>
      <c r="H87" s="22">
        <v>0</v>
      </c>
    </row>
    <row r="88" spans="1:8" x14ac:dyDescent="0.25">
      <c r="A88" t="str">
        <f t="shared" si="8"/>
        <v>3C Aggregated and non-CO2 emissions on land</v>
      </c>
      <c r="B88" t="str">
        <f t="shared" si="9"/>
        <v>3C4 Direct N2O from managed soils (N2O)</v>
      </c>
      <c r="C88" t="s">
        <v>409</v>
      </c>
      <c r="D88" t="str">
        <f t="shared" si="10"/>
        <v xml:space="preserve"> - Commercial swine</v>
      </c>
      <c r="E88" t="str">
        <f t="shared" si="11"/>
        <v>FracLoss - Commercial swine</v>
      </c>
      <c r="F88" t="s">
        <v>327</v>
      </c>
      <c r="H88" s="22">
        <v>0.6522</v>
      </c>
    </row>
    <row r="89" spans="1:8" x14ac:dyDescent="0.25">
      <c r="A89" t="str">
        <f t="shared" si="8"/>
        <v>3C Aggregated and non-CO2 emissions on land</v>
      </c>
      <c r="B89" t="str">
        <f t="shared" si="9"/>
        <v>3C4 Direct N2O from managed soils (N2O)</v>
      </c>
      <c r="C89" t="s">
        <v>409</v>
      </c>
      <c r="D89" t="str">
        <f t="shared" si="10"/>
        <v xml:space="preserve"> - Subsistence swine</v>
      </c>
      <c r="E89" t="str">
        <f t="shared" si="11"/>
        <v>FracLoss - Subsistence swine</v>
      </c>
      <c r="F89" t="s">
        <v>327</v>
      </c>
      <c r="H89" s="22">
        <v>0.40959999999999996</v>
      </c>
    </row>
    <row r="90" spans="1:8" x14ac:dyDescent="0.25">
      <c r="A90" t="str">
        <f t="shared" ref="A90:A107" si="12">A89</f>
        <v>3C Aggregated and non-CO2 emissions on land</v>
      </c>
      <c r="B90" t="str">
        <f t="shared" ref="B90:B107" si="13">B89</f>
        <v>3C4 Direct N2O from managed soils (N2O)</v>
      </c>
      <c r="C90" t="s">
        <v>409</v>
      </c>
      <c r="D90" t="str">
        <f t="shared" si="10"/>
        <v xml:space="preserve"> - Commercial layers</v>
      </c>
      <c r="E90" t="str">
        <f t="shared" si="11"/>
        <v>FracLoss - Commercial layers</v>
      </c>
      <c r="F90" t="s">
        <v>327</v>
      </c>
      <c r="H90" s="22">
        <v>0.29599999999999999</v>
      </c>
    </row>
    <row r="91" spans="1:8" x14ac:dyDescent="0.25">
      <c r="A91" t="str">
        <f t="shared" si="12"/>
        <v>3C Aggregated and non-CO2 emissions on land</v>
      </c>
      <c r="B91" t="str">
        <f t="shared" si="13"/>
        <v>3C4 Direct N2O from managed soils (N2O)</v>
      </c>
      <c r="C91" t="s">
        <v>409</v>
      </c>
      <c r="D91" t="str">
        <f t="shared" si="10"/>
        <v xml:space="preserve"> - Commercial broilers</v>
      </c>
      <c r="E91" t="str">
        <f t="shared" si="11"/>
        <v>FracLoss - Commercial broilers</v>
      </c>
      <c r="F91" t="s">
        <v>327</v>
      </c>
      <c r="H91" s="22">
        <v>0.24</v>
      </c>
    </row>
    <row r="92" spans="1:8" x14ac:dyDescent="0.25">
      <c r="A92" t="str">
        <f t="shared" si="12"/>
        <v>3C Aggregated and non-CO2 emissions on land</v>
      </c>
      <c r="B92" t="str">
        <f t="shared" si="13"/>
        <v>3C4 Direct N2O from managed soils (N2O)</v>
      </c>
      <c r="C92" t="s">
        <v>413</v>
      </c>
      <c r="D92" t="str">
        <f t="shared" ref="D92:D107" si="14">D76</f>
        <v xml:space="preserve"> - TMR</v>
      </c>
      <c r="E92" t="str">
        <f t="shared" si="11"/>
        <v>N bedding - TMR</v>
      </c>
      <c r="F92" t="str">
        <f t="shared" ref="F92:F107" si="15">F91</f>
        <v>Fraction</v>
      </c>
      <c r="H92" s="22">
        <v>0</v>
      </c>
    </row>
    <row r="93" spans="1:8" x14ac:dyDescent="0.25">
      <c r="A93" t="str">
        <f t="shared" si="12"/>
        <v>3C Aggregated and non-CO2 emissions on land</v>
      </c>
      <c r="B93" t="str">
        <f t="shared" si="13"/>
        <v>3C4 Direct N2O from managed soils (N2O)</v>
      </c>
      <c r="C93" t="s">
        <v>413</v>
      </c>
      <c r="D93" t="str">
        <f t="shared" si="14"/>
        <v xml:space="preserve"> - Pasture</v>
      </c>
      <c r="E93" t="str">
        <f t="shared" si="11"/>
        <v>N bedding - Pasture</v>
      </c>
      <c r="F93" t="str">
        <f t="shared" si="15"/>
        <v>Fraction</v>
      </c>
      <c r="H93" s="22">
        <v>0.7</v>
      </c>
    </row>
    <row r="94" spans="1:8" x14ac:dyDescent="0.25">
      <c r="A94" t="str">
        <f t="shared" si="12"/>
        <v>3C Aggregated and non-CO2 emissions on land</v>
      </c>
      <c r="B94" t="str">
        <f t="shared" si="13"/>
        <v>3C4 Direct N2O from managed soils (N2O)</v>
      </c>
      <c r="C94" t="s">
        <v>413</v>
      </c>
      <c r="D94" t="str">
        <f t="shared" si="14"/>
        <v xml:space="preserve"> - Non-lactating</v>
      </c>
      <c r="E94" t="str">
        <f t="shared" si="11"/>
        <v>N bedding - Non-lactating</v>
      </c>
      <c r="F94" t="str">
        <f t="shared" si="15"/>
        <v>Fraction</v>
      </c>
      <c r="H94" s="22">
        <v>0.08</v>
      </c>
    </row>
    <row r="95" spans="1:8" x14ac:dyDescent="0.25">
      <c r="A95" t="str">
        <f t="shared" si="12"/>
        <v>3C Aggregated and non-CO2 emissions on land</v>
      </c>
      <c r="B95" t="str">
        <f t="shared" si="13"/>
        <v>3C4 Direct N2O from managed soils (N2O)</v>
      </c>
      <c r="C95" t="s">
        <v>413</v>
      </c>
      <c r="D95" t="str">
        <f t="shared" si="14"/>
        <v xml:space="preserve"> - Commercial cattle</v>
      </c>
      <c r="E95" t="str">
        <f t="shared" si="11"/>
        <v>N bedding - Commercial cattle</v>
      </c>
      <c r="F95" t="str">
        <f t="shared" si="15"/>
        <v>Fraction</v>
      </c>
      <c r="H95" s="22">
        <v>0</v>
      </c>
    </row>
    <row r="96" spans="1:8" x14ac:dyDescent="0.25">
      <c r="A96" t="str">
        <f t="shared" si="12"/>
        <v>3C Aggregated and non-CO2 emissions on land</v>
      </c>
      <c r="B96" t="str">
        <f t="shared" si="13"/>
        <v>3C4 Direct N2O from managed soils (N2O)</v>
      </c>
      <c r="C96" t="s">
        <v>413</v>
      </c>
      <c r="D96" t="str">
        <f t="shared" si="14"/>
        <v xml:space="preserve"> - Subsistence cattle</v>
      </c>
      <c r="E96" t="str">
        <f t="shared" si="11"/>
        <v>N bedding - Subsistence cattle</v>
      </c>
      <c r="F96" t="str">
        <f t="shared" si="15"/>
        <v>Fraction</v>
      </c>
      <c r="H96" s="22">
        <v>0.4</v>
      </c>
    </row>
    <row r="97" spans="1:10" x14ac:dyDescent="0.25">
      <c r="A97" t="str">
        <f t="shared" si="12"/>
        <v>3C Aggregated and non-CO2 emissions on land</v>
      </c>
      <c r="B97" t="str">
        <f t="shared" si="13"/>
        <v>3C4 Direct N2O from managed soils (N2O)</v>
      </c>
      <c r="C97" t="s">
        <v>413</v>
      </c>
      <c r="D97" t="str">
        <f t="shared" si="14"/>
        <v xml:space="preserve"> - Feedlot</v>
      </c>
      <c r="E97" t="str">
        <f t="shared" si="11"/>
        <v>N bedding - Feedlot</v>
      </c>
      <c r="F97" t="str">
        <f t="shared" si="15"/>
        <v>Fraction</v>
      </c>
      <c r="H97" s="22">
        <v>0</v>
      </c>
    </row>
    <row r="98" spans="1:10" x14ac:dyDescent="0.25">
      <c r="A98" t="str">
        <f t="shared" si="12"/>
        <v>3C Aggregated and non-CO2 emissions on land</v>
      </c>
      <c r="B98" t="str">
        <f t="shared" si="13"/>
        <v>3C4 Direct N2O from managed soils (N2O)</v>
      </c>
      <c r="C98" t="s">
        <v>413</v>
      </c>
      <c r="D98" t="str">
        <f t="shared" si="14"/>
        <v xml:space="preserve"> - Commercial sheep</v>
      </c>
      <c r="E98" t="str">
        <f t="shared" si="11"/>
        <v>N bedding - Commercial sheep</v>
      </c>
      <c r="F98" t="str">
        <f t="shared" si="15"/>
        <v>Fraction</v>
      </c>
      <c r="H98" s="22">
        <v>0</v>
      </c>
    </row>
    <row r="99" spans="1:10" x14ac:dyDescent="0.25">
      <c r="A99" t="str">
        <f t="shared" si="12"/>
        <v>3C Aggregated and non-CO2 emissions on land</v>
      </c>
      <c r="B99" t="str">
        <f t="shared" si="13"/>
        <v>3C4 Direct N2O from managed soils (N2O)</v>
      </c>
      <c r="C99" t="s">
        <v>413</v>
      </c>
      <c r="D99" t="str">
        <f t="shared" si="14"/>
        <v xml:space="preserve"> - Subsistence sheep</v>
      </c>
      <c r="E99" t="str">
        <f t="shared" si="11"/>
        <v>N bedding - Subsistence sheep</v>
      </c>
      <c r="F99" t="str">
        <f t="shared" si="15"/>
        <v>Fraction</v>
      </c>
      <c r="H99" s="22">
        <v>0</v>
      </c>
    </row>
    <row r="100" spans="1:10" x14ac:dyDescent="0.25">
      <c r="A100" t="str">
        <f t="shared" si="12"/>
        <v>3C Aggregated and non-CO2 emissions on land</v>
      </c>
      <c r="B100" t="str">
        <f t="shared" si="13"/>
        <v>3C4 Direct N2O from managed soils (N2O)</v>
      </c>
      <c r="C100" t="s">
        <v>413</v>
      </c>
      <c r="D100" t="str">
        <f t="shared" si="14"/>
        <v xml:space="preserve"> - Commercial goats</v>
      </c>
      <c r="E100" t="str">
        <f t="shared" si="11"/>
        <v>N bedding - Commercial goats</v>
      </c>
      <c r="F100" t="str">
        <f t="shared" si="15"/>
        <v>Fraction</v>
      </c>
      <c r="H100" s="22">
        <v>0</v>
      </c>
    </row>
    <row r="101" spans="1:10" x14ac:dyDescent="0.25">
      <c r="A101" t="str">
        <f t="shared" si="12"/>
        <v>3C Aggregated and non-CO2 emissions on land</v>
      </c>
      <c r="B101" t="str">
        <f t="shared" si="13"/>
        <v>3C4 Direct N2O from managed soils (N2O)</v>
      </c>
      <c r="C101" t="s">
        <v>413</v>
      </c>
      <c r="D101" t="str">
        <f t="shared" si="14"/>
        <v xml:space="preserve"> - Subsistence goats</v>
      </c>
      <c r="E101" t="str">
        <f t="shared" si="11"/>
        <v>N bedding - Subsistence goats</v>
      </c>
      <c r="F101" t="str">
        <f t="shared" si="15"/>
        <v>Fraction</v>
      </c>
      <c r="H101" s="22">
        <v>0</v>
      </c>
    </row>
    <row r="102" spans="1:10" x14ac:dyDescent="0.25">
      <c r="A102" t="str">
        <f t="shared" si="12"/>
        <v>3C Aggregated and non-CO2 emissions on land</v>
      </c>
      <c r="B102" t="str">
        <f t="shared" si="13"/>
        <v>3C4 Direct N2O from managed soils (N2O)</v>
      </c>
      <c r="C102" t="s">
        <v>413</v>
      </c>
      <c r="D102" t="str">
        <f t="shared" si="14"/>
        <v xml:space="preserve"> - Horses</v>
      </c>
      <c r="E102" t="str">
        <f t="shared" si="11"/>
        <v>N bedding - Horses</v>
      </c>
      <c r="F102" t="str">
        <f t="shared" si="15"/>
        <v>Fraction</v>
      </c>
      <c r="H102" s="22">
        <v>0</v>
      </c>
    </row>
    <row r="103" spans="1:10" x14ac:dyDescent="0.25">
      <c r="A103" t="str">
        <f t="shared" si="12"/>
        <v>3C Aggregated and non-CO2 emissions on land</v>
      </c>
      <c r="B103" t="str">
        <f t="shared" si="13"/>
        <v>3C4 Direct N2O from managed soils (N2O)</v>
      </c>
      <c r="C103" t="s">
        <v>413</v>
      </c>
      <c r="D103" t="str">
        <f t="shared" si="14"/>
        <v xml:space="preserve"> - Mules &amp; Asses</v>
      </c>
      <c r="E103" t="str">
        <f t="shared" si="11"/>
        <v>N bedding - Mules &amp; Asses</v>
      </c>
      <c r="F103" t="str">
        <f t="shared" si="15"/>
        <v>Fraction</v>
      </c>
      <c r="H103" s="22">
        <v>0</v>
      </c>
    </row>
    <row r="104" spans="1:10" x14ac:dyDescent="0.25">
      <c r="A104" t="str">
        <f t="shared" si="12"/>
        <v>3C Aggregated and non-CO2 emissions on land</v>
      </c>
      <c r="B104" t="str">
        <f t="shared" si="13"/>
        <v>3C4 Direct N2O from managed soils (N2O)</v>
      </c>
      <c r="C104" t="s">
        <v>413</v>
      </c>
      <c r="D104" t="str">
        <f t="shared" si="14"/>
        <v xml:space="preserve"> - Commercial swine</v>
      </c>
      <c r="E104" t="str">
        <f t="shared" si="11"/>
        <v>N bedding - Commercial swine</v>
      </c>
      <c r="F104" t="str">
        <f t="shared" si="15"/>
        <v>Fraction</v>
      </c>
      <c r="H104" s="22">
        <v>0</v>
      </c>
    </row>
    <row r="105" spans="1:10" x14ac:dyDescent="0.25">
      <c r="A105" t="str">
        <f t="shared" si="12"/>
        <v>3C Aggregated and non-CO2 emissions on land</v>
      </c>
      <c r="B105" t="str">
        <f t="shared" si="13"/>
        <v>3C4 Direct N2O from managed soils (N2O)</v>
      </c>
      <c r="C105" t="s">
        <v>413</v>
      </c>
      <c r="D105" t="str">
        <f t="shared" si="14"/>
        <v xml:space="preserve"> - Subsistence swine</v>
      </c>
      <c r="E105" t="str">
        <f t="shared" si="11"/>
        <v>N bedding - Subsistence swine</v>
      </c>
      <c r="F105" t="str">
        <f t="shared" si="15"/>
        <v>Fraction</v>
      </c>
      <c r="H105" s="22">
        <v>0</v>
      </c>
    </row>
    <row r="106" spans="1:10" x14ac:dyDescent="0.25">
      <c r="A106" t="str">
        <f t="shared" si="12"/>
        <v>3C Aggregated and non-CO2 emissions on land</v>
      </c>
      <c r="B106" t="str">
        <f t="shared" si="13"/>
        <v>3C4 Direct N2O from managed soils (N2O)</v>
      </c>
      <c r="C106" t="s">
        <v>413</v>
      </c>
      <c r="D106" t="str">
        <f t="shared" si="14"/>
        <v xml:space="preserve"> - Commercial layers</v>
      </c>
      <c r="E106" t="str">
        <f t="shared" si="11"/>
        <v>N bedding - Commercial layers</v>
      </c>
      <c r="F106" t="str">
        <f t="shared" si="15"/>
        <v>Fraction</v>
      </c>
      <c r="H106" s="22">
        <v>0</v>
      </c>
    </row>
    <row r="107" spans="1:10" x14ac:dyDescent="0.25">
      <c r="A107" t="str">
        <f t="shared" si="12"/>
        <v>3C Aggregated and non-CO2 emissions on land</v>
      </c>
      <c r="B107" t="str">
        <f t="shared" si="13"/>
        <v>3C4 Direct N2O from managed soils (N2O)</v>
      </c>
      <c r="C107" t="s">
        <v>413</v>
      </c>
      <c r="D107" t="str">
        <f t="shared" si="14"/>
        <v xml:space="preserve"> - Commercial broilers</v>
      </c>
      <c r="E107" t="str">
        <f t="shared" si="11"/>
        <v>N bedding - Commercial broilers</v>
      </c>
      <c r="F107" t="str">
        <f t="shared" si="15"/>
        <v>Fraction</v>
      </c>
      <c r="H107" s="22">
        <v>0</v>
      </c>
    </row>
    <row r="108" spans="1:10" ht="18.75" customHeight="1" x14ac:dyDescent="0.25">
      <c r="A108" s="20" t="s">
        <v>60</v>
      </c>
      <c r="B108" s="20"/>
      <c r="C108" s="20"/>
      <c r="D108" s="15"/>
      <c r="E108" s="15"/>
      <c r="F108" s="15"/>
      <c r="G108" s="15"/>
      <c r="H108" s="15"/>
      <c r="I108" s="15"/>
      <c r="J108" s="15"/>
    </row>
    <row r="109" spans="1:10" x14ac:dyDescent="0.25">
      <c r="A109" t="str">
        <f>'IPCC Categories'!A59</f>
        <v>3C Aggregated and non-CO2 emissions on land</v>
      </c>
      <c r="B109" t="str">
        <f>'IPCC Categories'!B73</f>
        <v>3C4 Direct N2O from managed soils (N2O)</v>
      </c>
      <c r="C109" t="str">
        <f>'IPCC Categories'!C77</f>
        <v>FSOM</v>
      </c>
      <c r="E109" t="s">
        <v>728</v>
      </c>
      <c r="F109" t="s">
        <v>327</v>
      </c>
      <c r="H109" s="27">
        <v>15</v>
      </c>
    </row>
    <row r="110" spans="1:10" x14ac:dyDescent="0.25">
      <c r="A110" t="str">
        <f>A109</f>
        <v>3C Aggregated and non-CO2 emissions on land</v>
      </c>
      <c r="B110" t="str">
        <f t="shared" ref="B110:C110" si="16">B109</f>
        <v>3C4 Direct N2O from managed soils (N2O)</v>
      </c>
      <c r="C110" t="str">
        <f t="shared" si="16"/>
        <v>FSOM</v>
      </c>
      <c r="E110" t="s">
        <v>729</v>
      </c>
      <c r="F110" t="s">
        <v>327</v>
      </c>
      <c r="H110" s="27">
        <v>15</v>
      </c>
    </row>
    <row r="111" spans="1:10" x14ac:dyDescent="0.25">
      <c r="A111" t="str">
        <f t="shared" ref="A111:A112" si="17">A110</f>
        <v>3C Aggregated and non-CO2 emissions on land</v>
      </c>
      <c r="B111" t="str">
        <f t="shared" ref="B111:B112" si="18">B110</f>
        <v>3C4 Direct N2O from managed soils (N2O)</v>
      </c>
      <c r="C111" t="str">
        <f t="shared" ref="C111:C112" si="19">C110</f>
        <v>FSOM</v>
      </c>
      <c r="E111" t="s">
        <v>730</v>
      </c>
      <c r="F111" t="s">
        <v>327</v>
      </c>
      <c r="H111" s="27">
        <v>10</v>
      </c>
    </row>
    <row r="112" spans="1:10" x14ac:dyDescent="0.25">
      <c r="A112" t="str">
        <f t="shared" si="17"/>
        <v>3C Aggregated and non-CO2 emissions on land</v>
      </c>
      <c r="B112" t="str">
        <f t="shared" si="18"/>
        <v>3C4 Direct N2O from managed soils (N2O)</v>
      </c>
      <c r="C112" t="str">
        <f t="shared" si="19"/>
        <v>FSOM</v>
      </c>
      <c r="E112" t="s">
        <v>731</v>
      </c>
      <c r="F112" t="s">
        <v>327</v>
      </c>
      <c r="H112" s="50">
        <f>+H110</f>
        <v>15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8"/>
  <sheetViews>
    <sheetView workbookViewId="0">
      <selection activeCell="L39" sqref="L39"/>
    </sheetView>
  </sheetViews>
  <sheetFormatPr defaultRowHeight="15" x14ac:dyDescent="0.25"/>
  <cols>
    <col min="2" max="2" width="26.5703125" customWidth="1"/>
    <col min="3" max="3" width="11" customWidth="1"/>
  </cols>
  <sheetData>
    <row r="1" spans="1:53" x14ac:dyDescent="0.25">
      <c r="A1" s="30" t="s">
        <v>671</v>
      </c>
    </row>
    <row r="3" spans="1:53" x14ac:dyDescent="0.25">
      <c r="A3" s="31"/>
      <c r="B3" s="32"/>
      <c r="C3" s="33">
        <v>2000</v>
      </c>
      <c r="D3" s="33">
        <v>2001</v>
      </c>
      <c r="E3" s="33">
        <v>2002</v>
      </c>
      <c r="F3" s="33">
        <v>2003</v>
      </c>
      <c r="G3" s="33">
        <v>2004</v>
      </c>
      <c r="H3" s="33">
        <v>2005</v>
      </c>
      <c r="I3" s="33">
        <v>2006</v>
      </c>
      <c r="J3" s="33">
        <v>2007</v>
      </c>
      <c r="K3" s="33">
        <v>2008</v>
      </c>
      <c r="L3" s="33">
        <v>2009</v>
      </c>
      <c r="M3" s="33">
        <v>2010</v>
      </c>
      <c r="N3" s="33">
        <v>2011</v>
      </c>
      <c r="O3" s="33">
        <v>2012</v>
      </c>
      <c r="P3" s="33">
        <v>2013</v>
      </c>
      <c r="Q3" s="33">
        <v>2014</v>
      </c>
      <c r="R3" s="34">
        <v>2015</v>
      </c>
      <c r="S3" s="34">
        <v>2016</v>
      </c>
      <c r="T3" s="34">
        <v>2017</v>
      </c>
      <c r="U3" s="34">
        <v>2018</v>
      </c>
      <c r="V3" s="34">
        <v>2019</v>
      </c>
      <c r="W3" s="34">
        <v>2020</v>
      </c>
      <c r="X3" s="34">
        <v>2021</v>
      </c>
      <c r="Y3" s="34">
        <v>2022</v>
      </c>
      <c r="Z3" s="34">
        <v>2023</v>
      </c>
      <c r="AA3" s="34">
        <v>2024</v>
      </c>
      <c r="AB3" s="34">
        <v>2025</v>
      </c>
      <c r="AC3" s="34">
        <v>2026</v>
      </c>
      <c r="AD3" s="34">
        <v>2027</v>
      </c>
      <c r="AE3" s="34">
        <v>2028</v>
      </c>
      <c r="AF3" s="34">
        <v>2029</v>
      </c>
      <c r="AG3" s="34">
        <v>2030</v>
      </c>
      <c r="AH3" s="34">
        <v>2031</v>
      </c>
      <c r="AI3" s="34">
        <v>2032</v>
      </c>
      <c r="AJ3" s="34">
        <v>2033</v>
      </c>
      <c r="AK3" s="34">
        <v>2034</v>
      </c>
      <c r="AL3" s="34">
        <v>2035</v>
      </c>
      <c r="AM3" s="34">
        <v>2036</v>
      </c>
      <c r="AN3" s="34">
        <v>2037</v>
      </c>
      <c r="AO3" s="34">
        <v>2038</v>
      </c>
      <c r="AP3" s="34">
        <v>2039</v>
      </c>
      <c r="AQ3" s="34">
        <v>2040</v>
      </c>
      <c r="AR3" s="34">
        <v>2041</v>
      </c>
      <c r="AS3" s="34">
        <v>2042</v>
      </c>
      <c r="AT3" s="34">
        <v>2043</v>
      </c>
      <c r="AU3" s="34">
        <v>2044</v>
      </c>
      <c r="AV3" s="34">
        <v>2045</v>
      </c>
      <c r="AW3" s="34">
        <v>2046</v>
      </c>
      <c r="AX3" s="34">
        <v>2047</v>
      </c>
      <c r="AY3" s="34">
        <v>2048</v>
      </c>
      <c r="AZ3" s="34">
        <v>2049</v>
      </c>
      <c r="BA3" s="34">
        <v>2050</v>
      </c>
    </row>
    <row r="4" spans="1:53" x14ac:dyDescent="0.25">
      <c r="A4" s="32"/>
      <c r="B4" s="32" t="s">
        <v>672</v>
      </c>
      <c r="C4" s="35">
        <v>993.09182234073091</v>
      </c>
      <c r="D4" s="35">
        <v>993.09182234073091</v>
      </c>
      <c r="E4" s="35">
        <v>993.09182234073091</v>
      </c>
      <c r="F4" s="35">
        <v>1043.5184288423109</v>
      </c>
      <c r="G4" s="35">
        <v>1063.935684388</v>
      </c>
      <c r="H4" s="35">
        <v>1250.3949420410001</v>
      </c>
      <c r="I4" s="35">
        <v>1361.4582773811801</v>
      </c>
      <c r="J4" s="35">
        <v>1418.12680256985</v>
      </c>
      <c r="K4" s="35">
        <v>1510.0595450369999</v>
      </c>
      <c r="L4" s="35">
        <v>1467.5146597320002</v>
      </c>
      <c r="M4" s="35">
        <v>1455.5368726329998</v>
      </c>
      <c r="N4" s="35">
        <v>1511.75508982</v>
      </c>
      <c r="O4" s="35">
        <v>1600</v>
      </c>
      <c r="P4" s="35">
        <v>1550</v>
      </c>
      <c r="Q4" s="35">
        <v>1500</v>
      </c>
      <c r="R4" s="36">
        <v>1604.9091918984675</v>
      </c>
      <c r="S4" s="36">
        <v>1560</v>
      </c>
      <c r="T4" s="36">
        <v>1530</v>
      </c>
      <c r="U4" s="36">
        <v>1620</v>
      </c>
      <c r="V4" s="36">
        <v>1680</v>
      </c>
      <c r="W4" s="36">
        <v>1715</v>
      </c>
      <c r="X4" s="36">
        <v>1780</v>
      </c>
      <c r="Y4" s="36">
        <v>1785</v>
      </c>
      <c r="Z4" s="36">
        <v>1790</v>
      </c>
      <c r="AA4" s="36">
        <v>1795</v>
      </c>
      <c r="AB4" s="36">
        <v>1800</v>
      </c>
      <c r="AC4" s="36">
        <v>1805</v>
      </c>
      <c r="AD4" s="36">
        <v>1810</v>
      </c>
      <c r="AE4" s="36">
        <v>1815</v>
      </c>
    </row>
    <row r="5" spans="1:53" x14ac:dyDescent="0.25">
      <c r="A5" s="32"/>
      <c r="B5" s="32" t="s">
        <v>673</v>
      </c>
      <c r="C5" s="35">
        <v>1079.3522583407307</v>
      </c>
      <c r="D5" s="35">
        <v>1079.3522583407307</v>
      </c>
      <c r="E5" s="35">
        <v>1079.3522583407307</v>
      </c>
      <c r="F5" s="35">
        <v>1188.8597378423108</v>
      </c>
      <c r="G5" s="35">
        <v>1206.674888388</v>
      </c>
      <c r="H5" s="35">
        <v>1426.810047041</v>
      </c>
      <c r="I5" s="35">
        <v>1614.02513538118</v>
      </c>
      <c r="J5" s="35">
        <v>1649.1401165698499</v>
      </c>
      <c r="K5" s="35">
        <v>1693.2698300369998</v>
      </c>
      <c r="L5" s="35">
        <v>1660.260131732</v>
      </c>
      <c r="M5" s="35">
        <v>1679.6840026329999</v>
      </c>
      <c r="N5" s="35">
        <v>1828.6388368200001</v>
      </c>
      <c r="O5" s="35">
        <v>1876.7825659999999</v>
      </c>
      <c r="P5" s="35">
        <v>1848.129913</v>
      </c>
      <c r="Q5" s="35">
        <v>1879.0711650000001</v>
      </c>
      <c r="R5" s="36">
        <v>1922.8356980734377</v>
      </c>
      <c r="S5" s="36">
        <v>1990.456203544496</v>
      </c>
      <c r="T5" s="36">
        <v>2057.8989690155481</v>
      </c>
      <c r="U5" s="36">
        <v>2126.2640708919885</v>
      </c>
      <c r="V5" s="36">
        <v>2198.3453171198826</v>
      </c>
      <c r="W5" s="36">
        <v>2269.7994713342828</v>
      </c>
      <c r="X5" s="36">
        <v>2342.1782343068635</v>
      </c>
      <c r="Y5" s="36">
        <v>2416.4818482639166</v>
      </c>
      <c r="Z5" s="36">
        <v>2491.5186816187529</v>
      </c>
      <c r="AA5" s="36">
        <v>2570.8561685926552</v>
      </c>
    </row>
    <row r="6" spans="1:53" x14ac:dyDescent="0.25">
      <c r="A6" s="32"/>
      <c r="B6" s="32" t="s">
        <v>674</v>
      </c>
      <c r="C6" s="35">
        <f>'Intermediate calculations'!M36/1000</f>
        <v>850</v>
      </c>
      <c r="D6" s="35">
        <f>'Intermediate calculations'!N36/1000</f>
        <v>869</v>
      </c>
      <c r="E6" s="35">
        <f>'Intermediate calculations'!O36/1000</f>
        <v>896</v>
      </c>
      <c r="F6" s="35">
        <f>'Intermediate calculations'!P36/1000</f>
        <v>925</v>
      </c>
      <c r="G6" s="35">
        <f>'Intermediate calculations'!Q36/1000</f>
        <v>1043</v>
      </c>
      <c r="H6" s="35">
        <f>'Intermediate calculations'!R36/1000</f>
        <v>1273</v>
      </c>
      <c r="I6" s="35">
        <f>'Intermediate calculations'!S36/1000</f>
        <v>1427</v>
      </c>
      <c r="J6" s="35">
        <f>'Intermediate calculations'!T36/1000</f>
        <v>1499</v>
      </c>
      <c r="K6" s="35">
        <f>'Intermediate calculations'!U36/1000</f>
        <v>1584</v>
      </c>
      <c r="L6" s="35">
        <f>'Intermediate calculations'!V36/1000</f>
        <v>1644</v>
      </c>
      <c r="M6" s="35">
        <f>'Intermediate calculations'!W36/1000</f>
        <v>1681</v>
      </c>
      <c r="N6" s="35">
        <f>'Intermediate calculations'!X36/1000</f>
        <v>1721</v>
      </c>
      <c r="O6" s="35">
        <f>'Intermediate calculations'!Y36/1000</f>
        <v>1628.6780553378208</v>
      </c>
      <c r="P6" s="35">
        <f>'Intermediate calculations'!Z36/1000</f>
        <v>1678.3248590545104</v>
      </c>
      <c r="Q6" s="35">
        <f>'Intermediate calculations'!AA36/1000</f>
        <v>1714.7171587069884</v>
      </c>
      <c r="R6" s="35">
        <f>'Intermediate calculations'!AB36/1000</f>
        <v>1737.2740543246709</v>
      </c>
      <c r="S6" s="35">
        <f>'Intermediate calculations'!AC36/1000</f>
        <v>1748.0513927410739</v>
      </c>
      <c r="T6" s="35">
        <f>'Intermediate calculations'!AD36/1000</f>
        <v>1768.4254142805678</v>
      </c>
      <c r="U6" s="35">
        <f>'Intermediate calculations'!AE36/1000</f>
        <v>1784.9050259202493</v>
      </c>
      <c r="V6" s="35">
        <f>'Intermediate calculations'!AF36/1000</f>
        <v>1797.7341124736831</v>
      </c>
      <c r="W6" s="35">
        <f>'Intermediate calculations'!AG36/1000</f>
        <v>1598.5722639483629</v>
      </c>
      <c r="X6" s="35">
        <f>'Intermediate calculations'!AH36/1000</f>
        <v>1643.9026238190993</v>
      </c>
      <c r="Y6" s="35">
        <f>'Intermediate calculations'!AI36/1000</f>
        <v>1686.6507763931813</v>
      </c>
      <c r="Z6" s="35">
        <f>'Intermediate calculations'!AJ36/1000</f>
        <v>1729.5672078233713</v>
      </c>
      <c r="AA6" s="35">
        <f>'Intermediate calculations'!AK36/1000</f>
        <v>1770.3206894204993</v>
      </c>
      <c r="AB6" s="35">
        <f>'Intermediate calculations'!AL36/1000</f>
        <v>1812.9363365024315</v>
      </c>
      <c r="AC6" s="35">
        <f>'Intermediate calculations'!AM36/1000</f>
        <v>1864.0986566128863</v>
      </c>
      <c r="AD6" s="35">
        <f>'Intermediate calculations'!AN36/1000</f>
        <v>1914.2627297531926</v>
      </c>
      <c r="AE6" s="35">
        <f>'Intermediate calculations'!AO36/1000</f>
        <v>1966.7794254355399</v>
      </c>
      <c r="AF6" s="35">
        <f>'Intermediate calculations'!AP36/1000</f>
        <v>2020.8628932576214</v>
      </c>
      <c r="AG6" s="35">
        <f>'Intermediate calculations'!AQ36/1000</f>
        <v>2076.6405928996141</v>
      </c>
      <c r="AH6" s="35">
        <f>'Intermediate calculations'!AR36/1000</f>
        <v>2144.7691497221749</v>
      </c>
      <c r="AI6" s="35">
        <f>'Intermediate calculations'!AS36/1000</f>
        <v>2208.5410337069288</v>
      </c>
      <c r="AJ6" s="35">
        <f>'Intermediate calculations'!AT36/1000</f>
        <v>2279.2545506636184</v>
      </c>
      <c r="AK6" s="35">
        <f>'Intermediate calculations'!AU36/1000</f>
        <v>2354.2832548867809</v>
      </c>
      <c r="AL6" s="35">
        <f>'Intermediate calculations'!AV36/1000</f>
        <v>2433.6657859493789</v>
      </c>
      <c r="AM6" s="35">
        <f>'Intermediate calculations'!AW36/1000</f>
        <v>2514.069993734709</v>
      </c>
      <c r="AN6" s="35">
        <f>'Intermediate calculations'!AX36/1000</f>
        <v>2596.8624644199026</v>
      </c>
      <c r="AO6" s="35">
        <f>'Intermediate calculations'!AY36/1000</f>
        <v>2679.7022589590902</v>
      </c>
      <c r="AP6" s="35">
        <f>'Intermediate calculations'!AZ36/1000</f>
        <v>2764.7839949653021</v>
      </c>
      <c r="AQ6" s="35">
        <f>'Intermediate calculations'!BA36/1000</f>
        <v>2853.8745304594113</v>
      </c>
      <c r="AR6" s="35">
        <f>'Intermediate calculations'!BB36/1000</f>
        <v>2944.8740124280048</v>
      </c>
      <c r="AS6" s="35">
        <f>'Intermediate calculations'!BC36/1000</f>
        <v>3038.4458348098951</v>
      </c>
      <c r="AT6" s="35">
        <f>'Intermediate calculations'!BD36/1000</f>
        <v>3134.2223391083144</v>
      </c>
      <c r="AU6" s="35">
        <f>'Intermediate calculations'!BE36/1000</f>
        <v>3232.5970203855145</v>
      </c>
      <c r="AV6" s="35">
        <f>'Intermediate calculations'!BF36/1000</f>
        <v>3335.4397837624624</v>
      </c>
      <c r="AW6" s="35">
        <f>'Intermediate calculations'!BG36/1000</f>
        <v>3441.5619460398652</v>
      </c>
      <c r="AX6" s="35">
        <f>'Intermediate calculations'!BH36/1000</f>
        <v>3550.7833293513108</v>
      </c>
      <c r="AY6" s="35">
        <f>'Intermediate calculations'!BI36/1000</f>
        <v>3659.3047987401224</v>
      </c>
      <c r="AZ6" s="35">
        <f>'Intermediate calculations'!BJ36/1000</f>
        <v>3771.101186573349</v>
      </c>
      <c r="BA6" s="35">
        <f>'Intermediate calculations'!BK36/1000</f>
        <v>3886.3566066312178</v>
      </c>
    </row>
    <row r="7" spans="1:53" x14ac:dyDescent="0.25">
      <c r="A7" s="32"/>
      <c r="B7" s="32" t="s">
        <v>675</v>
      </c>
      <c r="C7" s="35">
        <f>'Intermediate calculations'!M33/1000</f>
        <v>927</v>
      </c>
      <c r="D7" s="35">
        <f>'Intermediate calculations'!N33/1000</f>
        <v>938</v>
      </c>
      <c r="E7" s="35">
        <f>'Intermediate calculations'!O33/1000</f>
        <v>965</v>
      </c>
      <c r="F7" s="35">
        <f>'Intermediate calculations'!P33/1000</f>
        <v>1032</v>
      </c>
      <c r="G7" s="35">
        <f>'Intermediate calculations'!Q33/1000</f>
        <v>1196</v>
      </c>
      <c r="H7" s="35">
        <f>'Intermediate calculations'!R33/1000</f>
        <v>1455</v>
      </c>
      <c r="I7" s="35">
        <f>'Intermediate calculations'!S33/1000</f>
        <v>1664</v>
      </c>
      <c r="J7" s="35">
        <f>'Intermediate calculations'!T33/1000</f>
        <v>1767</v>
      </c>
      <c r="K7" s="35">
        <f>'Intermediate calculations'!U33/1000</f>
        <v>1813</v>
      </c>
      <c r="L7" s="35">
        <f>'Intermediate calculations'!V33/1000</f>
        <v>1841</v>
      </c>
      <c r="M7" s="35">
        <f>'Intermediate calculations'!W33/1000</f>
        <v>1887</v>
      </c>
      <c r="N7" s="35">
        <f>'Intermediate calculations'!X33/1000</f>
        <v>1987</v>
      </c>
      <c r="O7" s="35">
        <f>'Intermediate calculations'!Y33/1000</f>
        <v>1954.5908543665721</v>
      </c>
      <c r="P7" s="35">
        <f>'Intermediate calculations'!Z33/1000</f>
        <v>2022.1586913608492</v>
      </c>
      <c r="Q7" s="35">
        <f>'Intermediate calculations'!AA33/1000</f>
        <v>2071.6875388733206</v>
      </c>
      <c r="R7" s="35">
        <f>'Intermediate calculations'!AB33/1000</f>
        <v>2102.3868091604854</v>
      </c>
      <c r="S7" s="35">
        <f>'Intermediate calculations'!AC33/1000</f>
        <v>2117.0544491863607</v>
      </c>
      <c r="T7" s="35">
        <f>'Intermediate calculations'!AD33/1000</f>
        <v>2144.7828921724217</v>
      </c>
      <c r="U7" s="35">
        <f>'Intermediate calculations'!AE33/1000</f>
        <v>2167.2111580352789</v>
      </c>
      <c r="V7" s="35">
        <f>'Intermediate calculations'!AF33/1000</f>
        <v>2184.6711668200232</v>
      </c>
      <c r="W7" s="35">
        <f>'Intermediate calculations'!AG33/1000</f>
        <v>1913.6177593654377</v>
      </c>
      <c r="X7" s="35">
        <f>'Intermediate calculations'!AH33/1000</f>
        <v>1975.3110434712219</v>
      </c>
      <c r="Y7" s="35">
        <f>'Intermediate calculations'!AI33/1000</f>
        <v>2033.4900195320931</v>
      </c>
      <c r="Z7" s="35">
        <f>'Intermediate calculations'!AJ33/1000</f>
        <v>2091.898018157719</v>
      </c>
      <c r="AA7" s="35">
        <f>'Intermediate calculations'!AK33/1000</f>
        <v>2147.3623057927825</v>
      </c>
      <c r="AB7" s="35">
        <f>'Intermediate calculations'!AL33/1000</f>
        <v>2205.3609457831681</v>
      </c>
      <c r="AC7" s="35">
        <f>'Intermediate calculations'!AM33/1000</f>
        <v>2274.9913559340257</v>
      </c>
      <c r="AD7" s="35">
        <f>'Intermediate calculations'!AN33/1000</f>
        <v>2343.2631813722815</v>
      </c>
      <c r="AE7" s="35">
        <f>'Intermediate calculations'!AO33/1000</f>
        <v>2414.7368567692338</v>
      </c>
      <c r="AF7" s="35">
        <f>'Intermediate calculations'!AP33/1000</f>
        <v>2488.3428628827592</v>
      </c>
      <c r="AG7" s="35">
        <f>'Intermediate calculations'!AQ33/1000</f>
        <v>2564.2546685819234</v>
      </c>
      <c r="AH7" s="35">
        <f>'Intermediate calculations'!AR33/1000</f>
        <v>2656.975626980593</v>
      </c>
      <c r="AI7" s="35">
        <f>'Intermediate calculations'!AS33/1000</f>
        <v>2743.7672820182215</v>
      </c>
      <c r="AJ7" s="35">
        <f>'Intermediate calculations'!AT33/1000</f>
        <v>2840.0062949924941</v>
      </c>
      <c r="AK7" s="35">
        <f>'Intermediate calculations'!AU33/1000</f>
        <v>2942.1181506876119</v>
      </c>
      <c r="AL7" s="35">
        <f>'Intermediate calculations'!AV33/1000</f>
        <v>3050.1554364238459</v>
      </c>
      <c r="AM7" s="35">
        <f>'Intermediate calculations'!AW33/1000</f>
        <v>3159.5831940755806</v>
      </c>
      <c r="AN7" s="35">
        <f>'Intermediate calculations'!AX33/1000</f>
        <v>3272.2613071628502</v>
      </c>
      <c r="AO7" s="35">
        <f>'Intermediate calculations'!AY33/1000</f>
        <v>3385.0038266209876</v>
      </c>
      <c r="AP7" s="35">
        <f>'Intermediate calculations'!AZ33/1000</f>
        <v>3500.7975623559887</v>
      </c>
      <c r="AQ7" s="35">
        <f>'Intermediate calculations'!BA33/1000</f>
        <v>3622.0471560730393</v>
      </c>
      <c r="AR7" s="35">
        <f>'Intermediate calculations'!BB33/1000</f>
        <v>3745.8947696939454</v>
      </c>
      <c r="AS7" s="35">
        <f>'Intermediate calculations'!BC33/1000</f>
        <v>3873.2432628222477</v>
      </c>
      <c r="AT7" s="35">
        <f>'Intermediate calculations'!BD33/1000</f>
        <v>4003.5922630770569</v>
      </c>
      <c r="AU7" s="35">
        <f>'Intermediate calculations'!BE33/1000</f>
        <v>4137.4773056435997</v>
      </c>
      <c r="AV7" s="35">
        <f>'Intermediate calculations'!BF33/1000</f>
        <v>4277.4432762939641</v>
      </c>
      <c r="AW7" s="35">
        <f>'Intermediate calculations'!BG33/1000</f>
        <v>4421.8724122189687</v>
      </c>
      <c r="AX7" s="35">
        <f>'Intermediate calculations'!BH33/1000</f>
        <v>4570.5194966514409</v>
      </c>
      <c r="AY7" s="35">
        <f>'Intermediate calculations'!BI33/1000</f>
        <v>4718.2140188584699</v>
      </c>
      <c r="AZ7" s="35">
        <f>'Intermediate calculations'!BJ33/1000</f>
        <v>4870.3656085714865</v>
      </c>
      <c r="BA7" s="35">
        <f>'Intermediate calculations'!BK33/1000</f>
        <v>5027.2248392203892</v>
      </c>
    </row>
    <row r="8" spans="1:53" x14ac:dyDescent="0.25">
      <c r="A8" s="32"/>
      <c r="B8" s="32"/>
      <c r="C8" s="35"/>
      <c r="D8" s="35"/>
      <c r="E8" s="35"/>
      <c r="F8" s="35"/>
      <c r="G8" s="35"/>
      <c r="H8" s="35"/>
      <c r="I8" s="35"/>
      <c r="J8" s="35"/>
      <c r="K8" s="35"/>
      <c r="L8" s="35"/>
      <c r="M8" s="35"/>
      <c r="N8" s="35"/>
      <c r="O8" s="35"/>
      <c r="P8" s="35"/>
      <c r="Q8" s="35"/>
      <c r="R8" s="36"/>
      <c r="S8" s="36"/>
      <c r="T8" s="36"/>
      <c r="U8" s="36"/>
      <c r="V8" s="36"/>
      <c r="W8" s="36"/>
      <c r="X8" s="36"/>
      <c r="Y8" s="36"/>
      <c r="Z8" s="36"/>
      <c r="AA8" s="36"/>
    </row>
    <row r="9" spans="1:53" x14ac:dyDescent="0.25">
      <c r="A9" s="31"/>
      <c r="B9" s="32"/>
      <c r="C9" s="33">
        <v>2000</v>
      </c>
      <c r="D9" s="33">
        <v>2001</v>
      </c>
      <c r="E9" s="33">
        <v>2002</v>
      </c>
      <c r="F9" s="33">
        <v>2003</v>
      </c>
      <c r="G9" s="33">
        <v>2004</v>
      </c>
      <c r="H9" s="33">
        <v>2005</v>
      </c>
      <c r="I9" s="33">
        <v>2006</v>
      </c>
      <c r="J9" s="33">
        <v>2007</v>
      </c>
      <c r="K9" s="33">
        <v>2008</v>
      </c>
      <c r="L9" s="33">
        <v>2009</v>
      </c>
      <c r="M9" s="33">
        <v>2010</v>
      </c>
      <c r="N9" s="33">
        <v>2011</v>
      </c>
      <c r="O9" s="33">
        <v>2012</v>
      </c>
      <c r="P9" s="33">
        <v>2013</v>
      </c>
      <c r="Q9" s="33">
        <v>2014</v>
      </c>
      <c r="R9" s="34">
        <v>2015</v>
      </c>
      <c r="S9" s="34">
        <v>2016</v>
      </c>
      <c r="T9" s="34">
        <v>2017</v>
      </c>
      <c r="U9" s="34">
        <v>2018</v>
      </c>
      <c r="V9" s="34">
        <v>2019</v>
      </c>
      <c r="W9" s="34">
        <v>2020</v>
      </c>
      <c r="X9" s="34">
        <v>2021</v>
      </c>
      <c r="Y9" s="34">
        <v>2022</v>
      </c>
      <c r="Z9" s="34">
        <v>2023</v>
      </c>
      <c r="AA9" s="34">
        <v>2024</v>
      </c>
      <c r="AB9" s="34">
        <v>2025</v>
      </c>
      <c r="AC9" s="34">
        <v>2026</v>
      </c>
      <c r="AD9" s="34">
        <v>2027</v>
      </c>
      <c r="AE9" s="34">
        <v>2028</v>
      </c>
      <c r="AF9" s="34">
        <v>2029</v>
      </c>
      <c r="AG9" s="34">
        <v>2030</v>
      </c>
      <c r="AH9" s="34">
        <v>2031</v>
      </c>
      <c r="AI9" s="34">
        <v>2032</v>
      </c>
      <c r="AJ9" s="34">
        <v>2033</v>
      </c>
      <c r="AK9" s="34">
        <v>2034</v>
      </c>
      <c r="AL9" s="34">
        <v>2035</v>
      </c>
      <c r="AM9" s="34">
        <v>2036</v>
      </c>
      <c r="AN9" s="34">
        <v>2037</v>
      </c>
      <c r="AO9" s="34">
        <v>2038</v>
      </c>
      <c r="AP9" s="34">
        <v>2039</v>
      </c>
      <c r="AQ9" s="34">
        <v>2040</v>
      </c>
      <c r="AR9" s="34">
        <v>2041</v>
      </c>
      <c r="AS9" s="34">
        <v>2042</v>
      </c>
      <c r="AT9" s="34">
        <v>2043</v>
      </c>
      <c r="AU9" s="34">
        <v>2044</v>
      </c>
      <c r="AV9" s="34">
        <v>2045</v>
      </c>
      <c r="AW9" s="34">
        <v>2046</v>
      </c>
      <c r="AX9" s="34">
        <v>2047</v>
      </c>
      <c r="AY9" s="34">
        <v>2048</v>
      </c>
      <c r="AZ9" s="34">
        <v>2049</v>
      </c>
      <c r="BA9" s="34">
        <v>2050</v>
      </c>
    </row>
    <row r="10" spans="1:53" x14ac:dyDescent="0.25">
      <c r="A10" s="32"/>
      <c r="B10" s="32" t="s">
        <v>676</v>
      </c>
      <c r="C10" s="35">
        <v>325.34589665653499</v>
      </c>
      <c r="D10" s="35">
        <v>325.34589665653499</v>
      </c>
      <c r="E10" s="35">
        <v>325.34589665653499</v>
      </c>
      <c r="F10" s="35">
        <v>318.8389787234043</v>
      </c>
      <c r="G10" s="35">
        <v>318.8389787234043</v>
      </c>
      <c r="H10" s="35">
        <v>325.21575829787241</v>
      </c>
      <c r="I10" s="35">
        <v>328.46791588085114</v>
      </c>
      <c r="J10" s="35">
        <v>363.86063999999999</v>
      </c>
      <c r="K10" s="35">
        <v>368.28791999999999</v>
      </c>
      <c r="L10" s="35">
        <v>373.60199999999998</v>
      </c>
      <c r="M10" s="35">
        <v>386.43599999999998</v>
      </c>
      <c r="N10" s="35">
        <v>404.49</v>
      </c>
      <c r="O10" s="35">
        <v>450.04</v>
      </c>
      <c r="P10" s="35">
        <v>439.4</v>
      </c>
      <c r="Q10" s="35">
        <v>421.88</v>
      </c>
      <c r="R10" s="36">
        <v>433.92676812049251</v>
      </c>
      <c r="S10" s="36">
        <v>435</v>
      </c>
      <c r="T10" s="36">
        <v>400</v>
      </c>
      <c r="U10" s="36">
        <v>410</v>
      </c>
      <c r="V10" s="36">
        <v>415</v>
      </c>
      <c r="W10" s="36">
        <v>424</v>
      </c>
      <c r="X10" s="36">
        <v>440</v>
      </c>
      <c r="Y10" s="36">
        <v>450</v>
      </c>
      <c r="Z10" s="36">
        <v>458</v>
      </c>
      <c r="AA10" s="36">
        <v>460</v>
      </c>
      <c r="AB10" s="36">
        <v>470</v>
      </c>
      <c r="AC10" s="36">
        <v>480</v>
      </c>
      <c r="AD10" s="36">
        <v>490</v>
      </c>
      <c r="AE10" s="36">
        <v>500</v>
      </c>
    </row>
    <row r="11" spans="1:53" x14ac:dyDescent="0.25">
      <c r="A11" s="32"/>
      <c r="B11" s="32" t="s">
        <v>677</v>
      </c>
      <c r="C11" s="35">
        <v>321.91089665653499</v>
      </c>
      <c r="D11" s="35">
        <v>321.91089665653499</v>
      </c>
      <c r="E11" s="35">
        <v>321.91089665653499</v>
      </c>
      <c r="F11" s="35">
        <v>316.1402608231254</v>
      </c>
      <c r="G11" s="35">
        <v>317.8939787234043</v>
      </c>
      <c r="H11" s="35">
        <v>324.27075829787242</v>
      </c>
      <c r="I11" s="35">
        <v>328.91791588085113</v>
      </c>
      <c r="J11" s="35">
        <v>364.32063999999997</v>
      </c>
      <c r="K11" s="35">
        <v>367.77791999999999</v>
      </c>
      <c r="L11" s="35">
        <v>371.36519499999997</v>
      </c>
      <c r="M11" s="35">
        <v>382.88327899999996</v>
      </c>
      <c r="N11" s="35">
        <v>401.97165999999999</v>
      </c>
      <c r="O11" s="35">
        <v>445.23</v>
      </c>
      <c r="P11" s="35">
        <v>435.75099999999998</v>
      </c>
      <c r="Q11" s="35">
        <v>416.88200000000001</v>
      </c>
      <c r="R11" s="36">
        <f>R10-4</f>
        <v>429.92676812049251</v>
      </c>
      <c r="S11" s="36">
        <f t="shared" ref="S11:AE11" si="0">S10-4</f>
        <v>431</v>
      </c>
      <c r="T11" s="36">
        <f t="shared" si="0"/>
        <v>396</v>
      </c>
      <c r="U11" s="36">
        <f t="shared" si="0"/>
        <v>406</v>
      </c>
      <c r="V11" s="36">
        <f t="shared" si="0"/>
        <v>411</v>
      </c>
      <c r="W11" s="36">
        <f t="shared" si="0"/>
        <v>420</v>
      </c>
      <c r="X11" s="36">
        <f t="shared" si="0"/>
        <v>436</v>
      </c>
      <c r="Y11" s="36">
        <f t="shared" si="0"/>
        <v>446</v>
      </c>
      <c r="Z11" s="36">
        <f t="shared" si="0"/>
        <v>454</v>
      </c>
      <c r="AA11" s="36">
        <f t="shared" si="0"/>
        <v>456</v>
      </c>
      <c r="AB11" s="36">
        <f t="shared" si="0"/>
        <v>466</v>
      </c>
      <c r="AC11" s="36">
        <f t="shared" si="0"/>
        <v>476</v>
      </c>
      <c r="AD11" s="36">
        <f t="shared" si="0"/>
        <v>486</v>
      </c>
      <c r="AE11" s="36">
        <f t="shared" si="0"/>
        <v>496</v>
      </c>
    </row>
    <row r="12" spans="1:53" x14ac:dyDescent="0.25">
      <c r="A12" s="32"/>
      <c r="B12" s="32" t="s">
        <v>678</v>
      </c>
      <c r="C12" s="35">
        <f>'Intermediate calculations'!M32/1000</f>
        <v>329</v>
      </c>
      <c r="D12" s="35">
        <f>'Intermediate calculations'!N32/1000</f>
        <v>330</v>
      </c>
      <c r="E12" s="35">
        <f>'Intermediate calculations'!O32/1000</f>
        <v>340</v>
      </c>
      <c r="F12" s="35">
        <f>'Intermediate calculations'!P32/1000</f>
        <v>328</v>
      </c>
      <c r="G12" s="35">
        <f>'Intermediate calculations'!Q32/1000</f>
        <v>348</v>
      </c>
      <c r="H12" s="35">
        <f>'Intermediate calculations'!R32/1000</f>
        <v>375</v>
      </c>
      <c r="I12" s="35">
        <f>'Intermediate calculations'!S32/1000</f>
        <v>412</v>
      </c>
      <c r="J12" s="35">
        <f>'Intermediate calculations'!T32/1000</f>
        <v>438</v>
      </c>
      <c r="K12" s="35">
        <f>'Intermediate calculations'!U32/1000</f>
        <v>426</v>
      </c>
      <c r="L12" s="35">
        <f>'Intermediate calculations'!V32/1000</f>
        <v>404</v>
      </c>
      <c r="M12" s="35">
        <f>'Intermediate calculations'!W32/1000</f>
        <v>413</v>
      </c>
      <c r="N12" s="35">
        <f>'Intermediate calculations'!X32/1000</f>
        <v>452</v>
      </c>
      <c r="O12" s="35">
        <f>'Intermediate calculations'!Y32/1000</f>
        <v>461.23992387887853</v>
      </c>
      <c r="P12" s="35">
        <f>'Intermediate calculations'!Z32/1000</f>
        <v>471.60797183232842</v>
      </c>
      <c r="Q12" s="35">
        <f>'Intermediate calculations'!AA32/1000</f>
        <v>479.7805900842464</v>
      </c>
      <c r="R12" s="35">
        <f>'Intermediate calculations'!AB32/1000</f>
        <v>485.66090591146104</v>
      </c>
      <c r="S12" s="35">
        <f>'Intermediate calculations'!AC32/1000</f>
        <v>489.76319012930594</v>
      </c>
      <c r="T12" s="35">
        <f>'Intermediate calculations'!AD32/1000</f>
        <v>495.46867379224312</v>
      </c>
      <c r="U12" s="35">
        <f>'Intermediate calculations'!AE32/1000</f>
        <v>500.52356644261295</v>
      </c>
      <c r="V12" s="35">
        <f>'Intermediate calculations'!AF32/1000</f>
        <v>504.96861090715612</v>
      </c>
      <c r="W12" s="35">
        <f>'Intermediate calculations'!AG32/1000</f>
        <v>473.9989454012138</v>
      </c>
      <c r="X12" s="35">
        <f>'Intermediate calculations'!AH32/1000</f>
        <v>483.90489990736017</v>
      </c>
      <c r="Y12" s="35">
        <f>'Intermediate calculations'!AI32/1000</f>
        <v>493.37947685677187</v>
      </c>
      <c r="Z12" s="35">
        <f>'Intermediate calculations'!AJ32/1000</f>
        <v>502.88216607844146</v>
      </c>
      <c r="AA12" s="35">
        <f>'Intermediate calculations'!AK32/1000</f>
        <v>512.02351795806669</v>
      </c>
      <c r="AB12" s="35">
        <f>'Intermediate calculations'!AL32/1000</f>
        <v>521.47595889282957</v>
      </c>
      <c r="AC12" s="35">
        <f>'Intermediate calculations'!AM32/1000</f>
        <v>532.55075645313127</v>
      </c>
      <c r="AD12" s="35">
        <f>'Intermediate calculations'!AN32/1000</f>
        <v>543.45878920854227</v>
      </c>
      <c r="AE12" s="35">
        <f>'Intermediate calculations'!AO32/1000</f>
        <v>554.75984558529706</v>
      </c>
      <c r="AF12" s="35">
        <f>'Intermediate calculations'!AP32/1000</f>
        <v>566.32264325253595</v>
      </c>
      <c r="AG12" s="35">
        <f>'Intermediate calculations'!AQ32/1000</f>
        <v>578.16847532642328</v>
      </c>
      <c r="AH12" s="35">
        <f>'Intermediate calculations'!AR32/1000</f>
        <v>591.99179560770449</v>
      </c>
      <c r="AI12" s="35">
        <f>'Intermediate calculations'!AS32/1000</f>
        <v>605.08730026771832</v>
      </c>
      <c r="AJ12" s="35">
        <f>'Intermediate calculations'!AT32/1000</f>
        <v>619.34245794526112</v>
      </c>
      <c r="AK12" s="35">
        <f>'Intermediate calculations'!AU32/1000</f>
        <v>634.31850067538232</v>
      </c>
      <c r="AL12" s="35">
        <f>'Intermediate calculations'!AV32/1000</f>
        <v>650.02188353786892</v>
      </c>
      <c r="AM12" s="35">
        <f>'Intermediate calculations'!AW32/1000</f>
        <v>665.9919487769688</v>
      </c>
      <c r="AN12" s="35">
        <f>'Intermediate calculations'!AX32/1000</f>
        <v>682.36099163225902</v>
      </c>
      <c r="AO12" s="35">
        <f>'Intermediate calculations'!AY32/1000</f>
        <v>698.73794025688528</v>
      </c>
      <c r="AP12" s="35">
        <f>'Intermediate calculations'!AZ32/1000</f>
        <v>715.48942242430564</v>
      </c>
      <c r="AQ12" s="35">
        <f>'Intermediate calculations'!BA32/1000</f>
        <v>732.91060526143178</v>
      </c>
      <c r="AR12" s="35">
        <f>'Intermediate calculations'!BB32/1000</f>
        <v>751.00988075394139</v>
      </c>
      <c r="AS12" s="35">
        <f>'Intermediate calculations'!BC32/1000</f>
        <v>769.53888537859029</v>
      </c>
      <c r="AT12" s="35">
        <f>'Intermediate calculations'!BD32/1000</f>
        <v>788.43619905264075</v>
      </c>
      <c r="AU12" s="35">
        <f>'Intermediate calculations'!BE32/1000</f>
        <v>807.76755809811857</v>
      </c>
      <c r="AV12" s="35">
        <f>'Intermediate calculations'!BF32/1000</f>
        <v>827.84534449261548</v>
      </c>
      <c r="AW12" s="35">
        <f>'Intermediate calculations'!BG32/1000</f>
        <v>848.36872838524687</v>
      </c>
      <c r="AX12" s="35">
        <f>'Intermediate calculations'!BH32/1000</f>
        <v>869.40986089771616</v>
      </c>
      <c r="AY12" s="35">
        <f>'Intermediate calculations'!BI32/1000</f>
        <v>890.33406746976539</v>
      </c>
      <c r="AZ12" s="35">
        <f>'Intermediate calculations'!BJ32/1000</f>
        <v>911.80537421717383</v>
      </c>
      <c r="BA12" s="35">
        <f>'Intermediate calculations'!BK32/1000</f>
        <v>933.85453880066677</v>
      </c>
    </row>
    <row r="13" spans="1:53" x14ac:dyDescent="0.25">
      <c r="A13" s="32"/>
      <c r="B13" s="32" t="s">
        <v>679</v>
      </c>
      <c r="C13" s="35">
        <f>'Intermediate calculations'!M29/1000</f>
        <v>310</v>
      </c>
      <c r="D13" s="35">
        <f>'Intermediate calculations'!N29/1000</f>
        <v>308</v>
      </c>
      <c r="E13" s="35">
        <f>'Intermediate calculations'!O29/1000</f>
        <v>313</v>
      </c>
      <c r="F13" s="35">
        <f>'Intermediate calculations'!P29/1000</f>
        <v>305</v>
      </c>
      <c r="G13" s="35">
        <f>'Intermediate calculations'!Q29/1000</f>
        <v>329</v>
      </c>
      <c r="H13" s="35">
        <f>'Intermediate calculations'!R29/1000</f>
        <v>357</v>
      </c>
      <c r="I13" s="35">
        <f>'Intermediate calculations'!S29/1000</f>
        <v>392</v>
      </c>
      <c r="J13" s="35">
        <f>'Intermediate calculations'!T29/1000</f>
        <v>416</v>
      </c>
      <c r="K13" s="35">
        <f>'Intermediate calculations'!U29/1000</f>
        <v>404</v>
      </c>
      <c r="L13" s="35">
        <f>'Intermediate calculations'!V29/1000</f>
        <v>379</v>
      </c>
      <c r="M13" s="35">
        <f>'Intermediate calculations'!W29/1000</f>
        <v>386</v>
      </c>
      <c r="N13" s="35">
        <f>'Intermediate calculations'!X29/1000</f>
        <v>426</v>
      </c>
      <c r="O13" s="35">
        <f>'Intermediate calculations'!Y29/1000</f>
        <v>430.55549434441633</v>
      </c>
      <c r="P13" s="35">
        <f>'Intermediate calculations'!Z29/1000</f>
        <v>440.08755096496651</v>
      </c>
      <c r="Q13" s="35">
        <f>'Intermediate calculations'!AA29/1000</f>
        <v>447.60119868970565</v>
      </c>
      <c r="R13" s="35">
        <f>'Intermediate calculations'!AB29/1000</f>
        <v>453.0073757891351</v>
      </c>
      <c r="S13" s="35">
        <f>'Intermediate calculations'!AC29/1000</f>
        <v>456.77888664765459</v>
      </c>
      <c r="T13" s="35">
        <f>'Intermediate calculations'!AD29/1000</f>
        <v>462.02432856371416</v>
      </c>
      <c r="U13" s="35">
        <f>'Intermediate calculations'!AE29/1000</f>
        <v>466.67163760110105</v>
      </c>
      <c r="V13" s="35">
        <f>'Intermediate calculations'!AF29/1000</f>
        <v>470.75827143102953</v>
      </c>
      <c r="W13" s="35">
        <f>'Intermediate calculations'!AG29/1000</f>
        <v>442.28573673138857</v>
      </c>
      <c r="X13" s="35">
        <f>'Intermediate calculations'!AH29/1000</f>
        <v>451.39295919574482</v>
      </c>
      <c r="Y13" s="35">
        <f>'Intermediate calculations'!AI29/1000</f>
        <v>460.10358672592531</v>
      </c>
      <c r="Z13" s="35">
        <f>'Intermediate calculations'!AJ29/1000</f>
        <v>468.8400597934816</v>
      </c>
      <c r="AA13" s="35">
        <f>'Intermediate calculations'!AK29/1000</f>
        <v>477.24433069347941</v>
      </c>
      <c r="AB13" s="35">
        <f>'Intermediate calculations'!AL29/1000</f>
        <v>485.93460706923503</v>
      </c>
      <c r="AC13" s="35">
        <f>'Intermediate calculations'!AM29/1000</f>
        <v>496.11642701064466</v>
      </c>
      <c r="AD13" s="35">
        <f>'Intermediate calculations'!AN29/1000</f>
        <v>506.14492864472493</v>
      </c>
      <c r="AE13" s="35">
        <f>'Intermediate calculations'!AO29/1000</f>
        <v>516.53476381320638</v>
      </c>
      <c r="AF13" s="35">
        <f>'Intermediate calculations'!AP29/1000</f>
        <v>527.16523567743161</v>
      </c>
      <c r="AG13" s="35">
        <f>'Intermediate calculations'!AQ29/1000</f>
        <v>538.05592045751621</v>
      </c>
      <c r="AH13" s="35">
        <f>'Intermediate calculations'!AR29/1000</f>
        <v>550.76464559042131</v>
      </c>
      <c r="AI13" s="35">
        <f>'Intermediate calculations'!AS29/1000</f>
        <v>562.80423997254366</v>
      </c>
      <c r="AJ13" s="35">
        <f>'Intermediate calculations'!AT29/1000</f>
        <v>575.90998280159738</v>
      </c>
      <c r="AK13" s="35">
        <f>'Intermediate calculations'!AU29/1000</f>
        <v>589.67848463494329</v>
      </c>
      <c r="AL13" s="35">
        <f>'Intermediate calculations'!AV29/1000</f>
        <v>604.1156800695569</v>
      </c>
      <c r="AM13" s="35">
        <f>'Intermediate calculations'!AW29/1000</f>
        <v>618.7980548788214</v>
      </c>
      <c r="AN13" s="35">
        <f>'Intermediate calculations'!AX29/1000</f>
        <v>633.84723713775588</v>
      </c>
      <c r="AO13" s="35">
        <f>'Intermediate calculations'!AY29/1000</f>
        <v>648.90368771192948</v>
      </c>
      <c r="AP13" s="35">
        <f>'Intermediate calculations'!AZ29/1000</f>
        <v>664.30447262485598</v>
      </c>
      <c r="AQ13" s="35">
        <f>'Intermediate calculations'!BA29/1000</f>
        <v>680.32095923313682</v>
      </c>
      <c r="AR13" s="35">
        <f>'Intermediate calculations'!BB29/1000</f>
        <v>696.96086286399645</v>
      </c>
      <c r="AS13" s="35">
        <f>'Intermediate calculations'!BC29/1000</f>
        <v>713.99584591939617</v>
      </c>
      <c r="AT13" s="35">
        <f>'Intermediate calculations'!BD29/1000</f>
        <v>731.36944071043979</v>
      </c>
      <c r="AU13" s="35">
        <f>'Intermediate calculations'!BE29/1000</f>
        <v>749.14208314043219</v>
      </c>
      <c r="AV13" s="35">
        <f>'Intermediate calculations'!BF29/1000</f>
        <v>767.6009673572994</v>
      </c>
      <c r="AW13" s="35">
        <f>'Intermediate calculations'!BG29/1000</f>
        <v>786.46951987443504</v>
      </c>
      <c r="AX13" s="35">
        <f>'Intermediate calculations'!BH29/1000</f>
        <v>805.81407415985598</v>
      </c>
      <c r="AY13" s="35">
        <f>'Intermediate calculations'!BI29/1000</f>
        <v>825.05113041966001</v>
      </c>
      <c r="AZ13" s="35">
        <f>'Intermediate calculations'!BJ29/1000</f>
        <v>844.79117334311093</v>
      </c>
      <c r="BA13" s="35">
        <f>'Intermediate calculations'!BK29/1000</f>
        <v>865.06248055439312</v>
      </c>
    </row>
    <row r="14" spans="1:53" x14ac:dyDescent="0.25">
      <c r="A14" s="32"/>
      <c r="B14" s="32"/>
      <c r="C14" s="35"/>
      <c r="D14" s="35"/>
      <c r="E14" s="35"/>
      <c r="F14" s="35"/>
      <c r="G14" s="35"/>
      <c r="H14" s="35"/>
      <c r="I14" s="35"/>
      <c r="J14" s="35"/>
      <c r="K14" s="35"/>
      <c r="L14" s="35"/>
      <c r="M14" s="35"/>
      <c r="N14" s="35"/>
      <c r="O14" s="35"/>
      <c r="P14" s="35"/>
      <c r="Q14" s="35"/>
      <c r="R14" s="36"/>
      <c r="S14" s="36"/>
      <c r="T14" s="36"/>
      <c r="U14" s="36"/>
      <c r="V14" s="36"/>
      <c r="W14" s="36"/>
      <c r="X14" s="36"/>
      <c r="Y14" s="36"/>
      <c r="Z14" s="36"/>
      <c r="AA14" s="36"/>
    </row>
    <row r="15" spans="1:53" x14ac:dyDescent="0.25">
      <c r="A15" s="31"/>
      <c r="B15" s="32"/>
      <c r="C15" s="33">
        <v>2000</v>
      </c>
      <c r="D15" s="33">
        <v>2001</v>
      </c>
      <c r="E15" s="33">
        <v>2002</v>
      </c>
      <c r="F15" s="33">
        <v>2003</v>
      </c>
      <c r="G15" s="33">
        <v>2004</v>
      </c>
      <c r="H15" s="33">
        <v>2005</v>
      </c>
      <c r="I15" s="33">
        <v>2006</v>
      </c>
      <c r="J15" s="33">
        <v>2007</v>
      </c>
      <c r="K15" s="33">
        <v>2008</v>
      </c>
      <c r="L15" s="33">
        <v>2009</v>
      </c>
      <c r="M15" s="33">
        <v>2010</v>
      </c>
      <c r="N15" s="33">
        <v>2011</v>
      </c>
      <c r="O15" s="33">
        <v>2012</v>
      </c>
      <c r="P15" s="33">
        <v>2013</v>
      </c>
      <c r="Q15" s="33">
        <v>2014</v>
      </c>
      <c r="R15" s="34">
        <v>2015</v>
      </c>
      <c r="S15" s="34">
        <v>2016</v>
      </c>
      <c r="T15" s="34">
        <v>2017</v>
      </c>
      <c r="U15" s="34">
        <v>2018</v>
      </c>
      <c r="V15" s="34">
        <v>2019</v>
      </c>
      <c r="W15" s="34">
        <v>2020</v>
      </c>
      <c r="X15" s="34">
        <v>2021</v>
      </c>
      <c r="Y15" s="34">
        <v>2022</v>
      </c>
      <c r="Z15" s="34">
        <v>2023</v>
      </c>
      <c r="AA15" s="34">
        <v>2024</v>
      </c>
      <c r="AB15" s="34">
        <v>2025</v>
      </c>
      <c r="AC15" s="34">
        <v>2026</v>
      </c>
      <c r="AD15" s="34">
        <v>2027</v>
      </c>
      <c r="AE15" s="34">
        <v>2028</v>
      </c>
      <c r="AF15" s="34">
        <v>2029</v>
      </c>
      <c r="AG15" s="34">
        <v>2030</v>
      </c>
      <c r="AH15" s="34">
        <v>2031</v>
      </c>
      <c r="AI15" s="34">
        <v>2032</v>
      </c>
      <c r="AJ15" s="34">
        <v>2033</v>
      </c>
      <c r="AK15" s="34">
        <v>2034</v>
      </c>
      <c r="AL15" s="34">
        <v>2035</v>
      </c>
      <c r="AM15" s="34">
        <v>2036</v>
      </c>
      <c r="AN15" s="34">
        <v>2037</v>
      </c>
      <c r="AO15" s="34">
        <v>2038</v>
      </c>
      <c r="AP15" s="34">
        <v>2039</v>
      </c>
      <c r="AQ15" s="34">
        <v>2040</v>
      </c>
      <c r="AR15" s="34">
        <v>2041</v>
      </c>
      <c r="AS15" s="34">
        <v>2042</v>
      </c>
      <c r="AT15" s="34">
        <v>2043</v>
      </c>
      <c r="AU15" s="34">
        <v>2044</v>
      </c>
      <c r="AV15" s="34">
        <v>2045</v>
      </c>
      <c r="AW15" s="34">
        <v>2046</v>
      </c>
      <c r="AX15" s="34">
        <v>2047</v>
      </c>
      <c r="AY15" s="34">
        <v>2048</v>
      </c>
      <c r="AZ15" s="34">
        <v>2049</v>
      </c>
      <c r="BA15" s="34">
        <v>2050</v>
      </c>
    </row>
    <row r="16" spans="1:53" x14ac:dyDescent="0.25">
      <c r="A16" s="37"/>
      <c r="B16" s="37" t="s">
        <v>680</v>
      </c>
      <c r="C16" s="38">
        <v>610.16713705625</v>
      </c>
      <c r="D16" s="38">
        <v>610.16713705625</v>
      </c>
      <c r="E16" s="38">
        <v>610.16713705625</v>
      </c>
      <c r="F16" s="38">
        <v>536</v>
      </c>
      <c r="G16" s="38">
        <v>559.68422552599998</v>
      </c>
      <c r="H16" s="38">
        <v>575.65290859000004</v>
      </c>
      <c r="I16" s="38">
        <v>579.69497297999999</v>
      </c>
      <c r="J16" s="38">
        <v>601.65087453649994</v>
      </c>
      <c r="K16" s="38">
        <v>631</v>
      </c>
      <c r="L16" s="38">
        <v>612.06999999999994</v>
      </c>
      <c r="M16" s="38">
        <v>654.91489999999999</v>
      </c>
      <c r="N16" s="38">
        <v>622.16915499999993</v>
      </c>
      <c r="O16" s="38">
        <v>613.14770225249993</v>
      </c>
      <c r="P16" s="38">
        <v>665.92799245872072</v>
      </c>
      <c r="Q16" s="38">
        <v>698.08925804689954</v>
      </c>
      <c r="R16" s="39">
        <v>699.22078053934399</v>
      </c>
      <c r="S16" s="39">
        <v>710.39885911430974</v>
      </c>
      <c r="T16" s="39">
        <v>739.18964380980105</v>
      </c>
      <c r="U16" s="39">
        <v>753.56215690376871</v>
      </c>
      <c r="V16" s="39">
        <v>770.46731576083528</v>
      </c>
      <c r="W16" s="39">
        <v>785.71589617587529</v>
      </c>
      <c r="X16" s="39">
        <v>803.32741953910943</v>
      </c>
      <c r="Y16" s="39">
        <v>821.94908336777723</v>
      </c>
      <c r="Z16" s="39">
        <v>844.55586695223269</v>
      </c>
      <c r="AA16" s="39">
        <v>859.84984588505426</v>
      </c>
      <c r="AB16" s="39">
        <v>875</v>
      </c>
      <c r="AC16" s="39">
        <v>890</v>
      </c>
      <c r="AD16" s="39">
        <v>910</v>
      </c>
      <c r="AE16" s="39">
        <v>925</v>
      </c>
    </row>
    <row r="17" spans="1:53" x14ac:dyDescent="0.25">
      <c r="A17" s="37"/>
      <c r="B17" s="37" t="s">
        <v>681</v>
      </c>
      <c r="C17" s="38">
        <v>649.892624710375</v>
      </c>
      <c r="D17" s="38">
        <v>649.892624710375</v>
      </c>
      <c r="E17" s="38">
        <v>649.892624710375</v>
      </c>
      <c r="F17" s="38">
        <v>574.19949799999995</v>
      </c>
      <c r="G17" s="38">
        <v>612.06163379999998</v>
      </c>
      <c r="H17" s="38">
        <v>642.21783919999996</v>
      </c>
      <c r="I17" s="38">
        <v>636.26177159999997</v>
      </c>
      <c r="J17" s="38">
        <v>658.9</v>
      </c>
      <c r="K17" s="38">
        <v>671.91341149238087</v>
      </c>
      <c r="L17" s="38">
        <v>649.94999999999993</v>
      </c>
      <c r="M17" s="38">
        <v>695.36469999999997</v>
      </c>
      <c r="N17" s="38">
        <v>663.10915499999999</v>
      </c>
      <c r="O17" s="38">
        <v>670.91943283249987</v>
      </c>
      <c r="P17" s="38">
        <v>716.42099245872066</v>
      </c>
      <c r="Q17" s="38">
        <v>729.84874533689958</v>
      </c>
      <c r="R17" s="39">
        <v>740.51634422626432</v>
      </c>
      <c r="S17" s="39">
        <v>752.08174895984371</v>
      </c>
      <c r="T17" s="39">
        <v>781.10112686931438</v>
      </c>
      <c r="U17" s="39">
        <v>797.63162045872559</v>
      </c>
      <c r="V17" s="39">
        <v>815.73258961364343</v>
      </c>
      <c r="W17" s="39">
        <v>831.42566617367947</v>
      </c>
      <c r="X17" s="39">
        <v>848.73455405867912</v>
      </c>
      <c r="Y17" s="39">
        <v>866.8135090431233</v>
      </c>
      <c r="Z17" s="39">
        <v>888.81185294880709</v>
      </c>
      <c r="AA17" s="39">
        <v>904.54032017152463</v>
      </c>
    </row>
    <row r="18" spans="1:53" x14ac:dyDescent="0.25">
      <c r="A18" s="37"/>
      <c r="B18" s="37" t="s">
        <v>682</v>
      </c>
      <c r="C18" s="38">
        <f>'Intermediate calculations'!M8/1000</f>
        <v>624.6</v>
      </c>
      <c r="D18" s="38">
        <f>'Intermediate calculations'!N8/1000</f>
        <v>524.29999999999995</v>
      </c>
      <c r="E18" s="38">
        <f>'Intermediate calculations'!O8/1000</f>
        <v>573.4</v>
      </c>
      <c r="F18" s="38">
        <f>'Intermediate calculations'!P8/1000</f>
        <v>609.70000000000005</v>
      </c>
      <c r="G18" s="38">
        <f>'Intermediate calculations'!Q8/1000</f>
        <v>631.70000000000005</v>
      </c>
      <c r="H18" s="38">
        <f>'Intermediate calculations'!R8/1000</f>
        <v>672.3</v>
      </c>
      <c r="I18" s="38">
        <f>'Intermediate calculations'!S8/1000</f>
        <v>808.1</v>
      </c>
      <c r="J18" s="38">
        <f>'Intermediate calculations'!T8/1000</f>
        <v>861.4</v>
      </c>
      <c r="K18" s="38">
        <f>'Intermediate calculations'!U8/1000</f>
        <v>770.2</v>
      </c>
      <c r="L18" s="38">
        <f>'Intermediate calculations'!V8/1000</f>
        <v>796.7</v>
      </c>
      <c r="M18" s="38">
        <f>'Intermediate calculations'!W8/1000</f>
        <v>885.8</v>
      </c>
      <c r="N18" s="38">
        <f>'Intermediate calculations'!X8/1000</f>
        <v>869.5</v>
      </c>
      <c r="O18" s="38">
        <f>'Intermediate calculations'!Y8/1000</f>
        <v>948.13453480493024</v>
      </c>
      <c r="P18" s="38">
        <f>'Intermediate calculations'!Z8/1000</f>
        <v>986.24387796921349</v>
      </c>
      <c r="Q18" s="38">
        <f>'Intermediate calculations'!AA8/1000</f>
        <v>1014.1022678466617</v>
      </c>
      <c r="R18" s="38">
        <f>'Intermediate calculations'!AB8/1000</f>
        <v>1031.2605275532064</v>
      </c>
      <c r="S18" s="38">
        <f>'Intermediate calculations'!AC8/1000</f>
        <v>1039.2853705130033</v>
      </c>
      <c r="T18" s="38">
        <f>'Intermediate calculations'!AD8/1000</f>
        <v>1054.7304038797349</v>
      </c>
      <c r="U18" s="38">
        <f>'Intermediate calculations'!AE8/1000</f>
        <v>1067.1642653020999</v>
      </c>
      <c r="V18" s="38">
        <f>'Intermediate calculations'!AF8/1000</f>
        <v>1076.7755274078183</v>
      </c>
      <c r="W18" s="38">
        <f>'Intermediate calculations'!AG8/1000</f>
        <v>922.4746250028121</v>
      </c>
      <c r="X18" s="38">
        <f>'Intermediate calculations'!AH8/1000</f>
        <v>957.2117958036913</v>
      </c>
      <c r="Y18" s="38">
        <f>'Intermediate calculations'!AI8/1000</f>
        <v>989.95239450666702</v>
      </c>
      <c r="Z18" s="38">
        <f>'Intermediate calculations'!AJ8/1000</f>
        <v>1022.823107035197</v>
      </c>
      <c r="AA18" s="38">
        <f>'Intermediate calculations'!AK8/1000</f>
        <v>1054.0214188606751</v>
      </c>
      <c r="AB18" s="38">
        <f>'Intermediate calculations'!AL8/1000</f>
        <v>1086.659563827875</v>
      </c>
      <c r="AC18" s="38">
        <f>'Intermediate calculations'!AM8/1000</f>
        <v>1125.8799732776683</v>
      </c>
      <c r="AD18" s="38">
        <f>'Intermediate calculations'!AN8/1000</f>
        <v>1164.3285345277641</v>
      </c>
      <c r="AE18" s="38">
        <f>'Intermediate calculations'!AO8/1000</f>
        <v>1204.5961521115664</v>
      </c>
      <c r="AF18" s="38">
        <f>'Intermediate calculations'!AP8/1000</f>
        <v>1246.0752036306142</v>
      </c>
      <c r="AG18" s="38">
        <f>'Intermediate calculations'!AQ8/1000</f>
        <v>1288.8642413746877</v>
      </c>
      <c r="AH18" s="38">
        <f>'Intermediate calculations'!AR8/1000</f>
        <v>1341.214498504962</v>
      </c>
      <c r="AI18" s="38">
        <f>'Intermediate calculations'!AS8/1000</f>
        <v>1390.1961603062764</v>
      </c>
      <c r="AJ18" s="38">
        <f>'Intermediate calculations'!AT8/1000</f>
        <v>1444.5451180442046</v>
      </c>
      <c r="AK18" s="38">
        <f>'Intermediate calculations'!AU8/1000</f>
        <v>1502.2305943274946</v>
      </c>
      <c r="AL18" s="38">
        <f>'Intermediate calculations'!AV8/1000</f>
        <v>1563.2824654091853</v>
      </c>
      <c r="AM18" s="38">
        <f>'Intermediate calculations'!AW8/1000</f>
        <v>1625.111445086188</v>
      </c>
      <c r="AN18" s="38">
        <f>'Intermediate calculations'!AX8/1000</f>
        <v>1688.7870383516042</v>
      </c>
      <c r="AO18" s="38">
        <f>'Intermediate calculations'!AY8/1000</f>
        <v>1752.4992225993697</v>
      </c>
      <c r="AP18" s="38">
        <f>'Intermediate calculations'!AZ8/1000</f>
        <v>1817.9448841640174</v>
      </c>
      <c r="AQ18" s="38">
        <f>'Intermediate calculations'!BA8/1000</f>
        <v>1886.4901641199272</v>
      </c>
      <c r="AR18" s="38">
        <f>'Intermediate calculations'!BB8/1000</f>
        <v>1956.4633504471335</v>
      </c>
      <c r="AS18" s="38">
        <f>'Intermediate calculations'!BC8/1000</f>
        <v>2028.4254797735721</v>
      </c>
      <c r="AT18" s="38">
        <f>'Intermediate calculations'!BD8/1000</f>
        <v>2102.0922771964965</v>
      </c>
      <c r="AU18" s="38">
        <f>'Intermediate calculations'!BE8/1000</f>
        <v>2177.7679945395812</v>
      </c>
      <c r="AV18" s="38">
        <f>'Intermediate calculations'!BF8/1000</f>
        <v>2256.898449265238</v>
      </c>
      <c r="AW18" s="38">
        <f>'Intermediate calculations'!BG8/1000</f>
        <v>2338.5782393828863</v>
      </c>
      <c r="AX18" s="38">
        <f>'Intermediate calculations'!BH8/1000</f>
        <v>2422.6543585124277</v>
      </c>
      <c r="AY18" s="38">
        <f>'Intermediate calculations'!BI8/1000</f>
        <v>2506.1893016373929</v>
      </c>
      <c r="AZ18" s="38">
        <f>'Intermediate calculations'!BJ8/1000</f>
        <v>2592.2564236587978</v>
      </c>
      <c r="BA18" s="38">
        <f>'Intermediate calculations'!BK8/1000</f>
        <v>2680.9980820175324</v>
      </c>
    </row>
    <row r="19" spans="1:53" x14ac:dyDescent="0.25">
      <c r="A19" s="37"/>
      <c r="B19" s="37" t="s">
        <v>683</v>
      </c>
      <c r="C19" s="38">
        <f>'Intermediate calculations'!M5/1000</f>
        <v>671</v>
      </c>
      <c r="D19" s="38">
        <f>'Intermediate calculations'!N5/1000</f>
        <v>554</v>
      </c>
      <c r="E19" s="38">
        <f>'Intermediate calculations'!O5/1000</f>
        <v>602</v>
      </c>
      <c r="F19" s="38">
        <f>'Intermediate calculations'!P5/1000</f>
        <v>643</v>
      </c>
      <c r="G19" s="38">
        <f>'Intermediate calculations'!Q5/1000</f>
        <v>675</v>
      </c>
      <c r="H19" s="38">
        <f>'Intermediate calculations'!R5/1000</f>
        <v>723</v>
      </c>
      <c r="I19" s="38">
        <f>'Intermediate calculations'!S5/1000</f>
        <v>825</v>
      </c>
      <c r="J19" s="38">
        <f>'Intermediate calculations'!T5/1000</f>
        <v>865</v>
      </c>
      <c r="K19" s="38">
        <f>'Intermediate calculations'!U5/1000</f>
        <v>767</v>
      </c>
      <c r="L19" s="38">
        <f>'Intermediate calculations'!V5/1000</f>
        <v>784</v>
      </c>
      <c r="M19" s="38">
        <f>'Intermediate calculations'!W5/1000</f>
        <v>880</v>
      </c>
      <c r="N19" s="38">
        <f>'Intermediate calculations'!X5/1000</f>
        <v>879</v>
      </c>
      <c r="O19" s="38">
        <f>'Intermediate calculations'!Y5/1000</f>
        <v>945.12786859572486</v>
      </c>
      <c r="P19" s="38">
        <f>'Intermediate calculations'!Z5/1000</f>
        <v>978.48201793646433</v>
      </c>
      <c r="Q19" s="38">
        <f>'Intermediate calculations'!AA5/1000</f>
        <v>1002.864303728149</v>
      </c>
      <c r="R19" s="38">
        <f>'Intermediate calculations'!AB5/1000</f>
        <v>1017.8815963173233</v>
      </c>
      <c r="S19" s="38">
        <f>'Intermediate calculations'!AC5/1000</f>
        <v>1024.9051183277447</v>
      </c>
      <c r="T19" s="38">
        <f>'Intermediate calculations'!AD5/1000</f>
        <v>1038.4229569130466</v>
      </c>
      <c r="U19" s="38">
        <f>'Intermediate calculations'!AE5/1000</f>
        <v>1049.3053504766362</v>
      </c>
      <c r="V19" s="38">
        <f>'Intermediate calculations'!AF5/1000</f>
        <v>1057.7173419991657</v>
      </c>
      <c r="W19" s="38">
        <f>'Intermediate calculations'!AG5/1000</f>
        <v>922.66974172850871</v>
      </c>
      <c r="X19" s="38">
        <f>'Intermediate calculations'!AH5/1000</f>
        <v>953.07249040808131</v>
      </c>
      <c r="Y19" s="38">
        <f>'Intermediate calculations'!AI5/1000</f>
        <v>981.72779454010697</v>
      </c>
      <c r="Z19" s="38">
        <f>'Intermediate calculations'!AJ5/1000</f>
        <v>1010.4969772018708</v>
      </c>
      <c r="AA19" s="38">
        <f>'Intermediate calculations'!AK5/1000</f>
        <v>1037.8024373700011</v>
      </c>
      <c r="AB19" s="38">
        <f>'Intermediate calculations'!AL5/1000</f>
        <v>1066.3680717013995</v>
      </c>
      <c r="AC19" s="38">
        <f>'Intermediate calculations'!AM5/1000</f>
        <v>1100.6946511009464</v>
      </c>
      <c r="AD19" s="38">
        <f>'Intermediate calculations'!AN5/1000</f>
        <v>1134.3456916960035</v>
      </c>
      <c r="AE19" s="38">
        <f>'Intermediate calculations'!AO5/1000</f>
        <v>1169.5888110721644</v>
      </c>
      <c r="AF19" s="38">
        <f>'Intermediate calculations'!AP5/1000</f>
        <v>1205.8922045186087</v>
      </c>
      <c r="AG19" s="38">
        <f>'Intermediate calculations'!AQ5/1000</f>
        <v>1243.3421272031844</v>
      </c>
      <c r="AH19" s="38">
        <f>'Intermediate calculations'!AR5/1000</f>
        <v>1289.1602429031095</v>
      </c>
      <c r="AI19" s="38">
        <f>'Intermediate calculations'!AS5/1000</f>
        <v>1332.0300886424027</v>
      </c>
      <c r="AJ19" s="38">
        <f>'Intermediate calculations'!AT5/1000</f>
        <v>1379.5975118092063</v>
      </c>
      <c r="AK19" s="38">
        <f>'Intermediate calculations'!AU5/1000</f>
        <v>1430.0851306183329</v>
      </c>
      <c r="AL19" s="38">
        <f>'Intermediate calculations'!AV5/1000</f>
        <v>1483.5190934345374</v>
      </c>
      <c r="AM19" s="38">
        <f>'Intermediate calculations'!AW5/1000</f>
        <v>1537.6331990711064</v>
      </c>
      <c r="AN19" s="38">
        <f>'Intermediate calculations'!AX5/1000</f>
        <v>1593.3635022143358</v>
      </c>
      <c r="AO19" s="38">
        <f>'Intermediate calculations'!AY5/1000</f>
        <v>1649.1258306035672</v>
      </c>
      <c r="AP19" s="38">
        <f>'Intermediate calculations'!AZ5/1000</f>
        <v>1706.4053371046548</v>
      </c>
      <c r="AQ19" s="38">
        <f>'Intermediate calculations'!BA5/1000</f>
        <v>1766.3976989356229</v>
      </c>
      <c r="AR19" s="38">
        <f>'Intermediate calculations'!BB5/1000</f>
        <v>1827.6397963536749</v>
      </c>
      <c r="AS19" s="38">
        <f>'Intermediate calculations'!BC5/1000</f>
        <v>1890.622661161515</v>
      </c>
      <c r="AT19" s="38">
        <f>'Intermediate calculations'!BD5/1000</f>
        <v>1955.0974896072871</v>
      </c>
      <c r="AU19" s="38">
        <f>'Intermediate calculations'!BE5/1000</f>
        <v>2021.3305696907678</v>
      </c>
      <c r="AV19" s="38">
        <f>'Intermediate calculations'!BF5/1000</f>
        <v>2090.5873131865146</v>
      </c>
      <c r="AW19" s="38">
        <f>'Intermediate calculations'!BG5/1000</f>
        <v>2162.0752920257196</v>
      </c>
      <c r="AX19" s="38">
        <f>'Intermediate calculations'!BH5/1000</f>
        <v>2235.6605916029835</v>
      </c>
      <c r="AY19" s="38">
        <f>'Intermediate calculations'!BI5/1000</f>
        <v>2308.7722418392318</v>
      </c>
      <c r="AZ19" s="38">
        <f>'Intermediate calculations'!BJ5/1000</f>
        <v>2384.1001116703778</v>
      </c>
      <c r="BA19" s="38">
        <f>'Intermediate calculations'!BK5/1000</f>
        <v>2461.7687955120914</v>
      </c>
    </row>
    <row r="20" spans="1:53" x14ac:dyDescent="0.25">
      <c r="A20" s="37"/>
      <c r="B20" s="37"/>
      <c r="C20" s="38"/>
      <c r="D20" s="38"/>
      <c r="E20" s="38"/>
      <c r="F20" s="38"/>
      <c r="G20" s="38"/>
      <c r="H20" s="38"/>
      <c r="I20" s="38"/>
      <c r="J20" s="38"/>
      <c r="K20" s="38"/>
      <c r="L20" s="38"/>
      <c r="M20" s="38"/>
      <c r="N20" s="38"/>
      <c r="O20" s="38"/>
      <c r="P20" s="38"/>
      <c r="Q20" s="38"/>
      <c r="R20" s="39"/>
      <c r="S20" s="39"/>
      <c r="T20" s="39"/>
      <c r="U20" s="39"/>
      <c r="V20" s="39"/>
      <c r="W20" s="39"/>
      <c r="X20" s="39"/>
      <c r="Y20" s="39"/>
      <c r="Z20" s="39"/>
      <c r="AA20" s="39"/>
    </row>
    <row r="21" spans="1:53" x14ac:dyDescent="0.25">
      <c r="A21" s="31"/>
      <c r="B21" s="32"/>
      <c r="C21" s="33">
        <v>2000</v>
      </c>
      <c r="D21" s="33">
        <v>2001</v>
      </c>
      <c r="E21" s="33">
        <v>2002</v>
      </c>
      <c r="F21" s="33">
        <v>2003</v>
      </c>
      <c r="G21" s="33">
        <v>2004</v>
      </c>
      <c r="H21" s="33">
        <v>2005</v>
      </c>
      <c r="I21" s="33">
        <v>2006</v>
      </c>
      <c r="J21" s="33">
        <v>2007</v>
      </c>
      <c r="K21" s="33">
        <v>2008</v>
      </c>
      <c r="L21" s="33">
        <v>2009</v>
      </c>
      <c r="M21" s="33">
        <v>2010</v>
      </c>
      <c r="N21" s="33">
        <v>2011</v>
      </c>
      <c r="O21" s="33">
        <v>2012</v>
      </c>
      <c r="P21" s="33">
        <v>2013</v>
      </c>
      <c r="Q21" s="33">
        <v>2014</v>
      </c>
      <c r="R21" s="34">
        <v>2015</v>
      </c>
      <c r="S21" s="34">
        <v>2016</v>
      </c>
      <c r="T21" s="34">
        <v>2017</v>
      </c>
      <c r="U21" s="34">
        <v>2018</v>
      </c>
      <c r="V21" s="34">
        <v>2019</v>
      </c>
      <c r="W21" s="34">
        <v>2020</v>
      </c>
      <c r="X21" s="34">
        <v>2021</v>
      </c>
      <c r="Y21" s="34">
        <v>2022</v>
      </c>
      <c r="Z21" s="34">
        <v>2023</v>
      </c>
      <c r="AA21" s="34">
        <v>2024</v>
      </c>
      <c r="AB21" s="34">
        <v>2025</v>
      </c>
      <c r="AC21" s="34">
        <v>2026</v>
      </c>
      <c r="AD21" s="34">
        <v>2027</v>
      </c>
      <c r="AE21" s="34">
        <v>2028</v>
      </c>
      <c r="AF21" s="34">
        <v>2029</v>
      </c>
      <c r="AG21" s="34">
        <v>2030</v>
      </c>
      <c r="AH21" s="34">
        <v>2031</v>
      </c>
      <c r="AI21" s="34">
        <v>2032</v>
      </c>
      <c r="AJ21" s="34">
        <v>2033</v>
      </c>
      <c r="AK21" s="34">
        <v>2034</v>
      </c>
      <c r="AL21" s="34">
        <v>2035</v>
      </c>
      <c r="AM21" s="34">
        <v>2036</v>
      </c>
      <c r="AN21" s="34">
        <v>2037</v>
      </c>
      <c r="AO21" s="34">
        <v>2038</v>
      </c>
      <c r="AP21" s="34">
        <v>2039</v>
      </c>
      <c r="AQ21" s="34">
        <v>2040</v>
      </c>
      <c r="AR21" s="34">
        <v>2041</v>
      </c>
      <c r="AS21" s="34">
        <v>2042</v>
      </c>
      <c r="AT21" s="34">
        <v>2043</v>
      </c>
      <c r="AU21" s="34">
        <v>2044</v>
      </c>
      <c r="AV21" s="34">
        <v>2045</v>
      </c>
      <c r="AW21" s="34">
        <v>2046</v>
      </c>
      <c r="AX21" s="34">
        <v>2047</v>
      </c>
      <c r="AY21" s="34">
        <v>2048</v>
      </c>
      <c r="AZ21" s="34">
        <v>2049</v>
      </c>
      <c r="BA21" s="34">
        <v>2050</v>
      </c>
    </row>
    <row r="22" spans="1:53" x14ac:dyDescent="0.25">
      <c r="A22" s="32"/>
      <c r="B22" s="32" t="s">
        <v>684</v>
      </c>
      <c r="C22" s="35">
        <v>129.63</v>
      </c>
      <c r="D22" s="35">
        <v>129.63</v>
      </c>
      <c r="E22" s="35">
        <v>129.63</v>
      </c>
      <c r="F22" s="35">
        <v>143.13999999999999</v>
      </c>
      <c r="G22" s="35">
        <v>146.053</v>
      </c>
      <c r="H22" s="35">
        <v>149.999</v>
      </c>
      <c r="I22" s="35">
        <v>157.24799999999999</v>
      </c>
      <c r="J22" s="35">
        <v>152.83564942134379</v>
      </c>
      <c r="K22" s="35">
        <v>162.80000000000001</v>
      </c>
      <c r="L22" s="35">
        <v>165.18375564550669</v>
      </c>
      <c r="M22" s="35">
        <v>169.66697423006443</v>
      </c>
      <c r="N22" s="35">
        <v>186.75616508255388</v>
      </c>
      <c r="O22" s="35">
        <v>191.25698866104344</v>
      </c>
      <c r="P22" s="35">
        <v>197.47194670605705</v>
      </c>
      <c r="Q22" s="35">
        <v>204.80493212570124</v>
      </c>
      <c r="R22" s="36">
        <v>208.64102609863633</v>
      </c>
      <c r="S22" s="36">
        <v>213.80677245749976</v>
      </c>
      <c r="T22" s="36">
        <v>217.57407311191287</v>
      </c>
      <c r="U22" s="36">
        <v>225.22145508819884</v>
      </c>
      <c r="V22" s="36">
        <v>232.86299528535966</v>
      </c>
      <c r="W22" s="36">
        <v>241.53716288131423</v>
      </c>
      <c r="X22" s="36">
        <v>245</v>
      </c>
      <c r="Y22" s="36">
        <v>250</v>
      </c>
      <c r="Z22" s="36">
        <v>255</v>
      </c>
      <c r="AA22" s="36">
        <v>260</v>
      </c>
      <c r="AB22" s="36">
        <v>265</v>
      </c>
      <c r="AC22" s="36">
        <v>270</v>
      </c>
      <c r="AD22" s="36">
        <v>275</v>
      </c>
      <c r="AE22" s="36">
        <v>280</v>
      </c>
    </row>
    <row r="23" spans="1:53" x14ac:dyDescent="0.25">
      <c r="A23" s="32"/>
      <c r="B23" s="32" t="s">
        <v>685</v>
      </c>
      <c r="C23" s="35">
        <v>137.82499999999999</v>
      </c>
      <c r="D23" s="35">
        <v>137.82499999999999</v>
      </c>
      <c r="E23" s="35">
        <v>137.82499999999999</v>
      </c>
      <c r="F23" s="35">
        <v>156.29499999999999</v>
      </c>
      <c r="G23" s="35">
        <v>167.84399999999999</v>
      </c>
      <c r="H23" s="35">
        <v>176.53800000000001</v>
      </c>
      <c r="I23" s="35">
        <v>177.79399999999998</v>
      </c>
      <c r="J23" s="35">
        <v>173.29521483689047</v>
      </c>
      <c r="K23" s="35">
        <v>179.18</v>
      </c>
      <c r="L23" s="35">
        <v>188.69627164870266</v>
      </c>
      <c r="M23" s="35">
        <v>192.2214902332604</v>
      </c>
      <c r="N23" s="35">
        <v>215.34616508255388</v>
      </c>
      <c r="O23" s="35">
        <v>223.20098866104343</v>
      </c>
      <c r="P23" s="35">
        <v>219.00718870605706</v>
      </c>
      <c r="Q23" s="35">
        <v>215.58134712570126</v>
      </c>
      <c r="R23" s="36">
        <v>221.42544983376598</v>
      </c>
      <c r="S23" s="36">
        <v>226.46723800236197</v>
      </c>
      <c r="T23" s="36">
        <v>230.37779215363364</v>
      </c>
      <c r="U23" s="36">
        <v>237.99020308913876</v>
      </c>
      <c r="V23" s="36">
        <v>245.3694152709713</v>
      </c>
      <c r="W23" s="36">
        <v>253.78761345428606</v>
      </c>
      <c r="X23" s="36">
        <v>263.23358248496942</v>
      </c>
      <c r="Y23" s="36">
        <v>274.0317887557747</v>
      </c>
      <c r="Z23" s="36">
        <v>283.56552384740866</v>
      </c>
      <c r="AA23" s="36">
        <v>293.35792027883537</v>
      </c>
    </row>
    <row r="24" spans="1:53" x14ac:dyDescent="0.25">
      <c r="A24" s="32"/>
      <c r="B24" s="32" t="s">
        <v>686</v>
      </c>
      <c r="C24" s="35">
        <f>'Intermediate calculations'!M27/1000</f>
        <v>123</v>
      </c>
      <c r="D24" s="35">
        <f>'Intermediate calculations'!N27/1000</f>
        <v>106.9</v>
      </c>
      <c r="E24" s="35">
        <f>'Intermediate calculations'!O27/1000</f>
        <v>116.6</v>
      </c>
      <c r="F24" s="35">
        <f>'Intermediate calculations'!P27/1000</f>
        <v>135</v>
      </c>
      <c r="G24" s="35">
        <f>'Intermediate calculations'!Q27/1000</f>
        <v>156.80000000000001</v>
      </c>
      <c r="H24" s="35">
        <f>'Intermediate calculations'!R27/1000</f>
        <v>159.69999999999999</v>
      </c>
      <c r="I24" s="35">
        <f>'Intermediate calculations'!S27/1000</f>
        <v>171.4</v>
      </c>
      <c r="J24" s="35">
        <f>'Intermediate calculations'!T27/1000</f>
        <v>187.1</v>
      </c>
      <c r="K24" s="35">
        <f>'Intermediate calculations'!U27/1000</f>
        <v>181.7</v>
      </c>
      <c r="L24" s="35">
        <f>'Intermediate calculations'!V27/1000</f>
        <v>180.7</v>
      </c>
      <c r="M24" s="35">
        <f>'Intermediate calculations'!W27/1000</f>
        <v>191.9</v>
      </c>
      <c r="N24" s="35">
        <f>'Intermediate calculations'!X27/1000</f>
        <v>205.1</v>
      </c>
      <c r="O24" s="35">
        <f>'Intermediate calculations'!Y27/1000</f>
        <v>212.52491891853998</v>
      </c>
      <c r="P24" s="35">
        <f>'Intermediate calculations'!Z27/1000</f>
        <v>219.20082836926019</v>
      </c>
      <c r="Q24" s="35">
        <f>'Intermediate calculations'!AA27/1000</f>
        <v>224.11678162276255</v>
      </c>
      <c r="R24" s="35">
        <f>'Intermediate calculations'!AB27/1000</f>
        <v>227.19562021846298</v>
      </c>
      <c r="S24" s="35">
        <f>'Intermediate calculations'!AC27/1000</f>
        <v>228.71710538988103</v>
      </c>
      <c r="T24" s="35">
        <f>'Intermediate calculations'!AD27/1000</f>
        <v>231.51338728655116</v>
      </c>
      <c r="U24" s="35">
        <f>'Intermediate calculations'!AE27/1000</f>
        <v>233.79234659130194</v>
      </c>
      <c r="V24" s="35">
        <f>'Intermediate calculations'!AF27/1000</f>
        <v>235.58638028522256</v>
      </c>
      <c r="W24" s="35">
        <f>'Intermediate calculations'!AG27/1000</f>
        <v>209.22012710135479</v>
      </c>
      <c r="X24" s="35">
        <f>'Intermediate calculations'!AH27/1000</f>
        <v>215.33276236728705</v>
      </c>
      <c r="Y24" s="35">
        <f>'Intermediate calculations'!AI27/1000</f>
        <v>221.10238438795434</v>
      </c>
      <c r="Z24" s="35">
        <f>'Intermediate calculations'!AJ27/1000</f>
        <v>226.89436010436697</v>
      </c>
      <c r="AA24" s="35">
        <f>'Intermediate calculations'!AK27/1000</f>
        <v>232.39901557390775</v>
      </c>
      <c r="AB24" s="35">
        <f>'Intermediate calculations'!AL27/1000</f>
        <v>238.15103593479694</v>
      </c>
      <c r="AC24" s="35">
        <f>'Intermediate calculations'!AM27/1000</f>
        <v>245.04596768750389</v>
      </c>
      <c r="AD24" s="35">
        <f>'Intermediate calculations'!AN27/1000</f>
        <v>251.80829508595448</v>
      </c>
      <c r="AE24" s="35">
        <f>'Intermediate calculations'!AO27/1000</f>
        <v>258.88313832700226</v>
      </c>
      <c r="AF24" s="35">
        <f>'Intermediate calculations'!AP27/1000</f>
        <v>266.16610722639842</v>
      </c>
      <c r="AG24" s="35">
        <f>'Intermediate calculations'!AQ27/1000</f>
        <v>273.67413317395744</v>
      </c>
      <c r="AH24" s="35">
        <f>'Intermediate calculations'!AR27/1000</f>
        <v>282.81946277356985</v>
      </c>
      <c r="AI24" s="35">
        <f>'Intermediate calculations'!AS27/1000</f>
        <v>291.38606405512405</v>
      </c>
      <c r="AJ24" s="35">
        <f>'Intermediate calculations'!AT27/1000</f>
        <v>300.87477257760321</v>
      </c>
      <c r="AK24" s="35">
        <f>'Intermediate calculations'!AU27/1000</f>
        <v>310.93669858673445</v>
      </c>
      <c r="AL24" s="35">
        <f>'Intermediate calculations'!AV27/1000</f>
        <v>321.5769748577253</v>
      </c>
      <c r="AM24" s="35">
        <f>'Intermediate calculations'!AW27/1000</f>
        <v>332.35671535721758</v>
      </c>
      <c r="AN24" s="35">
        <f>'Intermediate calculations'!AX27/1000</f>
        <v>343.45370606542656</v>
      </c>
      <c r="AO24" s="35">
        <f>'Intermediate calculations'!AY27/1000</f>
        <v>354.55698314124743</v>
      </c>
      <c r="AP24" s="35">
        <f>'Intermediate calculations'!AZ27/1000</f>
        <v>365.95807349482703</v>
      </c>
      <c r="AQ24" s="35">
        <f>'Intermediate calculations'!BA27/1000</f>
        <v>377.89168163541842</v>
      </c>
      <c r="AR24" s="35">
        <f>'Intermediate calculations'!BB27/1000</f>
        <v>390.0928899819184</v>
      </c>
      <c r="AS24" s="35">
        <f>'Intermediate calculations'!BC27/1000</f>
        <v>402.63580088094761</v>
      </c>
      <c r="AT24" s="35">
        <f>'Intermediate calculations'!BD27/1000</f>
        <v>415.47157560256016</v>
      </c>
      <c r="AU24" s="35">
        <f>'Intermediate calculations'!BE27/1000</f>
        <v>428.65248493596295</v>
      </c>
      <c r="AV24" s="35">
        <f>'Intermediate calculations'!BF27/1000</f>
        <v>442.42692188259156</v>
      </c>
      <c r="AW24" s="35">
        <f>'Intermediate calculations'!BG27/1000</f>
        <v>456.63299365378111</v>
      </c>
      <c r="AX24" s="35">
        <f>'Intermediate calculations'!BH27/1000</f>
        <v>471.25075733709917</v>
      </c>
      <c r="AY24" s="35">
        <f>'Intermediate calculations'!BI27/1000</f>
        <v>485.77554640106661</v>
      </c>
      <c r="AZ24" s="35">
        <f>'Intermediate calculations'!BJ27/1000</f>
        <v>500.73536653136426</v>
      </c>
      <c r="BA24" s="35">
        <f>'Intermediate calculations'!BK27/1000</f>
        <v>516.15467489274749</v>
      </c>
    </row>
    <row r="25" spans="1:53" x14ac:dyDescent="0.25">
      <c r="A25" s="32"/>
      <c r="B25" s="32" t="s">
        <v>687</v>
      </c>
      <c r="C25" s="35">
        <f>'Intermediate calculations'!M24/1000</f>
        <v>131</v>
      </c>
      <c r="D25" s="35">
        <f>'Intermediate calculations'!N24/1000</f>
        <v>115</v>
      </c>
      <c r="E25" s="35">
        <f>'Intermediate calculations'!O24/1000</f>
        <v>123</v>
      </c>
      <c r="F25" s="35">
        <f>'Intermediate calculations'!P24/1000</f>
        <v>146</v>
      </c>
      <c r="G25" s="35">
        <f>'Intermediate calculations'!Q24/1000</f>
        <v>174</v>
      </c>
      <c r="H25" s="35">
        <f>'Intermediate calculations'!R24/1000</f>
        <v>182</v>
      </c>
      <c r="I25" s="35">
        <f>'Intermediate calculations'!S24/1000</f>
        <v>193</v>
      </c>
      <c r="J25" s="35">
        <f>'Intermediate calculations'!T24/1000</f>
        <v>206</v>
      </c>
      <c r="K25" s="35">
        <f>'Intermediate calculations'!U24/1000</f>
        <v>198</v>
      </c>
      <c r="L25" s="35">
        <f>'Intermediate calculations'!V24/1000</f>
        <v>199</v>
      </c>
      <c r="M25" s="35">
        <f>'Intermediate calculations'!W24/1000</f>
        <v>215</v>
      </c>
      <c r="N25" s="35">
        <f>'Intermediate calculations'!X24/1000</f>
        <v>231</v>
      </c>
      <c r="O25" s="35">
        <f>'Intermediate calculations'!Y24/1000</f>
        <v>235.48426170925083</v>
      </c>
      <c r="P25" s="35">
        <f>'Intermediate calculations'!Z24/1000</f>
        <v>243.35671212714325</v>
      </c>
      <c r="Q25" s="35">
        <f>'Intermediate calculations'!AA24/1000</f>
        <v>249.15376472807381</v>
      </c>
      <c r="R25" s="35">
        <f>'Intermediate calculations'!AB24/1000</f>
        <v>252.78443173580712</v>
      </c>
      <c r="S25" s="35">
        <f>'Intermediate calculations'!AC24/1000</f>
        <v>254.5786167321682</v>
      </c>
      <c r="T25" s="35">
        <f>'Intermediate calculations'!AD24/1000</f>
        <v>257.87608365386393</v>
      </c>
      <c r="U25" s="35">
        <f>'Intermediate calculations'!AE24/1000</f>
        <v>260.56350688263609</v>
      </c>
      <c r="V25" s="35">
        <f>'Intermediate calculations'!AF24/1000</f>
        <v>262.67908999646858</v>
      </c>
      <c r="W25" s="35">
        <f>'Intermediate calculations'!AG24/1000</f>
        <v>231.58714328451842</v>
      </c>
      <c r="X25" s="35">
        <f>'Intermediate calculations'!AH24/1000</f>
        <v>238.79536239068395</v>
      </c>
      <c r="Y25" s="35">
        <f>'Intermediate calculations'!AI24/1000</f>
        <v>245.59908907735783</v>
      </c>
      <c r="Z25" s="35">
        <f>'Intermediate calculations'!AJ24/1000</f>
        <v>252.42917597198704</v>
      </c>
      <c r="AA25" s="35">
        <f>'Intermediate calculations'!AK24/1000</f>
        <v>258.92044544941609</v>
      </c>
      <c r="AB25" s="35">
        <f>'Intermediate calculations'!AL24/1000</f>
        <v>265.70341568411908</v>
      </c>
      <c r="AC25" s="35">
        <f>'Intermediate calculations'!AM24/1000</f>
        <v>273.83414435241792</v>
      </c>
      <c r="AD25" s="35">
        <f>'Intermediate calculations'!AN24/1000</f>
        <v>281.80850163614565</v>
      </c>
      <c r="AE25" s="35">
        <f>'Intermediate calculations'!AO24/1000</f>
        <v>290.15138780628405</v>
      </c>
      <c r="AF25" s="35">
        <f>'Intermediate calculations'!AP24/1000</f>
        <v>298.73970254883398</v>
      </c>
      <c r="AG25" s="35">
        <f>'Intermediate calculations'!AQ24/1000</f>
        <v>307.59341191153845</v>
      </c>
      <c r="AH25" s="35">
        <f>'Intermediate calculations'!AR24/1000</f>
        <v>318.37788320487891</v>
      </c>
      <c r="AI25" s="35">
        <f>'Intermediate calculations'!AS24/1000</f>
        <v>328.47989916790459</v>
      </c>
      <c r="AJ25" s="35">
        <f>'Intermediate calculations'!AT24/1000</f>
        <v>339.66929409970533</v>
      </c>
      <c r="AK25" s="35">
        <f>'Intermediate calculations'!AU24/1000</f>
        <v>351.53464580947764</v>
      </c>
      <c r="AL25" s="35">
        <f>'Intermediate calculations'!AV24/1000</f>
        <v>364.08200703335052</v>
      </c>
      <c r="AM25" s="35">
        <f>'Intermediate calculations'!AW24/1000</f>
        <v>376.79382902950476</v>
      </c>
      <c r="AN25" s="35">
        <f>'Intermediate calculations'!AX24/1000</f>
        <v>389.87976283119286</v>
      </c>
      <c r="AO25" s="35">
        <f>'Intermediate calculations'!AY24/1000</f>
        <v>402.97310972284242</v>
      </c>
      <c r="AP25" s="35">
        <f>'Intermediate calculations'!AZ24/1000</f>
        <v>416.41764775635085</v>
      </c>
      <c r="AQ25" s="35">
        <f>'Intermediate calculations'!BA24/1000</f>
        <v>430.49014815301638</v>
      </c>
      <c r="AR25" s="35">
        <f>'Intermediate calculations'!BB24/1000</f>
        <v>444.87821145064459</v>
      </c>
      <c r="AS25" s="35">
        <f>'Intermediate calculations'!BC24/1000</f>
        <v>459.66922155609132</v>
      </c>
      <c r="AT25" s="35">
        <f>'Intermediate calculations'!BD24/1000</f>
        <v>474.80558624423588</v>
      </c>
      <c r="AU25" s="35">
        <f>'Intermediate calculations'!BE24/1000</f>
        <v>490.34894493654923</v>
      </c>
      <c r="AV25" s="35">
        <f>'Intermediate calculations'!BF24/1000</f>
        <v>506.59221077129189</v>
      </c>
      <c r="AW25" s="35">
        <f>'Intermediate calculations'!BG24/1000</f>
        <v>523.3444744856605</v>
      </c>
      <c r="AX25" s="35">
        <f>'Intermediate calculations'!BH24/1000</f>
        <v>540.58221874610354</v>
      </c>
      <c r="AY25" s="35">
        <f>'Intermediate calculations'!BI24/1000</f>
        <v>557.71032429943659</v>
      </c>
      <c r="AZ25" s="35">
        <f>'Intermediate calculations'!BJ24/1000</f>
        <v>575.35143269159016</v>
      </c>
      <c r="BA25" s="35">
        <f>'Intermediate calculations'!BK24/1000</f>
        <v>593.53438460986229</v>
      </c>
    </row>
    <row r="26" spans="1:53" x14ac:dyDescent="0.25">
      <c r="A26" s="32"/>
      <c r="B26" s="32"/>
      <c r="C26" s="35"/>
      <c r="D26" s="35"/>
      <c r="E26" s="35"/>
      <c r="F26" s="35"/>
      <c r="G26" s="35"/>
      <c r="H26" s="35"/>
      <c r="I26" s="35"/>
      <c r="J26" s="35"/>
      <c r="K26" s="35"/>
      <c r="L26" s="35"/>
      <c r="M26" s="35"/>
      <c r="N26" s="35"/>
      <c r="O26" s="35"/>
      <c r="P26" s="35"/>
      <c r="Q26" s="35"/>
      <c r="R26" s="36"/>
      <c r="S26" s="36"/>
      <c r="T26" s="36"/>
      <c r="U26" s="36"/>
      <c r="V26" s="36"/>
      <c r="W26" s="36"/>
      <c r="X26" s="36"/>
      <c r="Y26" s="36"/>
      <c r="Z26" s="36"/>
      <c r="AA26" s="36"/>
    </row>
    <row r="27" spans="1:53" x14ac:dyDescent="0.25">
      <c r="A27" s="31"/>
      <c r="B27" s="32"/>
      <c r="C27" s="33">
        <v>2000</v>
      </c>
      <c r="D27" s="33">
        <v>2001</v>
      </c>
      <c r="E27" s="33">
        <v>2002</v>
      </c>
      <c r="F27" s="33">
        <v>2003</v>
      </c>
      <c r="G27" s="33">
        <v>2004</v>
      </c>
      <c r="H27" s="33">
        <v>2005</v>
      </c>
      <c r="I27" s="33">
        <v>2006</v>
      </c>
      <c r="J27" s="33">
        <v>2007</v>
      </c>
      <c r="K27" s="33">
        <v>2008</v>
      </c>
      <c r="L27" s="33">
        <v>2009</v>
      </c>
      <c r="M27" s="33">
        <v>2010</v>
      </c>
      <c r="N27" s="33">
        <v>2011</v>
      </c>
      <c r="O27" s="33">
        <v>2012</v>
      </c>
      <c r="P27" s="33">
        <v>2013</v>
      </c>
      <c r="Q27" s="33">
        <v>2014</v>
      </c>
      <c r="R27" s="34">
        <v>2015</v>
      </c>
      <c r="S27" s="34">
        <v>2016</v>
      </c>
      <c r="T27" s="34">
        <v>2017</v>
      </c>
      <c r="U27" s="34">
        <v>2018</v>
      </c>
      <c r="V27" s="34">
        <v>2019</v>
      </c>
      <c r="W27" s="34">
        <v>2020</v>
      </c>
      <c r="X27" s="34">
        <v>2021</v>
      </c>
      <c r="Y27" s="34">
        <v>2022</v>
      </c>
      <c r="Z27" s="34">
        <v>2023</v>
      </c>
      <c r="AA27" s="34">
        <v>2024</v>
      </c>
      <c r="AB27" s="34">
        <v>2025</v>
      </c>
      <c r="AC27" s="34">
        <v>2026</v>
      </c>
      <c r="AD27" s="34">
        <v>2027</v>
      </c>
      <c r="AE27" s="34">
        <v>2028</v>
      </c>
      <c r="AF27" s="34">
        <v>2029</v>
      </c>
      <c r="AG27" s="34">
        <v>2030</v>
      </c>
      <c r="AH27" s="34">
        <v>2031</v>
      </c>
      <c r="AI27" s="34">
        <v>2032</v>
      </c>
      <c r="AJ27" s="34">
        <v>2033</v>
      </c>
      <c r="AK27" s="34">
        <v>2034</v>
      </c>
      <c r="AL27" s="34">
        <v>2035</v>
      </c>
      <c r="AM27" s="34">
        <v>2036</v>
      </c>
      <c r="AN27" s="34">
        <v>2037</v>
      </c>
      <c r="AO27" s="34">
        <v>2038</v>
      </c>
      <c r="AP27" s="34">
        <v>2039</v>
      </c>
      <c r="AQ27" s="34">
        <v>2040</v>
      </c>
      <c r="AR27" s="34">
        <v>2041</v>
      </c>
      <c r="AS27" s="34">
        <v>2042</v>
      </c>
      <c r="AT27" s="34">
        <v>2043</v>
      </c>
      <c r="AU27" s="34">
        <v>2044</v>
      </c>
      <c r="AV27" s="34">
        <v>2045</v>
      </c>
      <c r="AW27" s="34">
        <v>2046</v>
      </c>
      <c r="AX27" s="34">
        <v>2047</v>
      </c>
      <c r="AY27" s="34">
        <v>2048</v>
      </c>
      <c r="AZ27" s="34">
        <v>2049</v>
      </c>
      <c r="BA27" s="34">
        <v>2050</v>
      </c>
    </row>
    <row r="28" spans="1:53" x14ac:dyDescent="0.25">
      <c r="A28" s="32"/>
      <c r="B28" s="32" t="s">
        <v>688</v>
      </c>
      <c r="C28" s="40">
        <v>2024.0540449999999</v>
      </c>
      <c r="D28" s="40">
        <v>2024.0540449999999</v>
      </c>
      <c r="E28" s="40">
        <v>2024.0540449999999</v>
      </c>
      <c r="F28" s="40">
        <v>2113.8015639999999</v>
      </c>
      <c r="G28" s="40">
        <v>2290.0087429999999</v>
      </c>
      <c r="H28" s="40">
        <v>2393.5830030000002</v>
      </c>
      <c r="I28" s="40">
        <v>2495.02</v>
      </c>
      <c r="J28" s="40">
        <v>2546.5700000000002</v>
      </c>
      <c r="K28" s="40">
        <v>2673.6727109999997</v>
      </c>
      <c r="L28" s="40">
        <v>2586.3408249999998</v>
      </c>
      <c r="M28" s="40">
        <v>2706.3017989999998</v>
      </c>
      <c r="N28" s="40">
        <v>2720.4017549999999</v>
      </c>
      <c r="O28" s="40">
        <v>2842.8103229999997</v>
      </c>
      <c r="P28" s="40">
        <v>2904.1207999999997</v>
      </c>
      <c r="Q28" s="40">
        <v>2969.867827</v>
      </c>
      <c r="R28" s="41">
        <v>3150</v>
      </c>
      <c r="S28" s="41">
        <v>3100</v>
      </c>
      <c r="T28" s="41">
        <v>3200</v>
      </c>
      <c r="U28" s="41">
        <v>3400</v>
      </c>
      <c r="V28" s="41">
        <v>3250</v>
      </c>
      <c r="W28" s="41">
        <v>3300</v>
      </c>
      <c r="X28" s="41">
        <v>3400</v>
      </c>
      <c r="Y28" s="41">
        <v>3500</v>
      </c>
      <c r="Z28" s="41">
        <f>Y28+50</f>
        <v>3550</v>
      </c>
      <c r="AA28" s="41">
        <f t="shared" ref="AA28:AE28" si="1">Z28+50</f>
        <v>3600</v>
      </c>
      <c r="AB28" s="41">
        <f t="shared" si="1"/>
        <v>3650</v>
      </c>
      <c r="AC28" s="41">
        <f t="shared" si="1"/>
        <v>3700</v>
      </c>
      <c r="AD28" s="41">
        <f t="shared" si="1"/>
        <v>3750</v>
      </c>
      <c r="AE28" s="41">
        <f t="shared" si="1"/>
        <v>3800</v>
      </c>
    </row>
    <row r="29" spans="1:53" x14ac:dyDescent="0.25">
      <c r="A29" s="32"/>
      <c r="B29" s="32" t="s">
        <v>689</v>
      </c>
      <c r="C29" s="40">
        <v>1273.2</v>
      </c>
      <c r="D29" s="40">
        <v>1273.2</v>
      </c>
      <c r="E29" s="40">
        <v>1273.2</v>
      </c>
      <c r="F29" s="40">
        <v>1259</v>
      </c>
      <c r="G29" s="40">
        <v>1347</v>
      </c>
      <c r="H29" s="40">
        <v>1396.6</v>
      </c>
      <c r="I29" s="40">
        <v>1442.9</v>
      </c>
      <c r="J29" s="40">
        <v>1402.61000533527</v>
      </c>
      <c r="K29" s="40">
        <v>1458.4151718048199</v>
      </c>
      <c r="L29" s="40">
        <v>1493.2</v>
      </c>
      <c r="M29" s="40">
        <v>1545.3558772633801</v>
      </c>
      <c r="N29" s="40">
        <v>1571</v>
      </c>
      <c r="O29" s="40">
        <v>1661.1</v>
      </c>
      <c r="P29" s="40">
        <v>1681.39</v>
      </c>
      <c r="Q29" s="40">
        <v>1722.5233396599999</v>
      </c>
      <c r="R29" s="41">
        <v>1775.8304373666449</v>
      </c>
      <c r="S29" s="41">
        <v>1820.2326820256628</v>
      </c>
      <c r="T29" s="41">
        <v>1859.0411448844859</v>
      </c>
      <c r="U29" s="41">
        <v>1893.2454556799651</v>
      </c>
      <c r="V29" s="41">
        <v>1928.6136766918191</v>
      </c>
      <c r="W29" s="41">
        <v>1965.2479914611308</v>
      </c>
      <c r="X29" s="41">
        <v>2003.0736716496317</v>
      </c>
      <c r="Y29" s="41">
        <v>2044.3832164581972</v>
      </c>
      <c r="Z29" s="41">
        <v>2085.024175882957</v>
      </c>
      <c r="AA29" s="41">
        <v>2123.3681095603265</v>
      </c>
    </row>
    <row r="30" spans="1:53" x14ac:dyDescent="0.25">
      <c r="A30" s="32"/>
      <c r="B30" s="32" t="s">
        <v>690</v>
      </c>
      <c r="C30" s="40">
        <v>866.94927349604279</v>
      </c>
      <c r="D30" s="40">
        <v>866.94927349604279</v>
      </c>
      <c r="E30" s="40">
        <v>866.94927349604279</v>
      </c>
      <c r="F30" s="40">
        <v>846.1138215167158</v>
      </c>
      <c r="G30" s="40">
        <v>935.18533488170215</v>
      </c>
      <c r="H30" s="40">
        <v>990.02288429185</v>
      </c>
      <c r="I30" s="40">
        <v>1044.5425069013627</v>
      </c>
      <c r="J30" s="40">
        <v>1150.5392931285598</v>
      </c>
      <c r="K30" s="40">
        <v>1208.3756288442755</v>
      </c>
      <c r="L30" s="40">
        <v>1092.2210617160124</v>
      </c>
      <c r="M30" s="40">
        <v>1154.6007305262117</v>
      </c>
      <c r="N30" s="40">
        <v>1140</v>
      </c>
      <c r="O30" s="40">
        <v>1171</v>
      </c>
      <c r="P30" s="40">
        <v>1200</v>
      </c>
      <c r="Q30" s="40">
        <v>1223.1384873399998</v>
      </c>
      <c r="R30" s="41">
        <v>1297.1574685139426</v>
      </c>
      <c r="S30" s="41">
        <v>1339.9486902058916</v>
      </c>
      <c r="T30" s="41">
        <v>1382.183609812364</v>
      </c>
      <c r="U30" s="41">
        <v>1416.4086784270767</v>
      </c>
      <c r="V30" s="41">
        <v>1452.170708036087</v>
      </c>
      <c r="W30" s="41">
        <v>1490.0278167036406</v>
      </c>
      <c r="X30" s="41">
        <v>1529.1035404245388</v>
      </c>
      <c r="Y30" s="41">
        <v>1572.8770953399192</v>
      </c>
      <c r="Z30" s="41">
        <v>1615.0807207181326</v>
      </c>
      <c r="AA30" s="41">
        <v>1653.5952554033502</v>
      </c>
    </row>
    <row r="31" spans="1:53" x14ac:dyDescent="0.25">
      <c r="A31" s="32"/>
      <c r="B31" s="32" t="s">
        <v>691</v>
      </c>
      <c r="C31" s="40">
        <f>'Intermediate calculations'!M13/1000</f>
        <v>2370</v>
      </c>
      <c r="D31" s="40">
        <f>'Intermediate calculations'!N13/1000</f>
        <v>2358</v>
      </c>
      <c r="E31" s="40">
        <f>'Intermediate calculations'!O13/1000</f>
        <v>2457</v>
      </c>
      <c r="F31" s="40">
        <f>'Intermediate calculations'!P13/1000</f>
        <v>2354</v>
      </c>
      <c r="G31" s="40">
        <f>'Intermediate calculations'!Q13/1000</f>
        <v>2505</v>
      </c>
      <c r="H31" s="40">
        <f>'Intermediate calculations'!R13/1000</f>
        <v>2657</v>
      </c>
      <c r="I31" s="40">
        <f>'Intermediate calculations'!S13/1000</f>
        <v>2513</v>
      </c>
      <c r="J31" s="40">
        <f>'Intermediate calculations'!T13/1000</f>
        <v>2559</v>
      </c>
      <c r="K31" s="40">
        <f>'Intermediate calculations'!U13/1000</f>
        <v>2625</v>
      </c>
      <c r="L31" s="40">
        <f>'Intermediate calculations'!V13/1000</f>
        <v>2587</v>
      </c>
      <c r="M31" s="40">
        <f>'Intermediate calculations'!W13/1000</f>
        <v>2711</v>
      </c>
      <c r="N31" s="40">
        <f>'Intermediate calculations'!X13/1000</f>
        <v>2720</v>
      </c>
      <c r="O31" s="40">
        <f>'Intermediate calculations'!Y13/1000</f>
        <v>2896.2221996302678</v>
      </c>
      <c r="P31" s="40">
        <f>'Intermediate calculations'!Z13/1000</f>
        <v>2953.7695703744453</v>
      </c>
      <c r="Q31" s="40">
        <f>'Intermediate calculations'!AA13/1000</f>
        <v>2997.6938820025966</v>
      </c>
      <c r="R31" s="40">
        <f>'Intermediate calculations'!AB13/1000</f>
        <v>3027.3960923586378</v>
      </c>
      <c r="S31" s="40">
        <f>'Intermediate calculations'!AC13/1000</f>
        <v>3045.5174156589005</v>
      </c>
      <c r="T31" s="40">
        <f>'Intermediate calculations'!AD13/1000</f>
        <v>3073.5437292344841</v>
      </c>
      <c r="U31" s="40">
        <f>'Intermediate calculations'!AE13/1000</f>
        <v>3097.550519429858</v>
      </c>
      <c r="V31" s="40">
        <f>'Intermediate calculations'!AF13/1000</f>
        <v>3117.7895062065572</v>
      </c>
      <c r="W31" s="40">
        <f>'Intermediate calculations'!AG13/1000</f>
        <v>2919.2270463293512</v>
      </c>
      <c r="X31" s="40">
        <f>'Intermediate calculations'!AH13/1000</f>
        <v>2973.1066809080698</v>
      </c>
      <c r="Y31" s="40">
        <f>'Intermediate calculations'!AI13/1000</f>
        <v>3024.3211509616513</v>
      </c>
      <c r="Z31" s="40">
        <f>'Intermediate calculations'!AJ13/1000</f>
        <v>3075.709306069944</v>
      </c>
      <c r="AA31" s="40">
        <f>'Intermediate calculations'!AK13/1000</f>
        <v>3124.8650234924526</v>
      </c>
      <c r="AB31" s="40">
        <f>'Intermediate calculations'!AL13/1000</f>
        <v>3175.9427312566163</v>
      </c>
      <c r="AC31" s="40">
        <f>'Intermediate calculations'!AM13/1000</f>
        <v>3236.4331882823781</v>
      </c>
      <c r="AD31" s="40">
        <f>'Intermediate calculations'!AN13/1000</f>
        <v>3295.893328228281</v>
      </c>
      <c r="AE31" s="40">
        <f>'Intermediate calculations'!AO13/1000</f>
        <v>3357.7816720756318</v>
      </c>
      <c r="AF31" s="40">
        <f>'Intermediate calculations'!AP13/1000</f>
        <v>3421.28712285552</v>
      </c>
      <c r="AG31" s="40">
        <f>'Intermediate calculations'!AQ13/1000</f>
        <v>3486.5412350723977</v>
      </c>
      <c r="AH31" s="40">
        <f>'Intermediate calculations'!AR13/1000</f>
        <v>3564.282104449047</v>
      </c>
      <c r="AI31" s="40">
        <f>'Intermediate calculations'!AS13/1000</f>
        <v>3637.5263365194342</v>
      </c>
      <c r="AJ31" s="40">
        <f>'Intermediate calculations'!AT13/1000</f>
        <v>3717.9352115666102</v>
      </c>
      <c r="AK31" s="40">
        <f>'Intermediate calculations'!AU13/1000</f>
        <v>3802.7979053036356</v>
      </c>
      <c r="AL31" s="40">
        <f>'Intermediate calculations'!AV13/1000</f>
        <v>3892.1542987858597</v>
      </c>
      <c r="AM31" s="40">
        <f>'Intermediate calculations'!AW13/1000</f>
        <v>3982.8570478069882</v>
      </c>
      <c r="AN31" s="40">
        <f>'Intermediate calculations'!AX13/1000</f>
        <v>4076.0247860847803</v>
      </c>
      <c r="AO31" s="40">
        <f>'Intermediate calculations'!AY13/1000</f>
        <v>4169.2413684320427</v>
      </c>
      <c r="AP31" s="40">
        <f>'Intermediate calculations'!AZ13/1000</f>
        <v>4264.771917949035</v>
      </c>
      <c r="AQ31" s="40">
        <f>'Intermediate calculations'!BA13/1000</f>
        <v>4364.4400553632277</v>
      </c>
      <c r="AR31" s="40">
        <f>'Intermediate calculations'!BB13/1000</f>
        <v>4467.1704205567112</v>
      </c>
      <c r="AS31" s="40">
        <f>'Intermediate calculations'!BC13/1000</f>
        <v>4572.5557661424091</v>
      </c>
      <c r="AT31" s="40">
        <f>'Intermediate calculations'!BD13/1000</f>
        <v>4680.2166223310669</v>
      </c>
      <c r="AU31" s="40">
        <f>'Intermediate calculations'!BE13/1000</f>
        <v>4790.5591256449088</v>
      </c>
      <c r="AV31" s="40">
        <f>'Intermediate calculations'!BF13/1000</f>
        <v>4905.5132545776996</v>
      </c>
      <c r="AW31" s="40">
        <f>'Intermediate calculations'!BG13/1000</f>
        <v>5023.5412882357705</v>
      </c>
      <c r="AX31" s="40">
        <f>'Intermediate calculations'!BH13/1000</f>
        <v>5144.7681098302101</v>
      </c>
      <c r="AY31" s="40">
        <f>'Intermediate calculations'!BI13/1000</f>
        <v>5265.272531898494</v>
      </c>
      <c r="AZ31" s="40">
        <f>'Intermediate calculations'!BJ13/1000</f>
        <v>5389.1570837128429</v>
      </c>
      <c r="BA31" s="40">
        <f>'Intermediate calculations'!BK13/1000</f>
        <v>5516.6117941025732</v>
      </c>
    </row>
    <row r="32" spans="1:53" x14ac:dyDescent="0.25">
      <c r="A32" s="32"/>
      <c r="B32" s="32" t="s">
        <v>692</v>
      </c>
      <c r="C32" s="40">
        <f>'Intermediate calculations'!M10/1000</f>
        <v>1284</v>
      </c>
      <c r="D32" s="40">
        <f>'Intermediate calculations'!N10/1000</f>
        <v>1575</v>
      </c>
      <c r="E32" s="40">
        <f>'Intermediate calculations'!O10/1000</f>
        <v>1611</v>
      </c>
      <c r="F32" s="40">
        <f>'Intermediate calculations'!P10/1000</f>
        <v>1528</v>
      </c>
      <c r="G32" s="40">
        <f>'Intermediate calculations'!Q10/1000</f>
        <v>1626</v>
      </c>
      <c r="H32" s="40">
        <f>'Intermediate calculations'!R10/1000</f>
        <v>1835</v>
      </c>
      <c r="I32" s="40">
        <f>'Intermediate calculations'!S10/1000</f>
        <v>1697</v>
      </c>
      <c r="J32" s="40">
        <f>'Intermediate calculations'!T10/1000</f>
        <v>1799</v>
      </c>
      <c r="K32" s="40">
        <f>'Intermediate calculations'!U10/1000</f>
        <v>1819</v>
      </c>
      <c r="L32" s="40">
        <f>'Intermediate calculations'!V10/1000</f>
        <v>1788</v>
      </c>
      <c r="M32" s="40">
        <f>'Intermediate calculations'!W10/1000</f>
        <v>1868</v>
      </c>
      <c r="N32" s="40">
        <f>'Intermediate calculations'!X10/1000</f>
        <v>1852</v>
      </c>
      <c r="O32" s="40">
        <f>'Intermediate calculations'!Y10/1000</f>
        <v>1989.3390036995681</v>
      </c>
      <c r="P32" s="40">
        <f>'Intermediate calculations'!Z10/1000</f>
        <v>2041.9343898660559</v>
      </c>
      <c r="Q32" s="40">
        <f>'Intermediate calculations'!AA10/1000</f>
        <v>2082.0789890424412</v>
      </c>
      <c r="R32" s="40">
        <f>'Intermediate calculations'!AB10/1000</f>
        <v>2109.2253069970684</v>
      </c>
      <c r="S32" s="40">
        <f>'Intermediate calculations'!AC10/1000</f>
        <v>2125.7872799334518</v>
      </c>
      <c r="T32" s="40">
        <f>'Intermediate calculations'!AD10/1000</f>
        <v>2151.4019129960766</v>
      </c>
      <c r="U32" s="40">
        <f>'Intermediate calculations'!AE10/1000</f>
        <v>2173.3429049930269</v>
      </c>
      <c r="V32" s="40">
        <f>'Intermediate calculations'!AF10/1000</f>
        <v>2191.8403152373808</v>
      </c>
      <c r="W32" s="40">
        <f>'Intermediate calculations'!AG10/1000</f>
        <v>2010.3642700183</v>
      </c>
      <c r="X32" s="40">
        <f>'Intermediate calculations'!AH10/1000</f>
        <v>2059.6075308403201</v>
      </c>
      <c r="Y32" s="40">
        <f>'Intermediate calculations'!AI10/1000</f>
        <v>2106.414966087963</v>
      </c>
      <c r="Z32" s="40">
        <f>'Intermediate calculations'!AJ10/1000</f>
        <v>2153.3811406907794</v>
      </c>
      <c r="AA32" s="40">
        <f>'Intermediate calculations'!AK10/1000</f>
        <v>2198.3069801634579</v>
      </c>
      <c r="AB32" s="40">
        <f>'Intermediate calculations'!AL10/1000</f>
        <v>2244.9894215958848</v>
      </c>
      <c r="AC32" s="40">
        <f>'Intermediate calculations'!AM10/1000</f>
        <v>2300.2746397651135</v>
      </c>
      <c r="AD32" s="40">
        <f>'Intermediate calculations'!AN10/1000</f>
        <v>2354.6182002358519</v>
      </c>
      <c r="AE32" s="40">
        <f>'Intermediate calculations'!AO10/1000</f>
        <v>2411.1810162561683</v>
      </c>
      <c r="AF32" s="40">
        <f>'Intermediate calculations'!AP10/1000</f>
        <v>2469.2217862210259</v>
      </c>
      <c r="AG32" s="40">
        <f>'Intermediate calculations'!AQ10/1000</f>
        <v>2528.8607442935854</v>
      </c>
      <c r="AH32" s="40">
        <f>'Intermediate calculations'!AR10/1000</f>
        <v>2599.9119668413528</v>
      </c>
      <c r="AI32" s="40">
        <f>'Intermediate calculations'!AS10/1000</f>
        <v>2666.8534903270229</v>
      </c>
      <c r="AJ32" s="40">
        <f>'Intermediate calculations'!AT10/1000</f>
        <v>2740.3431351123509</v>
      </c>
      <c r="AK32" s="40">
        <f>'Intermediate calculations'!AU10/1000</f>
        <v>2817.9033449101012</v>
      </c>
      <c r="AL32" s="40">
        <f>'Intermediate calculations'!AV10/1000</f>
        <v>2899.570568987715</v>
      </c>
      <c r="AM32" s="40">
        <f>'Intermediate calculations'!AW10/1000</f>
        <v>2982.4682939304485</v>
      </c>
      <c r="AN32" s="40">
        <f>'Intermediate calculations'!AX10/1000</f>
        <v>3067.618894376858</v>
      </c>
      <c r="AO32" s="40">
        <f>'Intermediate calculations'!AY10/1000</f>
        <v>3152.8141358322741</v>
      </c>
      <c r="AP32" s="40">
        <f>'Intermediate calculations'!AZ10/1000</f>
        <v>3240.1242262424676</v>
      </c>
      <c r="AQ32" s="40">
        <f>'Intermediate calculations'!BA10/1000</f>
        <v>3331.2158627152685</v>
      </c>
      <c r="AR32" s="40">
        <f>'Intermediate calculations'!BB10/1000</f>
        <v>3425.1062204936443</v>
      </c>
      <c r="AS32" s="40">
        <f>'Intermediate calculations'!BC10/1000</f>
        <v>3521.4230960640107</v>
      </c>
      <c r="AT32" s="40">
        <f>'Intermediate calculations'!BD10/1000</f>
        <v>3619.819673232224</v>
      </c>
      <c r="AU32" s="40">
        <f>'Intermediate calculations'!BE10/1000</f>
        <v>3720.6671402375823</v>
      </c>
      <c r="AV32" s="40">
        <f>'Intermediate calculations'!BF10/1000</f>
        <v>3825.729399806829</v>
      </c>
      <c r="AW32" s="40">
        <f>'Intermediate calculations'!BG10/1000</f>
        <v>3933.6010528196762</v>
      </c>
      <c r="AX32" s="40">
        <f>'Intermediate calculations'!BH10/1000</f>
        <v>4044.396236214578</v>
      </c>
      <c r="AY32" s="40">
        <f>'Intermediate calculations'!BI10/1000</f>
        <v>4154.5311829808852</v>
      </c>
      <c r="AZ32" s="40">
        <f>'Intermediate calculations'!BJ10/1000</f>
        <v>4267.7553973712065</v>
      </c>
      <c r="BA32" s="40">
        <f>'Intermediate calculations'!BK10/1000</f>
        <v>4384.2425561240507</v>
      </c>
    </row>
    <row r="33" spans="1:53" x14ac:dyDescent="0.25">
      <c r="A33" s="32"/>
      <c r="B33" s="32"/>
      <c r="C33" s="40"/>
      <c r="D33" s="40"/>
      <c r="E33" s="40"/>
      <c r="F33" s="40"/>
      <c r="G33" s="40"/>
      <c r="H33" s="40"/>
      <c r="I33" s="40"/>
      <c r="J33" s="40"/>
      <c r="K33" s="40"/>
      <c r="L33" s="40"/>
      <c r="M33" s="40"/>
      <c r="N33" s="40"/>
      <c r="O33" s="40"/>
      <c r="P33" s="40"/>
      <c r="Q33" s="40"/>
      <c r="R33" s="41"/>
      <c r="S33" s="41"/>
      <c r="T33" s="41"/>
      <c r="U33" s="41"/>
      <c r="V33" s="41"/>
      <c r="W33" s="41"/>
      <c r="X33" s="41"/>
      <c r="Y33" s="41"/>
      <c r="Z33" s="41"/>
      <c r="AA33" s="41"/>
    </row>
    <row r="34" spans="1:53" x14ac:dyDescent="0.25">
      <c r="A34" s="31"/>
      <c r="B34" s="32"/>
      <c r="C34" s="33">
        <v>2000</v>
      </c>
      <c r="D34" s="33">
        <v>2001</v>
      </c>
      <c r="E34" s="33">
        <v>2002</v>
      </c>
      <c r="F34" s="33">
        <v>2003</v>
      </c>
      <c r="G34" s="33">
        <v>2004</v>
      </c>
      <c r="H34" s="33">
        <v>2005</v>
      </c>
      <c r="I34" s="33">
        <v>2006</v>
      </c>
      <c r="J34" s="33">
        <v>2007</v>
      </c>
      <c r="K34" s="33">
        <v>2008</v>
      </c>
      <c r="L34" s="33">
        <v>2009</v>
      </c>
      <c r="M34" s="33">
        <v>2010</v>
      </c>
      <c r="N34" s="33">
        <v>2011</v>
      </c>
      <c r="O34" s="33">
        <v>2012</v>
      </c>
      <c r="P34" s="33">
        <v>2013</v>
      </c>
      <c r="Q34" s="33">
        <v>2014</v>
      </c>
      <c r="R34" s="34">
        <v>2015</v>
      </c>
      <c r="S34" s="34">
        <v>2016</v>
      </c>
      <c r="T34" s="34">
        <v>2017</v>
      </c>
      <c r="U34" s="34">
        <v>2018</v>
      </c>
      <c r="V34" s="34">
        <v>2019</v>
      </c>
      <c r="W34" s="34">
        <v>2020</v>
      </c>
      <c r="X34" s="34">
        <v>2021</v>
      </c>
      <c r="Y34" s="34">
        <v>2022</v>
      </c>
      <c r="Z34" s="34">
        <v>2023</v>
      </c>
      <c r="AA34" s="34">
        <v>2024</v>
      </c>
      <c r="AB34" s="34">
        <v>2025</v>
      </c>
      <c r="AC34" s="34">
        <v>2026</v>
      </c>
      <c r="AD34" s="34">
        <v>2027</v>
      </c>
      <c r="AE34" s="34">
        <v>2028</v>
      </c>
      <c r="AF34" s="34">
        <v>2029</v>
      </c>
      <c r="AG34" s="34">
        <v>2030</v>
      </c>
      <c r="AH34" s="34">
        <v>2031</v>
      </c>
      <c r="AI34" s="34">
        <v>2032</v>
      </c>
      <c r="AJ34" s="34">
        <v>2033</v>
      </c>
      <c r="AK34" s="34">
        <v>2034</v>
      </c>
      <c r="AL34" s="34">
        <v>2035</v>
      </c>
      <c r="AM34" s="34">
        <v>2036</v>
      </c>
      <c r="AN34" s="34">
        <v>2037</v>
      </c>
      <c r="AO34" s="34">
        <v>2038</v>
      </c>
      <c r="AP34" s="34">
        <v>2039</v>
      </c>
      <c r="AQ34" s="34">
        <v>2040</v>
      </c>
      <c r="AR34" s="34">
        <v>2041</v>
      </c>
      <c r="AS34" s="34">
        <v>2042</v>
      </c>
      <c r="AT34" s="34">
        <v>2043</v>
      </c>
      <c r="AU34" s="34">
        <v>2044</v>
      </c>
      <c r="AV34" s="34">
        <v>2045</v>
      </c>
      <c r="AW34" s="34">
        <v>2046</v>
      </c>
      <c r="AX34" s="34">
        <v>2047</v>
      </c>
      <c r="AY34" s="34">
        <v>2048</v>
      </c>
      <c r="AZ34" s="34">
        <v>2049</v>
      </c>
      <c r="BA34" s="34">
        <v>2050</v>
      </c>
    </row>
    <row r="35" spans="1:53" x14ac:dyDescent="0.25">
      <c r="A35" s="37"/>
      <c r="B35" s="37" t="s">
        <v>693</v>
      </c>
      <c r="C35" s="38">
        <v>114.36</v>
      </c>
      <c r="D35" s="38">
        <v>114.36</v>
      </c>
      <c r="E35" s="38">
        <v>114.36</v>
      </c>
      <c r="F35" s="38">
        <v>94.948778000000004</v>
      </c>
      <c r="G35" s="38">
        <v>97.52034399999998</v>
      </c>
      <c r="H35" s="38">
        <v>102.166586</v>
      </c>
      <c r="I35" s="38">
        <v>115.84967</v>
      </c>
      <c r="J35" s="38">
        <v>110.621706</v>
      </c>
      <c r="K35" s="38">
        <v>115.99826544161907</v>
      </c>
      <c r="L35" s="38">
        <v>120.63819605928383</v>
      </c>
      <c r="M35" s="38">
        <v>125.46372390165519</v>
      </c>
      <c r="N35" s="38">
        <v>91.588518448208291</v>
      </c>
      <c r="O35" s="38">
        <v>98.915599924064963</v>
      </c>
      <c r="P35" s="38">
        <v>115.10460982337811</v>
      </c>
      <c r="Q35" s="38">
        <v>118.08101882391567</v>
      </c>
      <c r="R35" s="39">
        <v>120</v>
      </c>
      <c r="S35" s="39">
        <v>125</v>
      </c>
      <c r="T35" s="39">
        <v>135</v>
      </c>
      <c r="U35" s="39">
        <v>115</v>
      </c>
      <c r="V35" s="39">
        <v>108</v>
      </c>
      <c r="W35" s="39">
        <v>113</v>
      </c>
      <c r="X35" s="39">
        <v>116</v>
      </c>
      <c r="Y35" s="39">
        <v>119</v>
      </c>
      <c r="Z35" s="39">
        <v>121</v>
      </c>
      <c r="AA35" s="39">
        <v>124</v>
      </c>
      <c r="AB35" s="39">
        <v>127</v>
      </c>
      <c r="AC35" s="39">
        <v>129</v>
      </c>
      <c r="AD35" s="39">
        <v>131</v>
      </c>
      <c r="AE35" s="39">
        <v>133</v>
      </c>
    </row>
    <row r="36" spans="1:53" x14ac:dyDescent="0.25">
      <c r="A36" s="37"/>
      <c r="B36" s="37" t="s">
        <v>694</v>
      </c>
      <c r="C36" s="38">
        <v>147.50101899999999</v>
      </c>
      <c r="D36" s="38">
        <v>147.50101899999999</v>
      </c>
      <c r="E36" s="38">
        <v>147.50101899999999</v>
      </c>
      <c r="F36" s="38">
        <v>156</v>
      </c>
      <c r="G36" s="38">
        <v>163</v>
      </c>
      <c r="H36" s="38">
        <v>150</v>
      </c>
      <c r="I36" s="38">
        <v>177</v>
      </c>
      <c r="J36" s="38">
        <v>165.63170600000001</v>
      </c>
      <c r="K36" s="38">
        <v>153.94826544161907</v>
      </c>
      <c r="L36" s="38">
        <v>149.24819605928383</v>
      </c>
      <c r="M36" s="38">
        <v>149.24372390165519</v>
      </c>
      <c r="N36" s="38">
        <v>116.67851844820828</v>
      </c>
      <c r="O36" s="38">
        <v>121.76574443406494</v>
      </c>
      <c r="P36" s="38">
        <v>134.49960982337811</v>
      </c>
      <c r="Q36" s="38">
        <v>134.87990262391565</v>
      </c>
      <c r="R36" s="39">
        <v>138.20716425710361</v>
      </c>
      <c r="S36" s="39">
        <v>140.54831762918488</v>
      </c>
      <c r="T36" s="39">
        <v>142.52537151325211</v>
      </c>
      <c r="U36" s="39">
        <v>143.33699921198837</v>
      </c>
      <c r="V36" s="39">
        <v>145.00011855243841</v>
      </c>
      <c r="W36" s="39">
        <v>146.72189410939382</v>
      </c>
      <c r="X36" s="39">
        <v>148.14351293952492</v>
      </c>
      <c r="Y36" s="39">
        <v>149.6242507758528</v>
      </c>
      <c r="Z36" s="39">
        <v>151.3117511608838</v>
      </c>
      <c r="AA36" s="39">
        <v>153.36736842443659</v>
      </c>
    </row>
    <row r="37" spans="1:53" x14ac:dyDescent="0.25">
      <c r="B37" s="37" t="s">
        <v>695</v>
      </c>
      <c r="C37">
        <f>'Intermediate calculations'!M22/1000</f>
        <v>98.52</v>
      </c>
      <c r="D37">
        <f>'Intermediate calculations'!N22/1000</f>
        <v>95.86</v>
      </c>
      <c r="E37">
        <f>'Intermediate calculations'!O22/1000</f>
        <v>96.34</v>
      </c>
      <c r="F37">
        <f>'Intermediate calculations'!P22/1000</f>
        <v>105.64</v>
      </c>
      <c r="G37">
        <f>'Intermediate calculations'!Q22/1000</f>
        <v>111.12</v>
      </c>
      <c r="H37">
        <f>'Intermediate calculations'!R22/1000</f>
        <v>124.52</v>
      </c>
      <c r="I37">
        <f>'Intermediate calculations'!S22/1000</f>
        <v>124.74</v>
      </c>
      <c r="J37">
        <f>'Intermediate calculations'!T22/1000</f>
        <v>148.52000000000001</v>
      </c>
      <c r="K37">
        <f>'Intermediate calculations'!U22/1000</f>
        <v>149.26</v>
      </c>
      <c r="L37">
        <f>'Intermediate calculations'!V22/1000</f>
        <v>151.30000000000001</v>
      </c>
      <c r="M37">
        <f>'Intermediate calculations'!W22/1000</f>
        <v>153.46</v>
      </c>
      <c r="N37">
        <f>'Intermediate calculations'!X22/1000</f>
        <v>139.5</v>
      </c>
      <c r="O37">
        <f>'Intermediate calculations'!Y22/1000</f>
        <v>149.23118193635793</v>
      </c>
      <c r="P37">
        <f>'Intermediate calculations'!Z22/1000</f>
        <v>151.34364427064304</v>
      </c>
      <c r="Q37">
        <f>'Intermediate calculations'!AA22/1000</f>
        <v>153.43204110612098</v>
      </c>
      <c r="R37">
        <f>'Intermediate calculations'!AB22/1000</f>
        <v>155.49335541667639</v>
      </c>
      <c r="S37">
        <f>'Intermediate calculations'!AC22/1000</f>
        <v>157.69456973321326</v>
      </c>
      <c r="T37">
        <f>'Intermediate calculations'!AD22/1000</f>
        <v>159.92734605686641</v>
      </c>
      <c r="U37">
        <f>'Intermediate calculations'!AE22/1000</f>
        <v>162.14731906693837</v>
      </c>
      <c r="V37">
        <f>'Intermediate calculations'!AF22/1000</f>
        <v>164.35527065707211</v>
      </c>
      <c r="W37">
        <f>'Intermediate calculations'!AG22/1000</f>
        <v>165.89451848923338</v>
      </c>
      <c r="X37">
        <f>'Intermediate calculations'!AH22/1000</f>
        <v>168.23125327137188</v>
      </c>
      <c r="Y37">
        <f>'Intermediate calculations'!AI22/1000</f>
        <v>170.56119047436249</v>
      </c>
      <c r="Z37">
        <f>'Intermediate calculations'!AJ22/1000</f>
        <v>172.89265353890107</v>
      </c>
      <c r="AA37">
        <f>'Intermediate calculations'!AK22/1000</f>
        <v>175.21826486985248</v>
      </c>
      <c r="AB37">
        <f>'Intermediate calculations'!AL22/1000</f>
        <v>177.55066364910397</v>
      </c>
      <c r="AC37">
        <f>'Intermediate calculations'!AM22/1000</f>
        <v>180.09479075573552</v>
      </c>
      <c r="AD37">
        <f>'Intermediate calculations'!AN22/1000</f>
        <v>182.63711820816141</v>
      </c>
      <c r="AE37">
        <f>'Intermediate calculations'!AO22/1000</f>
        <v>185.18863304077601</v>
      </c>
      <c r="AF37">
        <f>'Intermediate calculations'!AP22/1000</f>
        <v>187.746969830485</v>
      </c>
      <c r="AG37">
        <f>'Intermediate calculations'!AQ22/1000</f>
        <v>190.31275123478429</v>
      </c>
      <c r="AH37">
        <f>'Intermediate calculations'!AR22/1000</f>
        <v>192.8425554418701</v>
      </c>
      <c r="AI37">
        <f>'Intermediate calculations'!AS22/1000</f>
        <v>195.36012050567675</v>
      </c>
      <c r="AJ37">
        <f>'Intermediate calculations'!AT22/1000</f>
        <v>197.90529087108877</v>
      </c>
      <c r="AK37">
        <f>'Intermediate calculations'!AU22/1000</f>
        <v>200.46975968239698</v>
      </c>
      <c r="AL37">
        <f>'Intermediate calculations'!AV22/1000</f>
        <v>203.05457149598737</v>
      </c>
      <c r="AM37">
        <f>'Intermediate calculations'!AW22/1000</f>
        <v>205.7378871506202</v>
      </c>
      <c r="AN37">
        <f>'Intermediate calculations'!AX22/1000</f>
        <v>208.43519532451444</v>
      </c>
      <c r="AO37">
        <f>'Intermediate calculations'!AY22/1000</f>
        <v>211.13770162243131</v>
      </c>
      <c r="AP37">
        <f>'Intermediate calculations'!AZ22/1000</f>
        <v>213.85433244039191</v>
      </c>
      <c r="AQ37">
        <f>'Intermediate calculations'!BA22/1000</f>
        <v>216.59299161809534</v>
      </c>
      <c r="AR37">
        <f>'Intermediate calculations'!BB22/1000</f>
        <v>219.68097668317074</v>
      </c>
      <c r="AS37">
        <f>'Intermediate calculations'!BC22/1000</f>
        <v>222.78587217146429</v>
      </c>
      <c r="AT37">
        <f>'Intermediate calculations'!BD22/1000</f>
        <v>225.90671417382566</v>
      </c>
      <c r="AU37">
        <f>'Intermediate calculations'!BE22/1000</f>
        <v>229.04588210068238</v>
      </c>
      <c r="AV37">
        <f>'Intermediate calculations'!BF22/1000</f>
        <v>232.21280984952128</v>
      </c>
      <c r="AW37">
        <f>'Intermediate calculations'!BG22/1000</f>
        <v>235.30832004103999</v>
      </c>
      <c r="AX37">
        <f>'Intermediate calculations'!BH22/1000</f>
        <v>238.4277655295883</v>
      </c>
      <c r="AY37">
        <f>'Intermediate calculations'!BI22/1000</f>
        <v>241.55321319584448</v>
      </c>
      <c r="AZ37">
        <f>'Intermediate calculations'!BJ22/1000</f>
        <v>244.7047654194059</v>
      </c>
      <c r="BA37">
        <f>'Intermediate calculations'!BK22/1000</f>
        <v>247.88460063232409</v>
      </c>
    </row>
    <row r="38" spans="1:53" x14ac:dyDescent="0.25">
      <c r="B38" s="37" t="s">
        <v>696</v>
      </c>
      <c r="C38">
        <f>'Intermediate calculations'!M16/1000</f>
        <v>153.22</v>
      </c>
      <c r="D38">
        <f>'Intermediate calculations'!N16/1000</f>
        <v>149.46</v>
      </c>
      <c r="E38">
        <f>'Intermediate calculations'!O16/1000</f>
        <v>137.24</v>
      </c>
      <c r="F38">
        <f>'Intermediate calculations'!P16/1000</f>
        <v>137.24</v>
      </c>
      <c r="G38">
        <f>'Intermediate calculations'!Q16/1000</f>
        <v>143.82</v>
      </c>
      <c r="H38">
        <f>'Intermediate calculations'!R16/1000</f>
        <v>157.91999999999999</v>
      </c>
      <c r="I38">
        <f>'Intermediate calculations'!S16/1000</f>
        <v>165.44</v>
      </c>
      <c r="J38">
        <f>'Intermediate calculations'!T16/1000</f>
        <v>190.82</v>
      </c>
      <c r="K38">
        <f>'Intermediate calculations'!U16/1000</f>
        <v>177.66</v>
      </c>
      <c r="L38">
        <f>'Intermediate calculations'!V16/1000</f>
        <v>169.2</v>
      </c>
      <c r="M38">
        <f>'Intermediate calculations'!W16/1000</f>
        <v>163.56</v>
      </c>
      <c r="N38">
        <f>'Intermediate calculations'!X16/1000</f>
        <v>145.69999999999999</v>
      </c>
      <c r="O38">
        <f>'Intermediate calculations'!Y16/1000</f>
        <v>171.08763791127166</v>
      </c>
      <c r="P38">
        <f>'Intermediate calculations'!Z16/1000</f>
        <v>172.73330389094639</v>
      </c>
      <c r="Q38">
        <f>'Intermediate calculations'!AA16/1000</f>
        <v>174.36022218834145</v>
      </c>
      <c r="R38">
        <f>'Intermediate calculations'!AB16/1000</f>
        <v>175.96604245753255</v>
      </c>
      <c r="S38">
        <f>'Intermediate calculations'!AC16/1000</f>
        <v>177.68084866065644</v>
      </c>
      <c r="T38">
        <f>'Intermediate calculations'!AD16/1000</f>
        <v>179.42024253122344</v>
      </c>
      <c r="U38">
        <f>'Intermediate calculations'!AE16/1000</f>
        <v>181.14966227006477</v>
      </c>
      <c r="V38">
        <f>'Intermediate calculations'!AF16/1000</f>
        <v>182.8697169937299</v>
      </c>
      <c r="W38">
        <f>'Intermediate calculations'!AG16/1000</f>
        <v>184.06883318650836</v>
      </c>
      <c r="X38">
        <f>'Intermediate calculations'!AH16/1000</f>
        <v>185.88921354173462</v>
      </c>
      <c r="Y38">
        <f>'Intermediate calculations'!AI16/1000</f>
        <v>187.70429839674469</v>
      </c>
      <c r="Z38">
        <f>'Intermediate calculations'!AJ16/1000</f>
        <v>189.52057193966573</v>
      </c>
      <c r="AA38">
        <f>'Intermediate calculations'!AK16/1000</f>
        <v>191.33228682195167</v>
      </c>
      <c r="AB38">
        <f>'Intermediate calculations'!AL16/1000</f>
        <v>193.149289312246</v>
      </c>
      <c r="AC38">
        <f>'Intermediate calculations'!AM16/1000</f>
        <v>195.13123396489169</v>
      </c>
      <c r="AD38">
        <f>'Intermediate calculations'!AN16/1000</f>
        <v>197.11177663765196</v>
      </c>
      <c r="AE38">
        <f>'Intermediate calculations'!AO16/1000</f>
        <v>199.09947653105164</v>
      </c>
      <c r="AF38">
        <f>'Intermediate calculations'!AP16/1000</f>
        <v>201.09249091575501</v>
      </c>
      <c r="AG38">
        <f>'Intermediate calculations'!AQ16/1000</f>
        <v>203.09130485899453</v>
      </c>
      <c r="AH38">
        <f>'Intermediate calculations'!AR16/1000</f>
        <v>205.06209158085483</v>
      </c>
      <c r="AI38">
        <f>'Intermediate calculations'!AS16/1000</f>
        <v>207.02334367509692</v>
      </c>
      <c r="AJ38">
        <f>'Intermediate calculations'!AT16/1000</f>
        <v>209.00610105488818</v>
      </c>
      <c r="AK38">
        <f>'Intermediate calculations'!AU16/1000</f>
        <v>211.00389245226</v>
      </c>
      <c r="AL38">
        <f>'Intermediate calculations'!AV16/1000</f>
        <v>213.01753160522819</v>
      </c>
      <c r="AM38">
        <f>'Intermediate calculations'!AW16/1000</f>
        <v>215.10790794656643</v>
      </c>
      <c r="AN38">
        <f>'Intermediate calculations'!AX16/1000</f>
        <v>217.20918484340564</v>
      </c>
      <c r="AO38">
        <f>'Intermediate calculations'!AY16/1000</f>
        <v>219.31451122113896</v>
      </c>
      <c r="AP38">
        <f>'Intermediate calculations'!AZ16/1000</f>
        <v>221.43084098659563</v>
      </c>
      <c r="AQ38">
        <f>'Intermediate calculations'!BA16/1000</f>
        <v>223.56433144724127</v>
      </c>
      <c r="AR38">
        <f>'Intermediate calculations'!BB16/1000</f>
        <v>225.96995633572385</v>
      </c>
      <c r="AS38">
        <f>'Intermediate calculations'!BC16/1000</f>
        <v>228.38875490675701</v>
      </c>
      <c r="AT38">
        <f>'Intermediate calculations'!BD16/1000</f>
        <v>230.81997624872903</v>
      </c>
      <c r="AU38">
        <f>'Intermediate calculations'!BE16/1000</f>
        <v>233.26547398749105</v>
      </c>
      <c r="AV38">
        <f>'Intermediate calculations'!BF16/1000</f>
        <v>235.73259738740521</v>
      </c>
      <c r="AW38">
        <f>'Intermediate calculations'!BG16/1000</f>
        <v>238.1440845553611</v>
      </c>
      <c r="AX38">
        <f>'Intermediate calculations'!BH16/1000</f>
        <v>240.57421797484812</v>
      </c>
      <c r="AY38">
        <f>'Intermediate calculations'!BI16/1000</f>
        <v>243.0090272550581</v>
      </c>
      <c r="AZ38">
        <f>'Intermediate calculations'!BJ16/1000</f>
        <v>245.46417269992992</v>
      </c>
      <c r="BA38">
        <f>'Intermediate calculations'!BK16/1000</f>
        <v>247.94135136765851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AN232"/>
  <sheetViews>
    <sheetView workbookViewId="0">
      <selection activeCell="C8" sqref="C8"/>
    </sheetView>
  </sheetViews>
  <sheetFormatPr defaultRowHeight="15" x14ac:dyDescent="0.25"/>
  <cols>
    <col min="1" max="1" width="55.85546875" customWidth="1"/>
    <col min="2" max="2" width="12.85546875" customWidth="1"/>
    <col min="3" max="3" width="13.85546875" customWidth="1"/>
    <col min="4" max="6" width="12.7109375" customWidth="1"/>
    <col min="7" max="7" width="10.28515625" customWidth="1"/>
    <col min="8" max="26" width="12" bestFit="1" customWidth="1"/>
    <col min="27" max="27" width="10" bestFit="1" customWidth="1"/>
    <col min="28" max="31" width="12" bestFit="1" customWidth="1"/>
    <col min="32" max="32" width="10" bestFit="1" customWidth="1"/>
    <col min="33" max="36" width="12" bestFit="1" customWidth="1"/>
  </cols>
  <sheetData>
    <row r="1" spans="1:40" ht="18.75" x14ac:dyDescent="0.3">
      <c r="A1" s="1" t="s">
        <v>662</v>
      </c>
    </row>
    <row r="2" spans="1:40" x14ac:dyDescent="0.25">
      <c r="B2" s="87" t="s">
        <v>805</v>
      </c>
    </row>
    <row r="3" spans="1:40" s="19" customFormat="1" ht="29.25" customHeight="1" x14ac:dyDescent="0.25">
      <c r="A3" s="17"/>
      <c r="B3" s="17" t="s">
        <v>0</v>
      </c>
      <c r="C3" s="17">
        <v>2017</v>
      </c>
      <c r="D3" s="17">
        <v>2018</v>
      </c>
      <c r="E3" s="17">
        <v>2019</v>
      </c>
      <c r="F3" s="17">
        <v>2020</v>
      </c>
      <c r="G3" s="17">
        <v>2021</v>
      </c>
      <c r="H3" s="17">
        <v>2022</v>
      </c>
      <c r="I3" s="17">
        <v>2023</v>
      </c>
      <c r="J3" s="17">
        <v>2024</v>
      </c>
      <c r="K3" s="17">
        <v>2025</v>
      </c>
      <c r="L3" s="17">
        <v>2026</v>
      </c>
      <c r="M3" s="17">
        <v>2027</v>
      </c>
      <c r="N3" s="17">
        <v>2028</v>
      </c>
      <c r="O3" s="17">
        <v>2029</v>
      </c>
      <c r="P3" s="17">
        <v>2030</v>
      </c>
      <c r="Q3" s="17">
        <v>2031</v>
      </c>
      <c r="R3" s="17">
        <v>2032</v>
      </c>
      <c r="S3" s="17">
        <v>2033</v>
      </c>
      <c r="T3" s="17">
        <v>2034</v>
      </c>
      <c r="U3" s="17">
        <v>2035</v>
      </c>
      <c r="V3" s="17">
        <v>2036</v>
      </c>
      <c r="W3" s="17">
        <v>2037</v>
      </c>
      <c r="X3" s="17">
        <v>2038</v>
      </c>
      <c r="Y3" s="17">
        <v>2039</v>
      </c>
      <c r="Z3" s="17">
        <v>2040</v>
      </c>
      <c r="AA3" s="17">
        <v>2041</v>
      </c>
      <c r="AB3" s="17">
        <v>2042</v>
      </c>
      <c r="AC3" s="17">
        <v>2043</v>
      </c>
      <c r="AD3" s="17">
        <v>2044</v>
      </c>
      <c r="AE3" s="17">
        <v>2045</v>
      </c>
      <c r="AF3" s="17">
        <v>2046</v>
      </c>
      <c r="AG3" s="17">
        <v>2047</v>
      </c>
      <c r="AH3" s="17">
        <v>2048</v>
      </c>
      <c r="AI3" s="17">
        <v>2049</v>
      </c>
      <c r="AJ3" s="17">
        <v>2050</v>
      </c>
      <c r="AM3" s="18" t="s">
        <v>308</v>
      </c>
      <c r="AN3" s="17" t="s">
        <v>282</v>
      </c>
    </row>
    <row r="4" spans="1:40" s="52" customFormat="1" ht="15.75" x14ac:dyDescent="0.25">
      <c r="A4" s="51" t="s">
        <v>718</v>
      </c>
      <c r="B4" s="54" t="s">
        <v>717</v>
      </c>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row>
    <row r="5" spans="1:40" x14ac:dyDescent="0.25">
      <c r="A5" t="s">
        <v>668</v>
      </c>
      <c r="B5" t="s">
        <v>366</v>
      </c>
      <c r="C5" s="82"/>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row>
    <row r="6" spans="1:40" x14ac:dyDescent="0.25">
      <c r="A6" t="s">
        <v>389</v>
      </c>
      <c r="B6" t="s">
        <v>321</v>
      </c>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row>
    <row r="7" spans="1:40" x14ac:dyDescent="0.25">
      <c r="A7" t="s">
        <v>665</v>
      </c>
      <c r="B7" t="s">
        <v>321</v>
      </c>
      <c r="C7" s="73"/>
      <c r="D7" s="73"/>
      <c r="E7" s="73"/>
      <c r="F7" s="73"/>
      <c r="G7" s="73"/>
      <c r="H7" s="73"/>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row>
    <row r="8" spans="1:40" x14ac:dyDescent="0.25">
      <c r="A8" t="s">
        <v>666</v>
      </c>
      <c r="B8" t="s">
        <v>321</v>
      </c>
      <c r="C8" s="73"/>
      <c r="D8" s="73"/>
      <c r="E8" s="73"/>
      <c r="F8" s="73"/>
      <c r="G8" s="73"/>
      <c r="H8" s="73"/>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row>
    <row r="10" spans="1:40" s="52" customFormat="1" ht="15.75" x14ac:dyDescent="0.25">
      <c r="A10" s="51" t="s">
        <v>719</v>
      </c>
      <c r="B10" s="54" t="s">
        <v>787</v>
      </c>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row>
    <row r="11" spans="1:40" s="78" customFormat="1" ht="15.75" x14ac:dyDescent="0.25">
      <c r="A11" s="76" t="s">
        <v>780</v>
      </c>
      <c r="B11" s="77" t="s">
        <v>788</v>
      </c>
      <c r="C11" s="76"/>
      <c r="D11" s="76"/>
      <c r="E11" s="76"/>
      <c r="F11" s="76"/>
      <c r="G11" s="76"/>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76"/>
      <c r="AI11" s="76"/>
      <c r="AJ11" s="76"/>
    </row>
    <row r="12" spans="1:40" x14ac:dyDescent="0.25">
      <c r="A12" s="79" t="s">
        <v>455</v>
      </c>
      <c r="B12" t="s">
        <v>305</v>
      </c>
      <c r="C12" s="25">
        <v>95</v>
      </c>
      <c r="D12" s="25">
        <v>95</v>
      </c>
      <c r="E12" s="25">
        <v>95</v>
      </c>
      <c r="F12" s="25">
        <v>95</v>
      </c>
      <c r="G12" s="25">
        <v>95</v>
      </c>
      <c r="H12" s="25">
        <v>95</v>
      </c>
      <c r="I12" s="25">
        <v>95</v>
      </c>
      <c r="J12" s="25">
        <v>95</v>
      </c>
      <c r="K12" s="25">
        <v>95</v>
      </c>
      <c r="L12" s="25">
        <v>95</v>
      </c>
      <c r="M12" s="25">
        <v>95</v>
      </c>
      <c r="N12" s="25">
        <v>95</v>
      </c>
      <c r="O12" s="25">
        <v>95</v>
      </c>
      <c r="P12" s="25">
        <v>95</v>
      </c>
      <c r="Q12" s="25">
        <v>95</v>
      </c>
      <c r="R12" s="25">
        <v>95</v>
      </c>
      <c r="S12" s="25">
        <v>95</v>
      </c>
      <c r="T12" s="25">
        <v>95</v>
      </c>
      <c r="U12" s="25">
        <v>95</v>
      </c>
      <c r="V12" s="25">
        <v>95</v>
      </c>
      <c r="W12" s="25">
        <v>95</v>
      </c>
      <c r="X12" s="25">
        <v>95</v>
      </c>
      <c r="Y12" s="25">
        <v>95</v>
      </c>
      <c r="Z12" s="25">
        <v>95</v>
      </c>
      <c r="AA12" s="25">
        <v>95</v>
      </c>
      <c r="AB12" s="25">
        <v>95</v>
      </c>
      <c r="AC12" s="25">
        <v>95</v>
      </c>
      <c r="AD12" s="25">
        <v>95</v>
      </c>
      <c r="AE12" s="25">
        <v>95</v>
      </c>
      <c r="AF12" s="25">
        <v>95</v>
      </c>
      <c r="AG12" s="25">
        <v>95</v>
      </c>
      <c r="AH12" s="25">
        <v>95</v>
      </c>
      <c r="AI12" s="25">
        <v>95</v>
      </c>
      <c r="AJ12" s="25">
        <v>95</v>
      </c>
    </row>
    <row r="13" spans="1:40" x14ac:dyDescent="0.25">
      <c r="A13" s="79" t="s">
        <v>456</v>
      </c>
      <c r="B13" t="s">
        <v>305</v>
      </c>
      <c r="C13" s="25">
        <v>0</v>
      </c>
      <c r="D13" s="25">
        <v>0</v>
      </c>
      <c r="E13" s="25">
        <v>0</v>
      </c>
      <c r="F13" s="25">
        <v>0</v>
      </c>
      <c r="G13" s="25">
        <v>0</v>
      </c>
      <c r="H13" s="25">
        <v>0</v>
      </c>
      <c r="I13" s="25">
        <v>0</v>
      </c>
      <c r="J13" s="25">
        <v>0</v>
      </c>
      <c r="K13" s="25">
        <v>0</v>
      </c>
      <c r="L13" s="25">
        <v>0</v>
      </c>
      <c r="M13" s="25">
        <v>0</v>
      </c>
      <c r="N13" s="25">
        <v>0</v>
      </c>
      <c r="O13" s="25">
        <v>0</v>
      </c>
      <c r="P13" s="25">
        <v>0</v>
      </c>
      <c r="Q13" s="25">
        <v>0</v>
      </c>
      <c r="R13" s="25">
        <v>0</v>
      </c>
      <c r="S13" s="25">
        <v>0</v>
      </c>
      <c r="T13" s="25">
        <v>0</v>
      </c>
      <c r="U13" s="25">
        <v>0</v>
      </c>
      <c r="V13" s="25">
        <v>0</v>
      </c>
      <c r="W13" s="25">
        <v>0</v>
      </c>
      <c r="X13" s="25">
        <v>0</v>
      </c>
      <c r="Y13" s="25">
        <v>0</v>
      </c>
      <c r="Z13" s="25">
        <v>0</v>
      </c>
      <c r="AA13" s="25">
        <v>0</v>
      </c>
      <c r="AB13" s="25">
        <v>0</v>
      </c>
      <c r="AC13" s="25">
        <v>0</v>
      </c>
      <c r="AD13" s="25">
        <v>0</v>
      </c>
      <c r="AE13" s="25">
        <v>0</v>
      </c>
      <c r="AF13" s="25">
        <v>0</v>
      </c>
      <c r="AG13" s="25">
        <v>0</v>
      </c>
      <c r="AH13" s="25">
        <v>0</v>
      </c>
      <c r="AI13" s="25">
        <v>0</v>
      </c>
      <c r="AJ13" s="25">
        <v>0</v>
      </c>
    </row>
    <row r="14" spans="1:40" x14ac:dyDescent="0.25">
      <c r="A14" s="79" t="s">
        <v>457</v>
      </c>
      <c r="B14" t="s">
        <v>305</v>
      </c>
      <c r="C14" s="25">
        <v>0</v>
      </c>
      <c r="D14" s="25">
        <v>0</v>
      </c>
      <c r="E14" s="25">
        <v>0</v>
      </c>
      <c r="F14" s="25">
        <v>0</v>
      </c>
      <c r="G14" s="25">
        <v>0</v>
      </c>
      <c r="H14" s="25">
        <v>0</v>
      </c>
      <c r="I14" s="25">
        <v>0</v>
      </c>
      <c r="J14" s="25">
        <v>0</v>
      </c>
      <c r="K14" s="25">
        <v>0</v>
      </c>
      <c r="L14" s="25">
        <v>0</v>
      </c>
      <c r="M14" s="25">
        <v>0</v>
      </c>
      <c r="N14" s="25">
        <v>0</v>
      </c>
      <c r="O14" s="25">
        <v>0</v>
      </c>
      <c r="P14" s="25">
        <v>0</v>
      </c>
      <c r="Q14" s="25">
        <v>0</v>
      </c>
      <c r="R14" s="25">
        <v>0</v>
      </c>
      <c r="S14" s="25">
        <v>0</v>
      </c>
      <c r="T14" s="25">
        <v>0</v>
      </c>
      <c r="U14" s="25">
        <v>0</v>
      </c>
      <c r="V14" s="25">
        <v>0</v>
      </c>
      <c r="W14" s="25">
        <v>0</v>
      </c>
      <c r="X14" s="25">
        <v>0</v>
      </c>
      <c r="Y14" s="25">
        <v>0</v>
      </c>
      <c r="Z14" s="25">
        <v>0</v>
      </c>
      <c r="AA14" s="25">
        <v>0</v>
      </c>
      <c r="AB14" s="25">
        <v>0</v>
      </c>
      <c r="AC14" s="25">
        <v>0</v>
      </c>
      <c r="AD14" s="25">
        <v>0</v>
      </c>
      <c r="AE14" s="25">
        <v>0</v>
      </c>
      <c r="AF14" s="25">
        <v>0</v>
      </c>
      <c r="AG14" s="25">
        <v>0</v>
      </c>
      <c r="AH14" s="25">
        <v>0</v>
      </c>
      <c r="AI14" s="25">
        <v>0</v>
      </c>
      <c r="AJ14" s="25">
        <v>0</v>
      </c>
    </row>
    <row r="15" spans="1:40" x14ac:dyDescent="0.25">
      <c r="A15" s="79" t="s">
        <v>458</v>
      </c>
      <c r="B15" t="s">
        <v>305</v>
      </c>
      <c r="C15" s="25">
        <v>0</v>
      </c>
      <c r="D15" s="25">
        <v>0</v>
      </c>
      <c r="E15" s="25">
        <v>0</v>
      </c>
      <c r="F15" s="25">
        <v>0</v>
      </c>
      <c r="G15" s="25">
        <v>0</v>
      </c>
      <c r="H15" s="25">
        <v>0</v>
      </c>
      <c r="I15" s="25">
        <v>0</v>
      </c>
      <c r="J15" s="25">
        <v>0</v>
      </c>
      <c r="K15" s="25">
        <v>0</v>
      </c>
      <c r="L15" s="25">
        <v>0</v>
      </c>
      <c r="M15" s="25">
        <v>0</v>
      </c>
      <c r="N15" s="25">
        <v>0</v>
      </c>
      <c r="O15" s="25">
        <v>0</v>
      </c>
      <c r="P15" s="25">
        <v>0</v>
      </c>
      <c r="Q15" s="25">
        <v>0</v>
      </c>
      <c r="R15" s="25">
        <v>0</v>
      </c>
      <c r="S15" s="25">
        <v>0</v>
      </c>
      <c r="T15" s="25">
        <v>0</v>
      </c>
      <c r="U15" s="25">
        <v>0</v>
      </c>
      <c r="V15" s="25">
        <v>0</v>
      </c>
      <c r="W15" s="25">
        <v>0</v>
      </c>
      <c r="X15" s="25">
        <v>0</v>
      </c>
      <c r="Y15" s="25">
        <v>0</v>
      </c>
      <c r="Z15" s="25">
        <v>0</v>
      </c>
      <c r="AA15" s="25">
        <v>0</v>
      </c>
      <c r="AB15" s="25">
        <v>0</v>
      </c>
      <c r="AC15" s="25">
        <v>0</v>
      </c>
      <c r="AD15" s="25">
        <v>0</v>
      </c>
      <c r="AE15" s="25">
        <v>0</v>
      </c>
      <c r="AF15" s="25">
        <v>0</v>
      </c>
      <c r="AG15" s="25">
        <v>0</v>
      </c>
      <c r="AH15" s="25">
        <v>0</v>
      </c>
      <c r="AI15" s="25">
        <v>0</v>
      </c>
      <c r="AJ15" s="25">
        <v>0</v>
      </c>
    </row>
    <row r="16" spans="1:40" x14ac:dyDescent="0.25">
      <c r="A16" s="79" t="s">
        <v>459</v>
      </c>
      <c r="B16" t="s">
        <v>305</v>
      </c>
      <c r="C16" s="25">
        <v>0</v>
      </c>
      <c r="D16" s="25">
        <v>0</v>
      </c>
      <c r="E16" s="25">
        <v>0</v>
      </c>
      <c r="F16" s="25">
        <v>0</v>
      </c>
      <c r="G16" s="25">
        <v>0</v>
      </c>
      <c r="H16" s="25">
        <v>0</v>
      </c>
      <c r="I16" s="25">
        <v>0</v>
      </c>
      <c r="J16" s="25">
        <v>0</v>
      </c>
      <c r="K16" s="25">
        <v>0</v>
      </c>
      <c r="L16" s="25">
        <v>0</v>
      </c>
      <c r="M16" s="25">
        <v>0</v>
      </c>
      <c r="N16" s="25">
        <v>0</v>
      </c>
      <c r="O16" s="25">
        <v>0</v>
      </c>
      <c r="P16" s="25">
        <v>0</v>
      </c>
      <c r="Q16" s="25">
        <v>0</v>
      </c>
      <c r="R16" s="25">
        <v>0</v>
      </c>
      <c r="S16" s="25">
        <v>0</v>
      </c>
      <c r="T16" s="25">
        <v>0</v>
      </c>
      <c r="U16" s="25">
        <v>0</v>
      </c>
      <c r="V16" s="25">
        <v>0</v>
      </c>
      <c r="W16" s="25">
        <v>0</v>
      </c>
      <c r="X16" s="25">
        <v>0</v>
      </c>
      <c r="Y16" s="25">
        <v>0</v>
      </c>
      <c r="Z16" s="25">
        <v>0</v>
      </c>
      <c r="AA16" s="25">
        <v>0</v>
      </c>
      <c r="AB16" s="25">
        <v>0</v>
      </c>
      <c r="AC16" s="25">
        <v>0</v>
      </c>
      <c r="AD16" s="25">
        <v>0</v>
      </c>
      <c r="AE16" s="25">
        <v>0</v>
      </c>
      <c r="AF16" s="25">
        <v>0</v>
      </c>
      <c r="AG16" s="25">
        <v>0</v>
      </c>
      <c r="AH16" s="25">
        <v>0</v>
      </c>
      <c r="AI16" s="25">
        <v>0</v>
      </c>
      <c r="AJ16" s="25">
        <v>0</v>
      </c>
    </row>
    <row r="17" spans="1:36" x14ac:dyDescent="0.25">
      <c r="A17" s="79" t="s">
        <v>460</v>
      </c>
      <c r="B17" t="s">
        <v>305</v>
      </c>
      <c r="C17" s="25">
        <v>0</v>
      </c>
      <c r="D17" s="25">
        <v>0</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c r="V17" s="25">
        <v>0</v>
      </c>
      <c r="W17" s="25">
        <v>0</v>
      </c>
      <c r="X17" s="25">
        <v>0</v>
      </c>
      <c r="Y17" s="25">
        <v>0</v>
      </c>
      <c r="Z17" s="25">
        <v>0</v>
      </c>
      <c r="AA17" s="25">
        <v>0</v>
      </c>
      <c r="AB17" s="25">
        <v>0</v>
      </c>
      <c r="AC17" s="25">
        <v>0</v>
      </c>
      <c r="AD17" s="25">
        <v>0</v>
      </c>
      <c r="AE17" s="25">
        <v>0</v>
      </c>
      <c r="AF17" s="25">
        <v>0</v>
      </c>
      <c r="AG17" s="25">
        <v>0</v>
      </c>
      <c r="AH17" s="25">
        <v>0</v>
      </c>
      <c r="AI17" s="25">
        <v>0</v>
      </c>
      <c r="AJ17" s="25">
        <v>0</v>
      </c>
    </row>
    <row r="18" spans="1:36" x14ac:dyDescent="0.25">
      <c r="A18" s="79" t="s">
        <v>461</v>
      </c>
      <c r="B18" t="s">
        <v>305</v>
      </c>
      <c r="C18" s="25">
        <v>5</v>
      </c>
      <c r="D18" s="25">
        <v>5</v>
      </c>
      <c r="E18" s="25">
        <v>5</v>
      </c>
      <c r="F18" s="25">
        <v>5</v>
      </c>
      <c r="G18" s="25">
        <v>5</v>
      </c>
      <c r="H18" s="25">
        <v>5</v>
      </c>
      <c r="I18" s="25">
        <v>5</v>
      </c>
      <c r="J18" s="25">
        <v>5</v>
      </c>
      <c r="K18" s="25">
        <v>5</v>
      </c>
      <c r="L18" s="25">
        <v>5</v>
      </c>
      <c r="M18" s="25">
        <v>5</v>
      </c>
      <c r="N18" s="25">
        <v>5</v>
      </c>
      <c r="O18" s="25">
        <v>5</v>
      </c>
      <c r="P18" s="25">
        <v>5</v>
      </c>
      <c r="Q18" s="25">
        <v>5</v>
      </c>
      <c r="R18" s="25">
        <v>5</v>
      </c>
      <c r="S18" s="25">
        <v>5</v>
      </c>
      <c r="T18" s="25">
        <v>5</v>
      </c>
      <c r="U18" s="25">
        <v>5</v>
      </c>
      <c r="V18" s="25">
        <v>5</v>
      </c>
      <c r="W18" s="25">
        <v>5</v>
      </c>
      <c r="X18" s="25">
        <v>5</v>
      </c>
      <c r="Y18" s="25">
        <v>5</v>
      </c>
      <c r="Z18" s="25">
        <v>5</v>
      </c>
      <c r="AA18" s="25">
        <v>5</v>
      </c>
      <c r="AB18" s="25">
        <v>5</v>
      </c>
      <c r="AC18" s="25">
        <v>5</v>
      </c>
      <c r="AD18" s="25">
        <v>5</v>
      </c>
      <c r="AE18" s="25">
        <v>5</v>
      </c>
      <c r="AF18" s="25">
        <v>5</v>
      </c>
      <c r="AG18" s="25">
        <v>5</v>
      </c>
      <c r="AH18" s="25">
        <v>5</v>
      </c>
      <c r="AI18" s="25">
        <v>5</v>
      </c>
      <c r="AJ18" s="25">
        <v>5</v>
      </c>
    </row>
    <row r="19" spans="1:36" x14ac:dyDescent="0.25">
      <c r="A19" s="79" t="s">
        <v>462</v>
      </c>
      <c r="B19" t="s">
        <v>305</v>
      </c>
      <c r="C19" s="25">
        <v>0</v>
      </c>
      <c r="D19" s="25">
        <v>0</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25">
        <v>0</v>
      </c>
      <c r="V19" s="25">
        <v>0</v>
      </c>
      <c r="W19" s="25">
        <v>0</v>
      </c>
      <c r="X19" s="25">
        <v>0</v>
      </c>
      <c r="Y19" s="25">
        <v>0</v>
      </c>
      <c r="Z19" s="25">
        <v>0</v>
      </c>
      <c r="AA19" s="25">
        <v>0</v>
      </c>
      <c r="AB19" s="25">
        <v>0</v>
      </c>
      <c r="AC19" s="25">
        <v>0</v>
      </c>
      <c r="AD19" s="25">
        <v>0</v>
      </c>
      <c r="AE19" s="25">
        <v>0</v>
      </c>
      <c r="AF19" s="25">
        <v>0</v>
      </c>
      <c r="AG19" s="25">
        <v>0</v>
      </c>
      <c r="AH19" s="25">
        <v>0</v>
      </c>
      <c r="AI19" s="25">
        <v>0</v>
      </c>
      <c r="AJ19" s="25">
        <v>0</v>
      </c>
    </row>
    <row r="20" spans="1:36" x14ac:dyDescent="0.25">
      <c r="A20" s="79" t="s">
        <v>463</v>
      </c>
      <c r="B20" t="s">
        <v>305</v>
      </c>
      <c r="C20" s="25">
        <v>0</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25">
        <v>0</v>
      </c>
      <c r="V20" s="25">
        <v>0</v>
      </c>
      <c r="W20" s="25">
        <v>0</v>
      </c>
      <c r="X20" s="25">
        <v>0</v>
      </c>
      <c r="Y20" s="25">
        <v>0</v>
      </c>
      <c r="Z20" s="25">
        <v>0</v>
      </c>
      <c r="AA20" s="25">
        <v>0</v>
      </c>
      <c r="AB20" s="25">
        <v>0</v>
      </c>
      <c r="AC20" s="25">
        <v>0</v>
      </c>
      <c r="AD20" s="25">
        <v>0</v>
      </c>
      <c r="AE20" s="25">
        <v>0</v>
      </c>
      <c r="AF20" s="25">
        <v>0</v>
      </c>
      <c r="AG20" s="25">
        <v>0</v>
      </c>
      <c r="AH20" s="25">
        <v>0</v>
      </c>
      <c r="AI20" s="25">
        <v>0</v>
      </c>
      <c r="AJ20" s="25">
        <v>0</v>
      </c>
    </row>
    <row r="21" spans="1:36" x14ac:dyDescent="0.25">
      <c r="A21" s="79" t="s">
        <v>464</v>
      </c>
      <c r="B21" t="s">
        <v>305</v>
      </c>
      <c r="C21" s="25">
        <v>0</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25">
        <v>0</v>
      </c>
      <c r="V21" s="25">
        <v>0</v>
      </c>
      <c r="W21" s="25">
        <v>0</v>
      </c>
      <c r="X21" s="25">
        <v>0</v>
      </c>
      <c r="Y21" s="25">
        <v>0</v>
      </c>
      <c r="Z21" s="25">
        <v>0</v>
      </c>
      <c r="AA21" s="25">
        <v>0</v>
      </c>
      <c r="AB21" s="25">
        <v>0</v>
      </c>
      <c r="AC21" s="25">
        <v>0</v>
      </c>
      <c r="AD21" s="25">
        <v>0</v>
      </c>
      <c r="AE21" s="25">
        <v>0</v>
      </c>
      <c r="AF21" s="25">
        <v>0</v>
      </c>
      <c r="AG21" s="25">
        <v>0</v>
      </c>
      <c r="AH21" s="25">
        <v>0</v>
      </c>
      <c r="AI21" s="25">
        <v>0</v>
      </c>
      <c r="AJ21" s="25">
        <v>0</v>
      </c>
    </row>
    <row r="22" spans="1:36" x14ac:dyDescent="0.25">
      <c r="A22" s="79" t="s">
        <v>761</v>
      </c>
      <c r="B22" t="s">
        <v>305</v>
      </c>
      <c r="C22" s="25">
        <v>0</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25">
        <v>0</v>
      </c>
      <c r="V22" s="25">
        <v>0</v>
      </c>
      <c r="W22" s="25">
        <v>0</v>
      </c>
      <c r="X22" s="25">
        <v>0</v>
      </c>
      <c r="Y22" s="25">
        <v>0</v>
      </c>
      <c r="Z22" s="25">
        <v>0</v>
      </c>
      <c r="AA22" s="25">
        <v>0</v>
      </c>
      <c r="AB22" s="25">
        <v>0</v>
      </c>
      <c r="AC22" s="25">
        <v>0</v>
      </c>
      <c r="AD22" s="25">
        <v>0</v>
      </c>
      <c r="AE22" s="25">
        <v>0</v>
      </c>
      <c r="AF22" s="25">
        <v>0</v>
      </c>
      <c r="AG22" s="25">
        <v>0</v>
      </c>
      <c r="AH22" s="25">
        <v>0</v>
      </c>
      <c r="AI22" s="25">
        <v>0</v>
      </c>
      <c r="AJ22" s="25">
        <v>0</v>
      </c>
    </row>
    <row r="23" spans="1:36" s="80" customFormat="1" x14ac:dyDescent="0.25">
      <c r="A23" s="80" t="s">
        <v>789</v>
      </c>
      <c r="C23" s="81">
        <f>+SUM(C12:C22)</f>
        <v>100</v>
      </c>
      <c r="D23" s="81">
        <f t="shared" ref="D23:AJ23" si="0">+SUM(D12:D22)</f>
        <v>100</v>
      </c>
      <c r="E23" s="81">
        <f t="shared" si="0"/>
        <v>100</v>
      </c>
      <c r="F23" s="81">
        <f t="shared" si="0"/>
        <v>100</v>
      </c>
      <c r="G23" s="81">
        <f t="shared" si="0"/>
        <v>100</v>
      </c>
      <c r="H23" s="81">
        <f t="shared" si="0"/>
        <v>100</v>
      </c>
      <c r="I23" s="81">
        <f t="shared" si="0"/>
        <v>100</v>
      </c>
      <c r="J23" s="81">
        <f t="shared" si="0"/>
        <v>100</v>
      </c>
      <c r="K23" s="81">
        <f t="shared" si="0"/>
        <v>100</v>
      </c>
      <c r="L23" s="81">
        <f t="shared" si="0"/>
        <v>100</v>
      </c>
      <c r="M23" s="81">
        <f t="shared" si="0"/>
        <v>100</v>
      </c>
      <c r="N23" s="81">
        <f t="shared" si="0"/>
        <v>100</v>
      </c>
      <c r="O23" s="81">
        <f t="shared" si="0"/>
        <v>100</v>
      </c>
      <c r="P23" s="81">
        <f t="shared" si="0"/>
        <v>100</v>
      </c>
      <c r="Q23" s="81">
        <f t="shared" si="0"/>
        <v>100</v>
      </c>
      <c r="R23" s="81">
        <f t="shared" si="0"/>
        <v>100</v>
      </c>
      <c r="S23" s="81">
        <f t="shared" si="0"/>
        <v>100</v>
      </c>
      <c r="T23" s="81">
        <f t="shared" si="0"/>
        <v>100</v>
      </c>
      <c r="U23" s="81">
        <f t="shared" si="0"/>
        <v>100</v>
      </c>
      <c r="V23" s="81">
        <f t="shared" si="0"/>
        <v>100</v>
      </c>
      <c r="W23" s="81">
        <f t="shared" si="0"/>
        <v>100</v>
      </c>
      <c r="X23" s="81">
        <f t="shared" si="0"/>
        <v>100</v>
      </c>
      <c r="Y23" s="81">
        <f t="shared" si="0"/>
        <v>100</v>
      </c>
      <c r="Z23" s="81">
        <f t="shared" si="0"/>
        <v>100</v>
      </c>
      <c r="AA23" s="81">
        <f t="shared" si="0"/>
        <v>100</v>
      </c>
      <c r="AB23" s="81">
        <f t="shared" si="0"/>
        <v>100</v>
      </c>
      <c r="AC23" s="81">
        <f t="shared" si="0"/>
        <v>100</v>
      </c>
      <c r="AD23" s="81">
        <f t="shared" si="0"/>
        <v>100</v>
      </c>
      <c r="AE23" s="81">
        <f t="shared" si="0"/>
        <v>100</v>
      </c>
      <c r="AF23" s="81">
        <f t="shared" si="0"/>
        <v>100</v>
      </c>
      <c r="AG23" s="81">
        <f t="shared" si="0"/>
        <v>100</v>
      </c>
      <c r="AH23" s="81">
        <f t="shared" si="0"/>
        <v>100</v>
      </c>
      <c r="AI23" s="81">
        <f t="shared" si="0"/>
        <v>100</v>
      </c>
      <c r="AJ23" s="81">
        <f t="shared" si="0"/>
        <v>100</v>
      </c>
    </row>
    <row r="24" spans="1:36" x14ac:dyDescent="0.25">
      <c r="A24" t="s">
        <v>465</v>
      </c>
      <c r="B24" t="s">
        <v>305</v>
      </c>
      <c r="C24" s="25">
        <v>11</v>
      </c>
      <c r="D24" s="25">
        <v>11</v>
      </c>
      <c r="E24" s="25">
        <v>11</v>
      </c>
      <c r="F24" s="25">
        <v>11</v>
      </c>
      <c r="G24" s="25">
        <v>11</v>
      </c>
      <c r="H24" s="25">
        <v>11</v>
      </c>
      <c r="I24" s="25">
        <v>11</v>
      </c>
      <c r="J24" s="25">
        <v>11</v>
      </c>
      <c r="K24" s="25">
        <v>11</v>
      </c>
      <c r="L24" s="25">
        <v>11</v>
      </c>
      <c r="M24" s="25">
        <v>11</v>
      </c>
      <c r="N24" s="25">
        <v>11</v>
      </c>
      <c r="O24" s="25">
        <v>11</v>
      </c>
      <c r="P24" s="25">
        <v>11</v>
      </c>
      <c r="Q24" s="25">
        <v>11</v>
      </c>
      <c r="R24" s="25">
        <v>11</v>
      </c>
      <c r="S24" s="25">
        <v>11</v>
      </c>
      <c r="T24" s="25">
        <v>11</v>
      </c>
      <c r="U24" s="25">
        <v>11</v>
      </c>
      <c r="V24" s="25">
        <v>11</v>
      </c>
      <c r="W24" s="25">
        <v>11</v>
      </c>
      <c r="X24" s="25">
        <v>11</v>
      </c>
      <c r="Y24" s="25">
        <v>11</v>
      </c>
      <c r="Z24" s="25">
        <v>11</v>
      </c>
      <c r="AA24" s="25">
        <v>11</v>
      </c>
      <c r="AB24" s="25">
        <v>11</v>
      </c>
      <c r="AC24" s="25">
        <v>11</v>
      </c>
      <c r="AD24" s="25">
        <v>11</v>
      </c>
      <c r="AE24" s="25">
        <v>11</v>
      </c>
      <c r="AF24" s="25">
        <v>11</v>
      </c>
      <c r="AG24" s="25">
        <v>11</v>
      </c>
      <c r="AH24" s="25">
        <v>11</v>
      </c>
      <c r="AI24" s="25">
        <v>11</v>
      </c>
      <c r="AJ24" s="25">
        <v>11</v>
      </c>
    </row>
    <row r="25" spans="1:36" x14ac:dyDescent="0.25">
      <c r="A25" t="s">
        <v>466</v>
      </c>
      <c r="B25" t="s">
        <v>305</v>
      </c>
      <c r="C25" s="25">
        <v>0</v>
      </c>
      <c r="D25" s="25">
        <v>0</v>
      </c>
      <c r="E25" s="25">
        <v>0</v>
      </c>
      <c r="F25" s="25">
        <v>0</v>
      </c>
      <c r="G25" s="25">
        <v>0</v>
      </c>
      <c r="H25" s="25">
        <v>0</v>
      </c>
      <c r="I25" s="25">
        <v>0</v>
      </c>
      <c r="J25" s="25">
        <v>0</v>
      </c>
      <c r="K25" s="25">
        <v>0</v>
      </c>
      <c r="L25" s="25">
        <v>0</v>
      </c>
      <c r="M25" s="25">
        <v>0</v>
      </c>
      <c r="N25" s="25">
        <v>0</v>
      </c>
      <c r="O25" s="25">
        <v>0</v>
      </c>
      <c r="P25" s="25">
        <v>0</v>
      </c>
      <c r="Q25" s="25">
        <v>0</v>
      </c>
      <c r="R25" s="25">
        <v>0</v>
      </c>
      <c r="S25" s="25">
        <v>0</v>
      </c>
      <c r="T25" s="25">
        <v>0</v>
      </c>
      <c r="U25" s="25">
        <v>0</v>
      </c>
      <c r="V25" s="25">
        <v>0</v>
      </c>
      <c r="W25" s="25">
        <v>0</v>
      </c>
      <c r="X25" s="25">
        <v>0</v>
      </c>
      <c r="Y25" s="25">
        <v>0</v>
      </c>
      <c r="Z25" s="25">
        <v>0</v>
      </c>
      <c r="AA25" s="25">
        <v>0</v>
      </c>
      <c r="AB25" s="25">
        <v>0</v>
      </c>
      <c r="AC25" s="25">
        <v>0</v>
      </c>
      <c r="AD25" s="25">
        <v>0</v>
      </c>
      <c r="AE25" s="25">
        <v>0</v>
      </c>
      <c r="AF25" s="25">
        <v>0</v>
      </c>
      <c r="AG25" s="25">
        <v>0</v>
      </c>
      <c r="AH25" s="25">
        <v>0</v>
      </c>
      <c r="AI25" s="25">
        <v>0</v>
      </c>
      <c r="AJ25" s="25">
        <v>0</v>
      </c>
    </row>
    <row r="26" spans="1:36" x14ac:dyDescent="0.25">
      <c r="A26" t="s">
        <v>467</v>
      </c>
      <c r="B26" t="s">
        <v>305</v>
      </c>
      <c r="C26" s="25">
        <v>8</v>
      </c>
      <c r="D26" s="25">
        <v>8</v>
      </c>
      <c r="E26" s="25">
        <v>8</v>
      </c>
      <c r="F26" s="25">
        <v>8</v>
      </c>
      <c r="G26" s="25">
        <v>8</v>
      </c>
      <c r="H26" s="25">
        <v>8</v>
      </c>
      <c r="I26" s="25">
        <v>8</v>
      </c>
      <c r="J26" s="25">
        <v>8</v>
      </c>
      <c r="K26" s="25">
        <v>8</v>
      </c>
      <c r="L26" s="25">
        <v>8</v>
      </c>
      <c r="M26" s="25">
        <v>8</v>
      </c>
      <c r="N26" s="25">
        <v>8</v>
      </c>
      <c r="O26" s="25">
        <v>8</v>
      </c>
      <c r="P26" s="25">
        <v>8</v>
      </c>
      <c r="Q26" s="25">
        <v>8</v>
      </c>
      <c r="R26" s="25">
        <v>8</v>
      </c>
      <c r="S26" s="25">
        <v>8</v>
      </c>
      <c r="T26" s="25">
        <v>8</v>
      </c>
      <c r="U26" s="25">
        <v>8</v>
      </c>
      <c r="V26" s="25">
        <v>8</v>
      </c>
      <c r="W26" s="25">
        <v>8</v>
      </c>
      <c r="X26" s="25">
        <v>8</v>
      </c>
      <c r="Y26" s="25">
        <v>8</v>
      </c>
      <c r="Z26" s="25">
        <v>8</v>
      </c>
      <c r="AA26" s="25">
        <v>8</v>
      </c>
      <c r="AB26" s="25">
        <v>8</v>
      </c>
      <c r="AC26" s="25">
        <v>8</v>
      </c>
      <c r="AD26" s="25">
        <v>8</v>
      </c>
      <c r="AE26" s="25">
        <v>8</v>
      </c>
      <c r="AF26" s="25">
        <v>8</v>
      </c>
      <c r="AG26" s="25">
        <v>8</v>
      </c>
      <c r="AH26" s="25">
        <v>8</v>
      </c>
      <c r="AI26" s="25">
        <v>8</v>
      </c>
      <c r="AJ26" s="25">
        <v>8</v>
      </c>
    </row>
    <row r="27" spans="1:36" x14ac:dyDescent="0.25">
      <c r="A27" t="s">
        <v>468</v>
      </c>
      <c r="B27" t="s">
        <v>305</v>
      </c>
      <c r="C27" s="25">
        <v>10</v>
      </c>
      <c r="D27" s="25">
        <v>10</v>
      </c>
      <c r="E27" s="25">
        <v>10</v>
      </c>
      <c r="F27" s="25">
        <v>10</v>
      </c>
      <c r="G27" s="25">
        <v>10</v>
      </c>
      <c r="H27" s="25">
        <v>10</v>
      </c>
      <c r="I27" s="25">
        <v>10</v>
      </c>
      <c r="J27" s="25">
        <v>10</v>
      </c>
      <c r="K27" s="25">
        <v>10</v>
      </c>
      <c r="L27" s="25">
        <v>10</v>
      </c>
      <c r="M27" s="25">
        <v>10</v>
      </c>
      <c r="N27" s="25">
        <v>10</v>
      </c>
      <c r="O27" s="25">
        <v>10</v>
      </c>
      <c r="P27" s="25">
        <v>10</v>
      </c>
      <c r="Q27" s="25">
        <v>10</v>
      </c>
      <c r="R27" s="25">
        <v>10</v>
      </c>
      <c r="S27" s="25">
        <v>10</v>
      </c>
      <c r="T27" s="25">
        <v>10</v>
      </c>
      <c r="U27" s="25">
        <v>10</v>
      </c>
      <c r="V27" s="25">
        <v>10</v>
      </c>
      <c r="W27" s="25">
        <v>10</v>
      </c>
      <c r="X27" s="25">
        <v>10</v>
      </c>
      <c r="Y27" s="25">
        <v>10</v>
      </c>
      <c r="Z27" s="25">
        <v>10</v>
      </c>
      <c r="AA27" s="25">
        <v>10</v>
      </c>
      <c r="AB27" s="25">
        <v>10</v>
      </c>
      <c r="AC27" s="25">
        <v>10</v>
      </c>
      <c r="AD27" s="25">
        <v>10</v>
      </c>
      <c r="AE27" s="25">
        <v>10</v>
      </c>
      <c r="AF27" s="25">
        <v>10</v>
      </c>
      <c r="AG27" s="25">
        <v>10</v>
      </c>
      <c r="AH27" s="25">
        <v>10</v>
      </c>
      <c r="AI27" s="25">
        <v>10</v>
      </c>
      <c r="AJ27" s="25">
        <v>10</v>
      </c>
    </row>
    <row r="28" spans="1:36" x14ac:dyDescent="0.25">
      <c r="A28" t="s">
        <v>469</v>
      </c>
      <c r="B28" t="s">
        <v>305</v>
      </c>
      <c r="C28" s="25">
        <v>3</v>
      </c>
      <c r="D28" s="25">
        <v>3</v>
      </c>
      <c r="E28" s="25">
        <v>3</v>
      </c>
      <c r="F28" s="25">
        <v>3</v>
      </c>
      <c r="G28" s="25">
        <v>3</v>
      </c>
      <c r="H28" s="25">
        <v>3</v>
      </c>
      <c r="I28" s="25">
        <v>3</v>
      </c>
      <c r="J28" s="25">
        <v>3</v>
      </c>
      <c r="K28" s="25">
        <v>3</v>
      </c>
      <c r="L28" s="25">
        <v>3</v>
      </c>
      <c r="M28" s="25">
        <v>3</v>
      </c>
      <c r="N28" s="25">
        <v>3</v>
      </c>
      <c r="O28" s="25">
        <v>3</v>
      </c>
      <c r="P28" s="25">
        <v>3</v>
      </c>
      <c r="Q28" s="25">
        <v>3</v>
      </c>
      <c r="R28" s="25">
        <v>3</v>
      </c>
      <c r="S28" s="25">
        <v>3</v>
      </c>
      <c r="T28" s="25">
        <v>3</v>
      </c>
      <c r="U28" s="25">
        <v>3</v>
      </c>
      <c r="V28" s="25">
        <v>3</v>
      </c>
      <c r="W28" s="25">
        <v>3</v>
      </c>
      <c r="X28" s="25">
        <v>3</v>
      </c>
      <c r="Y28" s="25">
        <v>3</v>
      </c>
      <c r="Z28" s="25">
        <v>3</v>
      </c>
      <c r="AA28" s="25">
        <v>3</v>
      </c>
      <c r="AB28" s="25">
        <v>3</v>
      </c>
      <c r="AC28" s="25">
        <v>3</v>
      </c>
      <c r="AD28" s="25">
        <v>3</v>
      </c>
      <c r="AE28" s="25">
        <v>3</v>
      </c>
      <c r="AF28" s="25">
        <v>3</v>
      </c>
      <c r="AG28" s="25">
        <v>3</v>
      </c>
      <c r="AH28" s="25">
        <v>3</v>
      </c>
      <c r="AI28" s="25">
        <v>3</v>
      </c>
      <c r="AJ28" s="25">
        <v>3</v>
      </c>
    </row>
    <row r="29" spans="1:36" x14ac:dyDescent="0.25">
      <c r="A29" t="s">
        <v>470</v>
      </c>
      <c r="B29" t="s">
        <v>305</v>
      </c>
      <c r="C29" s="25">
        <v>0</v>
      </c>
      <c r="D29" s="25">
        <v>0</v>
      </c>
      <c r="E29" s="25">
        <v>0</v>
      </c>
      <c r="F29" s="25">
        <v>0</v>
      </c>
      <c r="G29" s="25">
        <v>0</v>
      </c>
      <c r="H29" s="25">
        <v>0</v>
      </c>
      <c r="I29" s="25">
        <v>0</v>
      </c>
      <c r="J29" s="25">
        <v>0</v>
      </c>
      <c r="K29" s="25">
        <v>0</v>
      </c>
      <c r="L29" s="25">
        <v>0</v>
      </c>
      <c r="M29" s="25">
        <v>0</v>
      </c>
      <c r="N29" s="25">
        <v>0</v>
      </c>
      <c r="O29" s="25">
        <v>0</v>
      </c>
      <c r="P29" s="25">
        <v>0</v>
      </c>
      <c r="Q29" s="25">
        <v>0</v>
      </c>
      <c r="R29" s="25">
        <v>0</v>
      </c>
      <c r="S29" s="25">
        <v>0</v>
      </c>
      <c r="T29" s="25">
        <v>0</v>
      </c>
      <c r="U29" s="25">
        <v>0</v>
      </c>
      <c r="V29" s="25">
        <v>0</v>
      </c>
      <c r="W29" s="25">
        <v>0</v>
      </c>
      <c r="X29" s="25">
        <v>0</v>
      </c>
      <c r="Y29" s="25">
        <v>0</v>
      </c>
      <c r="Z29" s="25">
        <v>0</v>
      </c>
      <c r="AA29" s="25">
        <v>0</v>
      </c>
      <c r="AB29" s="25">
        <v>0</v>
      </c>
      <c r="AC29" s="25">
        <v>0</v>
      </c>
      <c r="AD29" s="25">
        <v>0</v>
      </c>
      <c r="AE29" s="25">
        <v>0</v>
      </c>
      <c r="AF29" s="25">
        <v>0</v>
      </c>
      <c r="AG29" s="25">
        <v>0</v>
      </c>
      <c r="AH29" s="25">
        <v>0</v>
      </c>
      <c r="AI29" s="25">
        <v>0</v>
      </c>
      <c r="AJ29" s="25">
        <v>0</v>
      </c>
    </row>
    <row r="30" spans="1:36" x14ac:dyDescent="0.25">
      <c r="A30" t="s">
        <v>471</v>
      </c>
      <c r="B30" t="s">
        <v>305</v>
      </c>
      <c r="C30" s="25">
        <v>8</v>
      </c>
      <c r="D30" s="25">
        <v>8</v>
      </c>
      <c r="E30" s="25">
        <v>8</v>
      </c>
      <c r="F30" s="25">
        <v>8</v>
      </c>
      <c r="G30" s="25">
        <v>8</v>
      </c>
      <c r="H30" s="25">
        <v>8</v>
      </c>
      <c r="I30" s="25">
        <v>8</v>
      </c>
      <c r="J30" s="25">
        <v>8</v>
      </c>
      <c r="K30" s="25">
        <v>8</v>
      </c>
      <c r="L30" s="25">
        <v>8</v>
      </c>
      <c r="M30" s="25">
        <v>8</v>
      </c>
      <c r="N30" s="25">
        <v>8</v>
      </c>
      <c r="O30" s="25">
        <v>8</v>
      </c>
      <c r="P30" s="25">
        <v>8</v>
      </c>
      <c r="Q30" s="25">
        <v>8</v>
      </c>
      <c r="R30" s="25">
        <v>8</v>
      </c>
      <c r="S30" s="25">
        <v>8</v>
      </c>
      <c r="T30" s="25">
        <v>8</v>
      </c>
      <c r="U30" s="25">
        <v>8</v>
      </c>
      <c r="V30" s="25">
        <v>8</v>
      </c>
      <c r="W30" s="25">
        <v>8</v>
      </c>
      <c r="X30" s="25">
        <v>8</v>
      </c>
      <c r="Y30" s="25">
        <v>8</v>
      </c>
      <c r="Z30" s="25">
        <v>8</v>
      </c>
      <c r="AA30" s="25">
        <v>8</v>
      </c>
      <c r="AB30" s="25">
        <v>8</v>
      </c>
      <c r="AC30" s="25">
        <v>8</v>
      </c>
      <c r="AD30" s="25">
        <v>8</v>
      </c>
      <c r="AE30" s="25">
        <v>8</v>
      </c>
      <c r="AF30" s="25">
        <v>8</v>
      </c>
      <c r="AG30" s="25">
        <v>8</v>
      </c>
      <c r="AH30" s="25">
        <v>8</v>
      </c>
      <c r="AI30" s="25">
        <v>8</v>
      </c>
      <c r="AJ30" s="25">
        <v>8</v>
      </c>
    </row>
    <row r="31" spans="1:36" x14ac:dyDescent="0.25">
      <c r="A31" t="s">
        <v>472</v>
      </c>
      <c r="B31" t="s">
        <v>305</v>
      </c>
      <c r="C31" s="25">
        <v>0</v>
      </c>
      <c r="D31" s="25">
        <v>0</v>
      </c>
      <c r="E31" s="25">
        <v>0</v>
      </c>
      <c r="F31" s="25">
        <v>0</v>
      </c>
      <c r="G31" s="25">
        <v>0</v>
      </c>
      <c r="H31" s="25">
        <v>0</v>
      </c>
      <c r="I31" s="25">
        <v>0</v>
      </c>
      <c r="J31" s="25">
        <v>0</v>
      </c>
      <c r="K31" s="25">
        <v>0</v>
      </c>
      <c r="L31" s="25">
        <v>0</v>
      </c>
      <c r="M31" s="25">
        <v>0</v>
      </c>
      <c r="N31" s="25">
        <v>0</v>
      </c>
      <c r="O31" s="25">
        <v>0</v>
      </c>
      <c r="P31" s="25">
        <v>0</v>
      </c>
      <c r="Q31" s="25">
        <v>0</v>
      </c>
      <c r="R31" s="25">
        <v>0</v>
      </c>
      <c r="S31" s="25">
        <v>0</v>
      </c>
      <c r="T31" s="25">
        <v>0</v>
      </c>
      <c r="U31" s="25">
        <v>0</v>
      </c>
      <c r="V31" s="25">
        <v>0</v>
      </c>
      <c r="W31" s="25">
        <v>0</v>
      </c>
      <c r="X31" s="25">
        <v>0</v>
      </c>
      <c r="Y31" s="25">
        <v>0</v>
      </c>
      <c r="Z31" s="25">
        <v>0</v>
      </c>
      <c r="AA31" s="25">
        <v>0</v>
      </c>
      <c r="AB31" s="25">
        <v>0</v>
      </c>
      <c r="AC31" s="25">
        <v>0</v>
      </c>
      <c r="AD31" s="25">
        <v>0</v>
      </c>
      <c r="AE31" s="25">
        <v>0</v>
      </c>
      <c r="AF31" s="25">
        <v>0</v>
      </c>
      <c r="AG31" s="25">
        <v>0</v>
      </c>
      <c r="AH31" s="25">
        <v>0</v>
      </c>
      <c r="AI31" s="25">
        <v>0</v>
      </c>
      <c r="AJ31" s="25">
        <v>0</v>
      </c>
    </row>
    <row r="32" spans="1:36" x14ac:dyDescent="0.25">
      <c r="A32" t="s">
        <v>473</v>
      </c>
      <c r="B32" t="s">
        <v>305</v>
      </c>
      <c r="C32" s="25">
        <v>0</v>
      </c>
      <c r="D32" s="25">
        <v>0</v>
      </c>
      <c r="E32" s="25">
        <v>0</v>
      </c>
      <c r="F32" s="25">
        <v>0</v>
      </c>
      <c r="G32" s="25">
        <v>0</v>
      </c>
      <c r="H32" s="25">
        <v>0</v>
      </c>
      <c r="I32" s="25">
        <v>0</v>
      </c>
      <c r="J32" s="25">
        <v>0</v>
      </c>
      <c r="K32" s="25">
        <v>0</v>
      </c>
      <c r="L32" s="25">
        <v>0</v>
      </c>
      <c r="M32" s="25">
        <v>0</v>
      </c>
      <c r="N32" s="25">
        <v>0</v>
      </c>
      <c r="O32" s="25">
        <v>0</v>
      </c>
      <c r="P32" s="25">
        <v>0</v>
      </c>
      <c r="Q32" s="25">
        <v>0</v>
      </c>
      <c r="R32" s="25">
        <v>0</v>
      </c>
      <c r="S32" s="25">
        <v>0</v>
      </c>
      <c r="T32" s="25">
        <v>0</v>
      </c>
      <c r="U32" s="25">
        <v>0</v>
      </c>
      <c r="V32" s="25">
        <v>0</v>
      </c>
      <c r="W32" s="25">
        <v>0</v>
      </c>
      <c r="X32" s="25">
        <v>0</v>
      </c>
      <c r="Y32" s="25">
        <v>0</v>
      </c>
      <c r="Z32" s="25">
        <v>0</v>
      </c>
      <c r="AA32" s="25">
        <v>0</v>
      </c>
      <c r="AB32" s="25">
        <v>0</v>
      </c>
      <c r="AC32" s="25">
        <v>0</v>
      </c>
      <c r="AD32" s="25">
        <v>0</v>
      </c>
      <c r="AE32" s="25">
        <v>0</v>
      </c>
      <c r="AF32" s="25">
        <v>0</v>
      </c>
      <c r="AG32" s="25">
        <v>0</v>
      </c>
      <c r="AH32" s="25">
        <v>0</v>
      </c>
      <c r="AI32" s="25">
        <v>0</v>
      </c>
      <c r="AJ32" s="25">
        <v>0</v>
      </c>
    </row>
    <row r="33" spans="1:36" x14ac:dyDescent="0.25">
      <c r="A33" t="s">
        <v>474</v>
      </c>
      <c r="B33" t="s">
        <v>305</v>
      </c>
      <c r="C33" s="25">
        <v>60</v>
      </c>
      <c r="D33" s="25">
        <v>60</v>
      </c>
      <c r="E33" s="25">
        <v>60</v>
      </c>
      <c r="F33" s="25">
        <v>60</v>
      </c>
      <c r="G33" s="25">
        <v>60</v>
      </c>
      <c r="H33" s="25">
        <v>60</v>
      </c>
      <c r="I33" s="25">
        <v>60</v>
      </c>
      <c r="J33" s="25">
        <v>60</v>
      </c>
      <c r="K33" s="25">
        <v>60</v>
      </c>
      <c r="L33" s="25">
        <v>60</v>
      </c>
      <c r="M33" s="25">
        <v>60</v>
      </c>
      <c r="N33" s="25">
        <v>60</v>
      </c>
      <c r="O33" s="25">
        <v>60</v>
      </c>
      <c r="P33" s="25">
        <v>60</v>
      </c>
      <c r="Q33" s="25">
        <v>60</v>
      </c>
      <c r="R33" s="25">
        <v>60</v>
      </c>
      <c r="S33" s="25">
        <v>60</v>
      </c>
      <c r="T33" s="25">
        <v>60</v>
      </c>
      <c r="U33" s="25">
        <v>60</v>
      </c>
      <c r="V33" s="25">
        <v>60</v>
      </c>
      <c r="W33" s="25">
        <v>60</v>
      </c>
      <c r="X33" s="25">
        <v>60</v>
      </c>
      <c r="Y33" s="25">
        <v>60</v>
      </c>
      <c r="Z33" s="25">
        <v>60</v>
      </c>
      <c r="AA33" s="25">
        <v>60</v>
      </c>
      <c r="AB33" s="25">
        <v>60</v>
      </c>
      <c r="AC33" s="25">
        <v>60</v>
      </c>
      <c r="AD33" s="25">
        <v>60</v>
      </c>
      <c r="AE33" s="25">
        <v>60</v>
      </c>
      <c r="AF33" s="25">
        <v>60</v>
      </c>
      <c r="AG33" s="25">
        <v>60</v>
      </c>
      <c r="AH33" s="25">
        <v>60</v>
      </c>
      <c r="AI33" s="25">
        <v>60</v>
      </c>
      <c r="AJ33" s="25">
        <v>60</v>
      </c>
    </row>
    <row r="34" spans="1:36" x14ac:dyDescent="0.25">
      <c r="A34" t="s">
        <v>762</v>
      </c>
      <c r="B34" t="s">
        <v>305</v>
      </c>
      <c r="C34" s="25">
        <v>0</v>
      </c>
      <c r="D34" s="25">
        <v>0</v>
      </c>
      <c r="E34" s="25">
        <v>0</v>
      </c>
      <c r="F34" s="25">
        <v>0</v>
      </c>
      <c r="G34" s="25">
        <v>0</v>
      </c>
      <c r="H34" s="25">
        <v>0</v>
      </c>
      <c r="I34" s="25">
        <v>0</v>
      </c>
      <c r="J34" s="25">
        <v>0</v>
      </c>
      <c r="K34" s="25">
        <v>0</v>
      </c>
      <c r="L34" s="25">
        <v>0</v>
      </c>
      <c r="M34" s="25">
        <v>0</v>
      </c>
      <c r="N34" s="25">
        <v>0</v>
      </c>
      <c r="O34" s="25">
        <v>0</v>
      </c>
      <c r="P34" s="25">
        <v>0</v>
      </c>
      <c r="Q34" s="25">
        <v>0</v>
      </c>
      <c r="R34" s="25">
        <v>0</v>
      </c>
      <c r="S34" s="25">
        <v>0</v>
      </c>
      <c r="T34" s="25">
        <v>0</v>
      </c>
      <c r="U34" s="25">
        <v>0</v>
      </c>
      <c r="V34" s="25">
        <v>0</v>
      </c>
      <c r="W34" s="25">
        <v>0</v>
      </c>
      <c r="X34" s="25">
        <v>0</v>
      </c>
      <c r="Y34" s="25">
        <v>0</v>
      </c>
      <c r="Z34" s="25">
        <v>0</v>
      </c>
      <c r="AA34" s="25">
        <v>0</v>
      </c>
      <c r="AB34" s="25">
        <v>0</v>
      </c>
      <c r="AC34" s="25">
        <v>0</v>
      </c>
      <c r="AD34" s="25">
        <v>0</v>
      </c>
      <c r="AE34" s="25">
        <v>0</v>
      </c>
      <c r="AF34" s="25">
        <v>0</v>
      </c>
      <c r="AG34" s="25">
        <v>0</v>
      </c>
      <c r="AH34" s="25">
        <v>0</v>
      </c>
      <c r="AI34" s="25">
        <v>0</v>
      </c>
      <c r="AJ34" s="25">
        <v>0</v>
      </c>
    </row>
    <row r="35" spans="1:36" s="80" customFormat="1" x14ac:dyDescent="0.25">
      <c r="A35" s="80" t="s">
        <v>789</v>
      </c>
      <c r="C35" s="81">
        <f>+SUM(C24:C34)</f>
        <v>100</v>
      </c>
      <c r="D35" s="81">
        <f t="shared" ref="D35" si="1">+SUM(D24:D34)</f>
        <v>100</v>
      </c>
      <c r="E35" s="81">
        <f t="shared" ref="E35" si="2">+SUM(E24:E34)</f>
        <v>100</v>
      </c>
      <c r="F35" s="81">
        <f t="shared" ref="F35" si="3">+SUM(F24:F34)</f>
        <v>100</v>
      </c>
      <c r="G35" s="81">
        <f t="shared" ref="G35" si="4">+SUM(G24:G34)</f>
        <v>100</v>
      </c>
      <c r="H35" s="81">
        <f t="shared" ref="H35" si="5">+SUM(H24:H34)</f>
        <v>100</v>
      </c>
      <c r="I35" s="81">
        <f t="shared" ref="I35" si="6">+SUM(I24:I34)</f>
        <v>100</v>
      </c>
      <c r="J35" s="81">
        <f t="shared" ref="J35" si="7">+SUM(J24:J34)</f>
        <v>100</v>
      </c>
      <c r="K35" s="81">
        <f t="shared" ref="K35" si="8">+SUM(K24:K34)</f>
        <v>100</v>
      </c>
      <c r="L35" s="81">
        <f t="shared" ref="L35" si="9">+SUM(L24:L34)</f>
        <v>100</v>
      </c>
      <c r="M35" s="81">
        <f t="shared" ref="M35" si="10">+SUM(M24:M34)</f>
        <v>100</v>
      </c>
      <c r="N35" s="81">
        <f t="shared" ref="N35" si="11">+SUM(N24:N34)</f>
        <v>100</v>
      </c>
      <c r="O35" s="81">
        <f t="shared" ref="O35" si="12">+SUM(O24:O34)</f>
        <v>100</v>
      </c>
      <c r="P35" s="81">
        <f t="shared" ref="P35" si="13">+SUM(P24:P34)</f>
        <v>100</v>
      </c>
      <c r="Q35" s="81">
        <f t="shared" ref="Q35" si="14">+SUM(Q24:Q34)</f>
        <v>100</v>
      </c>
      <c r="R35" s="81">
        <f t="shared" ref="R35" si="15">+SUM(R24:R34)</f>
        <v>100</v>
      </c>
      <c r="S35" s="81">
        <f t="shared" ref="S35" si="16">+SUM(S24:S34)</f>
        <v>100</v>
      </c>
      <c r="T35" s="81">
        <f t="shared" ref="T35" si="17">+SUM(T24:T34)</f>
        <v>100</v>
      </c>
      <c r="U35" s="81">
        <f t="shared" ref="U35" si="18">+SUM(U24:U34)</f>
        <v>100</v>
      </c>
      <c r="V35" s="81">
        <f t="shared" ref="V35" si="19">+SUM(V24:V34)</f>
        <v>100</v>
      </c>
      <c r="W35" s="81">
        <f t="shared" ref="W35" si="20">+SUM(W24:W34)</f>
        <v>100</v>
      </c>
      <c r="X35" s="81">
        <f t="shared" ref="X35" si="21">+SUM(X24:X34)</f>
        <v>100</v>
      </c>
      <c r="Y35" s="81">
        <f t="shared" ref="Y35" si="22">+SUM(Y24:Y34)</f>
        <v>100</v>
      </c>
      <c r="Z35" s="81">
        <f t="shared" ref="Z35" si="23">+SUM(Z24:Z34)</f>
        <v>100</v>
      </c>
      <c r="AA35" s="81">
        <f t="shared" ref="AA35" si="24">+SUM(AA24:AA34)</f>
        <v>100</v>
      </c>
      <c r="AB35" s="81">
        <f t="shared" ref="AB35" si="25">+SUM(AB24:AB34)</f>
        <v>100</v>
      </c>
      <c r="AC35" s="81">
        <f t="shared" ref="AC35" si="26">+SUM(AC24:AC34)</f>
        <v>100</v>
      </c>
      <c r="AD35" s="81">
        <f t="shared" ref="AD35" si="27">+SUM(AD24:AD34)</f>
        <v>100</v>
      </c>
      <c r="AE35" s="81">
        <f t="shared" ref="AE35" si="28">+SUM(AE24:AE34)</f>
        <v>100</v>
      </c>
      <c r="AF35" s="81">
        <f t="shared" ref="AF35" si="29">+SUM(AF24:AF34)</f>
        <v>100</v>
      </c>
      <c r="AG35" s="81">
        <f t="shared" ref="AG35" si="30">+SUM(AG24:AG34)</f>
        <v>100</v>
      </c>
      <c r="AH35" s="81">
        <f t="shared" ref="AH35" si="31">+SUM(AH24:AH34)</f>
        <v>100</v>
      </c>
      <c r="AI35" s="81">
        <f t="shared" ref="AI35" si="32">+SUM(AI24:AI34)</f>
        <v>100</v>
      </c>
      <c r="AJ35" s="81">
        <f t="shared" ref="AJ35" si="33">+SUM(AJ24:AJ34)</f>
        <v>100</v>
      </c>
    </row>
    <row r="36" spans="1:36" x14ac:dyDescent="0.25">
      <c r="A36" t="s">
        <v>475</v>
      </c>
      <c r="B36" t="s">
        <v>305</v>
      </c>
      <c r="C36" s="25">
        <v>0</v>
      </c>
      <c r="D36" s="25">
        <v>0</v>
      </c>
      <c r="E36" s="25">
        <v>0</v>
      </c>
      <c r="F36" s="25">
        <v>0</v>
      </c>
      <c r="G36" s="25">
        <v>0</v>
      </c>
      <c r="H36" s="25">
        <v>0</v>
      </c>
      <c r="I36" s="25">
        <v>0</v>
      </c>
      <c r="J36" s="25">
        <v>0</v>
      </c>
      <c r="K36" s="25">
        <v>0</v>
      </c>
      <c r="L36" s="25">
        <v>0</v>
      </c>
      <c r="M36" s="25">
        <v>0</v>
      </c>
      <c r="N36" s="25">
        <v>0</v>
      </c>
      <c r="O36" s="25">
        <v>0</v>
      </c>
      <c r="P36" s="25">
        <v>0</v>
      </c>
      <c r="Q36" s="25">
        <v>0</v>
      </c>
      <c r="R36" s="25">
        <v>0</v>
      </c>
      <c r="S36" s="25">
        <v>0</v>
      </c>
      <c r="T36" s="25">
        <v>0</v>
      </c>
      <c r="U36" s="25">
        <v>0</v>
      </c>
      <c r="V36" s="25">
        <v>0</v>
      </c>
      <c r="W36" s="25">
        <v>0</v>
      </c>
      <c r="X36" s="25">
        <v>0</v>
      </c>
      <c r="Y36" s="25">
        <v>0</v>
      </c>
      <c r="Z36" s="25">
        <v>0</v>
      </c>
      <c r="AA36" s="25">
        <v>0</v>
      </c>
      <c r="AB36" s="25">
        <v>0</v>
      </c>
      <c r="AC36" s="25">
        <v>0</v>
      </c>
      <c r="AD36" s="25">
        <v>0</v>
      </c>
      <c r="AE36" s="25">
        <v>0</v>
      </c>
      <c r="AF36" s="25">
        <v>0</v>
      </c>
      <c r="AG36" s="25">
        <v>0</v>
      </c>
      <c r="AH36" s="25">
        <v>0</v>
      </c>
      <c r="AI36" s="25">
        <v>0</v>
      </c>
      <c r="AJ36" s="25">
        <v>0</v>
      </c>
    </row>
    <row r="37" spans="1:36" x14ac:dyDescent="0.25">
      <c r="A37" t="s">
        <v>476</v>
      </c>
      <c r="B37" t="s">
        <v>305</v>
      </c>
      <c r="C37" s="25">
        <v>0</v>
      </c>
      <c r="D37" s="25">
        <v>0</v>
      </c>
      <c r="E37" s="25">
        <v>0</v>
      </c>
      <c r="F37" s="25">
        <v>0</v>
      </c>
      <c r="G37" s="25">
        <v>0</v>
      </c>
      <c r="H37" s="25">
        <v>0</v>
      </c>
      <c r="I37" s="25">
        <v>0</v>
      </c>
      <c r="J37" s="25">
        <v>0</v>
      </c>
      <c r="K37" s="25">
        <v>0</v>
      </c>
      <c r="L37" s="25">
        <v>0</v>
      </c>
      <c r="M37" s="25">
        <v>0</v>
      </c>
      <c r="N37" s="25">
        <v>0</v>
      </c>
      <c r="O37" s="25">
        <v>0</v>
      </c>
      <c r="P37" s="25">
        <v>0</v>
      </c>
      <c r="Q37" s="25">
        <v>0</v>
      </c>
      <c r="R37" s="25">
        <v>0</v>
      </c>
      <c r="S37" s="25">
        <v>0</v>
      </c>
      <c r="T37" s="25">
        <v>0</v>
      </c>
      <c r="U37" s="25">
        <v>0</v>
      </c>
      <c r="V37" s="25">
        <v>0</v>
      </c>
      <c r="W37" s="25">
        <v>0</v>
      </c>
      <c r="X37" s="25">
        <v>0</v>
      </c>
      <c r="Y37" s="25">
        <v>0</v>
      </c>
      <c r="Z37" s="25">
        <v>0</v>
      </c>
      <c r="AA37" s="25">
        <v>0</v>
      </c>
      <c r="AB37" s="25">
        <v>0</v>
      </c>
      <c r="AC37" s="25">
        <v>0</v>
      </c>
      <c r="AD37" s="25">
        <v>0</v>
      </c>
      <c r="AE37" s="25">
        <v>0</v>
      </c>
      <c r="AF37" s="25">
        <v>0</v>
      </c>
      <c r="AG37" s="25">
        <v>0</v>
      </c>
      <c r="AH37" s="25">
        <v>0</v>
      </c>
      <c r="AI37" s="25">
        <v>0</v>
      </c>
      <c r="AJ37" s="25">
        <v>0</v>
      </c>
    </row>
    <row r="38" spans="1:36" x14ac:dyDescent="0.25">
      <c r="A38" t="s">
        <v>477</v>
      </c>
      <c r="B38" t="s">
        <v>305</v>
      </c>
      <c r="C38" s="25">
        <v>0</v>
      </c>
      <c r="D38" s="25">
        <v>0</v>
      </c>
      <c r="E38" s="25">
        <v>0</v>
      </c>
      <c r="F38" s="25">
        <v>0</v>
      </c>
      <c r="G38" s="25">
        <v>0</v>
      </c>
      <c r="H38" s="25">
        <v>0</v>
      </c>
      <c r="I38" s="25">
        <v>0</v>
      </c>
      <c r="J38" s="25">
        <v>0</v>
      </c>
      <c r="K38" s="25">
        <v>0</v>
      </c>
      <c r="L38" s="25">
        <v>0</v>
      </c>
      <c r="M38" s="25">
        <v>0</v>
      </c>
      <c r="N38" s="25">
        <v>0</v>
      </c>
      <c r="O38" s="25">
        <v>0</v>
      </c>
      <c r="P38" s="25">
        <v>0</v>
      </c>
      <c r="Q38" s="25">
        <v>0</v>
      </c>
      <c r="R38" s="25">
        <v>0</v>
      </c>
      <c r="S38" s="25">
        <v>0</v>
      </c>
      <c r="T38" s="25">
        <v>0</v>
      </c>
      <c r="U38" s="25">
        <v>0</v>
      </c>
      <c r="V38" s="25">
        <v>0</v>
      </c>
      <c r="W38" s="25">
        <v>0</v>
      </c>
      <c r="X38" s="25">
        <v>0</v>
      </c>
      <c r="Y38" s="25">
        <v>0</v>
      </c>
      <c r="Z38" s="25">
        <v>0</v>
      </c>
      <c r="AA38" s="25">
        <v>0</v>
      </c>
      <c r="AB38" s="25">
        <v>0</v>
      </c>
      <c r="AC38" s="25">
        <v>0</v>
      </c>
      <c r="AD38" s="25">
        <v>0</v>
      </c>
      <c r="AE38" s="25">
        <v>0</v>
      </c>
      <c r="AF38" s="25">
        <v>0</v>
      </c>
      <c r="AG38" s="25">
        <v>0</v>
      </c>
      <c r="AH38" s="25">
        <v>0</v>
      </c>
      <c r="AI38" s="25">
        <v>0</v>
      </c>
      <c r="AJ38" s="25">
        <v>0</v>
      </c>
    </row>
    <row r="39" spans="1:36" x14ac:dyDescent="0.25">
      <c r="A39" t="s">
        <v>478</v>
      </c>
      <c r="B39" t="s">
        <v>305</v>
      </c>
      <c r="C39" s="25">
        <v>2</v>
      </c>
      <c r="D39" s="25">
        <v>2</v>
      </c>
      <c r="E39" s="25">
        <v>2</v>
      </c>
      <c r="F39" s="25">
        <v>2</v>
      </c>
      <c r="G39" s="25">
        <v>2</v>
      </c>
      <c r="H39" s="25">
        <v>2</v>
      </c>
      <c r="I39" s="25">
        <v>2</v>
      </c>
      <c r="J39" s="25">
        <v>2</v>
      </c>
      <c r="K39" s="25">
        <v>2</v>
      </c>
      <c r="L39" s="25">
        <v>2</v>
      </c>
      <c r="M39" s="25">
        <v>2</v>
      </c>
      <c r="N39" s="25">
        <v>2</v>
      </c>
      <c r="O39" s="25">
        <v>2</v>
      </c>
      <c r="P39" s="25">
        <v>2</v>
      </c>
      <c r="Q39" s="25">
        <v>2</v>
      </c>
      <c r="R39" s="25">
        <v>2</v>
      </c>
      <c r="S39" s="25">
        <v>2</v>
      </c>
      <c r="T39" s="25">
        <v>2</v>
      </c>
      <c r="U39" s="25">
        <v>2</v>
      </c>
      <c r="V39" s="25">
        <v>2</v>
      </c>
      <c r="W39" s="25">
        <v>2</v>
      </c>
      <c r="X39" s="25">
        <v>2</v>
      </c>
      <c r="Y39" s="25">
        <v>2</v>
      </c>
      <c r="Z39" s="25">
        <v>2</v>
      </c>
      <c r="AA39" s="25">
        <v>2</v>
      </c>
      <c r="AB39" s="25">
        <v>2</v>
      </c>
      <c r="AC39" s="25">
        <v>2</v>
      </c>
      <c r="AD39" s="25">
        <v>2</v>
      </c>
      <c r="AE39" s="25">
        <v>2</v>
      </c>
      <c r="AF39" s="25">
        <v>2</v>
      </c>
      <c r="AG39" s="25">
        <v>2</v>
      </c>
      <c r="AH39" s="25">
        <v>2</v>
      </c>
      <c r="AI39" s="25">
        <v>2</v>
      </c>
      <c r="AJ39" s="25">
        <v>2</v>
      </c>
    </row>
    <row r="40" spans="1:36" x14ac:dyDescent="0.25">
      <c r="A40" t="s">
        <v>479</v>
      </c>
      <c r="B40" t="s">
        <v>305</v>
      </c>
      <c r="C40" s="25">
        <v>1</v>
      </c>
      <c r="D40" s="25">
        <v>1</v>
      </c>
      <c r="E40" s="25">
        <v>1</v>
      </c>
      <c r="F40" s="25">
        <v>1</v>
      </c>
      <c r="G40" s="25">
        <v>1</v>
      </c>
      <c r="H40" s="25">
        <v>1</v>
      </c>
      <c r="I40" s="25">
        <v>1</v>
      </c>
      <c r="J40" s="25">
        <v>1</v>
      </c>
      <c r="K40" s="25">
        <v>1</v>
      </c>
      <c r="L40" s="25">
        <v>1</v>
      </c>
      <c r="M40" s="25">
        <v>1</v>
      </c>
      <c r="N40" s="25">
        <v>1</v>
      </c>
      <c r="O40" s="25">
        <v>1</v>
      </c>
      <c r="P40" s="25">
        <v>1</v>
      </c>
      <c r="Q40" s="25">
        <v>1</v>
      </c>
      <c r="R40" s="25">
        <v>1</v>
      </c>
      <c r="S40" s="25">
        <v>1</v>
      </c>
      <c r="T40" s="25">
        <v>1</v>
      </c>
      <c r="U40" s="25">
        <v>1</v>
      </c>
      <c r="V40" s="25">
        <v>1</v>
      </c>
      <c r="W40" s="25">
        <v>1</v>
      </c>
      <c r="X40" s="25">
        <v>1</v>
      </c>
      <c r="Y40" s="25">
        <v>1</v>
      </c>
      <c r="Z40" s="25">
        <v>1</v>
      </c>
      <c r="AA40" s="25">
        <v>1</v>
      </c>
      <c r="AB40" s="25">
        <v>1</v>
      </c>
      <c r="AC40" s="25">
        <v>1</v>
      </c>
      <c r="AD40" s="25">
        <v>1</v>
      </c>
      <c r="AE40" s="25">
        <v>1</v>
      </c>
      <c r="AF40" s="25">
        <v>1</v>
      </c>
      <c r="AG40" s="25">
        <v>1</v>
      </c>
      <c r="AH40" s="25">
        <v>1</v>
      </c>
      <c r="AI40" s="25">
        <v>1</v>
      </c>
      <c r="AJ40" s="25">
        <v>1</v>
      </c>
    </row>
    <row r="41" spans="1:36" x14ac:dyDescent="0.25">
      <c r="A41" t="s">
        <v>480</v>
      </c>
      <c r="B41" t="s">
        <v>305</v>
      </c>
      <c r="C41" s="25">
        <v>0</v>
      </c>
      <c r="D41" s="25">
        <v>0</v>
      </c>
      <c r="E41" s="25">
        <v>0</v>
      </c>
      <c r="F41" s="25">
        <v>0</v>
      </c>
      <c r="G41" s="25">
        <v>0</v>
      </c>
      <c r="H41" s="25">
        <v>0</v>
      </c>
      <c r="I41" s="25">
        <v>0</v>
      </c>
      <c r="J41" s="25">
        <v>0</v>
      </c>
      <c r="K41" s="25">
        <v>0</v>
      </c>
      <c r="L41" s="25">
        <v>0</v>
      </c>
      <c r="M41" s="25">
        <v>0</v>
      </c>
      <c r="N41" s="25">
        <v>0</v>
      </c>
      <c r="O41" s="25">
        <v>0</v>
      </c>
      <c r="P41" s="25">
        <v>0</v>
      </c>
      <c r="Q41" s="25">
        <v>0</v>
      </c>
      <c r="R41" s="25">
        <v>0</v>
      </c>
      <c r="S41" s="25">
        <v>0</v>
      </c>
      <c r="T41" s="25">
        <v>0</v>
      </c>
      <c r="U41" s="25">
        <v>0</v>
      </c>
      <c r="V41" s="25">
        <v>0</v>
      </c>
      <c r="W41" s="25">
        <v>0</v>
      </c>
      <c r="X41" s="25">
        <v>0</v>
      </c>
      <c r="Y41" s="25">
        <v>0</v>
      </c>
      <c r="Z41" s="25">
        <v>0</v>
      </c>
      <c r="AA41" s="25">
        <v>0</v>
      </c>
      <c r="AB41" s="25">
        <v>0</v>
      </c>
      <c r="AC41" s="25">
        <v>0</v>
      </c>
      <c r="AD41" s="25">
        <v>0</v>
      </c>
      <c r="AE41" s="25">
        <v>0</v>
      </c>
      <c r="AF41" s="25">
        <v>0</v>
      </c>
      <c r="AG41" s="25">
        <v>0</v>
      </c>
      <c r="AH41" s="25">
        <v>0</v>
      </c>
      <c r="AI41" s="25">
        <v>0</v>
      </c>
      <c r="AJ41" s="25">
        <v>0</v>
      </c>
    </row>
    <row r="42" spans="1:36" x14ac:dyDescent="0.25">
      <c r="A42" t="s">
        <v>481</v>
      </c>
      <c r="B42" t="s">
        <v>305</v>
      </c>
      <c r="C42" s="25">
        <v>2</v>
      </c>
      <c r="D42" s="25">
        <v>2</v>
      </c>
      <c r="E42" s="25">
        <v>2</v>
      </c>
      <c r="F42" s="25">
        <v>2</v>
      </c>
      <c r="G42" s="25">
        <v>2</v>
      </c>
      <c r="H42" s="25">
        <v>2</v>
      </c>
      <c r="I42" s="25">
        <v>2</v>
      </c>
      <c r="J42" s="25">
        <v>2</v>
      </c>
      <c r="K42" s="25">
        <v>2</v>
      </c>
      <c r="L42" s="25">
        <v>2</v>
      </c>
      <c r="M42" s="25">
        <v>2</v>
      </c>
      <c r="N42" s="25">
        <v>2</v>
      </c>
      <c r="O42" s="25">
        <v>2</v>
      </c>
      <c r="P42" s="25">
        <v>2</v>
      </c>
      <c r="Q42" s="25">
        <v>2</v>
      </c>
      <c r="R42" s="25">
        <v>2</v>
      </c>
      <c r="S42" s="25">
        <v>2</v>
      </c>
      <c r="T42" s="25">
        <v>2</v>
      </c>
      <c r="U42" s="25">
        <v>2</v>
      </c>
      <c r="V42" s="25">
        <v>2</v>
      </c>
      <c r="W42" s="25">
        <v>2</v>
      </c>
      <c r="X42" s="25">
        <v>2</v>
      </c>
      <c r="Y42" s="25">
        <v>2</v>
      </c>
      <c r="Z42" s="25">
        <v>2</v>
      </c>
      <c r="AA42" s="25">
        <v>2</v>
      </c>
      <c r="AB42" s="25">
        <v>2</v>
      </c>
      <c r="AC42" s="25">
        <v>2</v>
      </c>
      <c r="AD42" s="25">
        <v>2</v>
      </c>
      <c r="AE42" s="25">
        <v>2</v>
      </c>
      <c r="AF42" s="25">
        <v>2</v>
      </c>
      <c r="AG42" s="25">
        <v>2</v>
      </c>
      <c r="AH42" s="25">
        <v>2</v>
      </c>
      <c r="AI42" s="25">
        <v>2</v>
      </c>
      <c r="AJ42" s="25">
        <v>2</v>
      </c>
    </row>
    <row r="43" spans="1:36" x14ac:dyDescent="0.25">
      <c r="A43" t="s">
        <v>482</v>
      </c>
      <c r="B43" t="s">
        <v>305</v>
      </c>
      <c r="C43" s="25">
        <v>0</v>
      </c>
      <c r="D43" s="25">
        <v>0</v>
      </c>
      <c r="E43" s="25">
        <v>0</v>
      </c>
      <c r="F43" s="25">
        <v>0</v>
      </c>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c r="Z43" s="25">
        <v>0</v>
      </c>
      <c r="AA43" s="25">
        <v>0</v>
      </c>
      <c r="AB43" s="25">
        <v>0</v>
      </c>
      <c r="AC43" s="25">
        <v>0</v>
      </c>
      <c r="AD43" s="25">
        <v>0</v>
      </c>
      <c r="AE43" s="25">
        <v>0</v>
      </c>
      <c r="AF43" s="25">
        <v>0</v>
      </c>
      <c r="AG43" s="25">
        <v>0</v>
      </c>
      <c r="AH43" s="25">
        <v>0</v>
      </c>
      <c r="AI43" s="25">
        <v>0</v>
      </c>
      <c r="AJ43" s="25">
        <v>0</v>
      </c>
    </row>
    <row r="44" spans="1:36" x14ac:dyDescent="0.25">
      <c r="A44" t="s">
        <v>483</v>
      </c>
      <c r="B44" t="s">
        <v>305</v>
      </c>
      <c r="C44" s="25">
        <v>0</v>
      </c>
      <c r="D44" s="25">
        <v>0</v>
      </c>
      <c r="E44" s="25">
        <v>0</v>
      </c>
      <c r="F44" s="25">
        <v>0</v>
      </c>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c r="Z44" s="25">
        <v>0</v>
      </c>
      <c r="AA44" s="25">
        <v>0</v>
      </c>
      <c r="AB44" s="25">
        <v>0</v>
      </c>
      <c r="AC44" s="25">
        <v>0</v>
      </c>
      <c r="AD44" s="25">
        <v>0</v>
      </c>
      <c r="AE44" s="25">
        <v>0</v>
      </c>
      <c r="AF44" s="25">
        <v>0</v>
      </c>
      <c r="AG44" s="25">
        <v>0</v>
      </c>
      <c r="AH44" s="25">
        <v>0</v>
      </c>
      <c r="AI44" s="25">
        <v>0</v>
      </c>
      <c r="AJ44" s="25">
        <v>0</v>
      </c>
    </row>
    <row r="45" spans="1:36" x14ac:dyDescent="0.25">
      <c r="A45" t="s">
        <v>484</v>
      </c>
      <c r="B45" t="s">
        <v>305</v>
      </c>
      <c r="C45" s="25">
        <v>95</v>
      </c>
      <c r="D45" s="25">
        <v>95</v>
      </c>
      <c r="E45" s="25">
        <v>95</v>
      </c>
      <c r="F45" s="25">
        <v>95</v>
      </c>
      <c r="G45" s="25">
        <v>95</v>
      </c>
      <c r="H45" s="25">
        <v>95</v>
      </c>
      <c r="I45" s="25">
        <v>95</v>
      </c>
      <c r="J45" s="25">
        <v>95</v>
      </c>
      <c r="K45" s="25">
        <v>95</v>
      </c>
      <c r="L45" s="25">
        <v>95</v>
      </c>
      <c r="M45" s="25">
        <v>95</v>
      </c>
      <c r="N45" s="25">
        <v>95</v>
      </c>
      <c r="O45" s="25">
        <v>95</v>
      </c>
      <c r="P45" s="25">
        <v>95</v>
      </c>
      <c r="Q45" s="25">
        <v>95</v>
      </c>
      <c r="R45" s="25">
        <v>95</v>
      </c>
      <c r="S45" s="25">
        <v>95</v>
      </c>
      <c r="T45" s="25">
        <v>95</v>
      </c>
      <c r="U45" s="25">
        <v>95</v>
      </c>
      <c r="V45" s="25">
        <v>95</v>
      </c>
      <c r="W45" s="25">
        <v>95</v>
      </c>
      <c r="X45" s="25">
        <v>95</v>
      </c>
      <c r="Y45" s="25">
        <v>95</v>
      </c>
      <c r="Z45" s="25">
        <v>95</v>
      </c>
      <c r="AA45" s="25">
        <v>95</v>
      </c>
      <c r="AB45" s="25">
        <v>95</v>
      </c>
      <c r="AC45" s="25">
        <v>95</v>
      </c>
      <c r="AD45" s="25">
        <v>95</v>
      </c>
      <c r="AE45" s="25">
        <v>95</v>
      </c>
      <c r="AF45" s="25">
        <v>95</v>
      </c>
      <c r="AG45" s="25">
        <v>95</v>
      </c>
      <c r="AH45" s="25">
        <v>95</v>
      </c>
      <c r="AI45" s="25">
        <v>95</v>
      </c>
      <c r="AJ45" s="25">
        <v>95</v>
      </c>
    </row>
    <row r="46" spans="1:36" x14ac:dyDescent="0.25">
      <c r="A46" t="s">
        <v>763</v>
      </c>
      <c r="B46" t="s">
        <v>305</v>
      </c>
      <c r="C46" s="25">
        <v>0</v>
      </c>
      <c r="D46" s="25">
        <v>0</v>
      </c>
      <c r="E46" s="25">
        <v>0</v>
      </c>
      <c r="F46" s="25">
        <v>0</v>
      </c>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c r="Z46" s="25">
        <v>0</v>
      </c>
      <c r="AA46" s="25">
        <v>0</v>
      </c>
      <c r="AB46" s="25">
        <v>0</v>
      </c>
      <c r="AC46" s="25">
        <v>0</v>
      </c>
      <c r="AD46" s="25">
        <v>0</v>
      </c>
      <c r="AE46" s="25">
        <v>0</v>
      </c>
      <c r="AF46" s="25">
        <v>0</v>
      </c>
      <c r="AG46" s="25">
        <v>0</v>
      </c>
      <c r="AH46" s="25">
        <v>0</v>
      </c>
      <c r="AI46" s="25">
        <v>0</v>
      </c>
      <c r="AJ46" s="25">
        <v>0</v>
      </c>
    </row>
    <row r="47" spans="1:36" s="80" customFormat="1" x14ac:dyDescent="0.25">
      <c r="A47" s="80" t="s">
        <v>789</v>
      </c>
      <c r="C47" s="81">
        <f>+SUM(C36:C46)</f>
        <v>100</v>
      </c>
      <c r="D47" s="81">
        <f t="shared" ref="D47" si="34">+SUM(D36:D46)</f>
        <v>100</v>
      </c>
      <c r="E47" s="81">
        <f t="shared" ref="E47" si="35">+SUM(E36:E46)</f>
        <v>100</v>
      </c>
      <c r="F47" s="81">
        <f t="shared" ref="F47" si="36">+SUM(F36:F46)</f>
        <v>100</v>
      </c>
      <c r="G47" s="81">
        <f t="shared" ref="G47" si="37">+SUM(G36:G46)</f>
        <v>100</v>
      </c>
      <c r="H47" s="81">
        <f t="shared" ref="H47" si="38">+SUM(H36:H46)</f>
        <v>100</v>
      </c>
      <c r="I47" s="81">
        <f t="shared" ref="I47" si="39">+SUM(I36:I46)</f>
        <v>100</v>
      </c>
      <c r="J47" s="81">
        <f t="shared" ref="J47" si="40">+SUM(J36:J46)</f>
        <v>100</v>
      </c>
      <c r="K47" s="81">
        <f t="shared" ref="K47" si="41">+SUM(K36:K46)</f>
        <v>100</v>
      </c>
      <c r="L47" s="81">
        <f t="shared" ref="L47" si="42">+SUM(L36:L46)</f>
        <v>100</v>
      </c>
      <c r="M47" s="81">
        <f t="shared" ref="M47" si="43">+SUM(M36:M46)</f>
        <v>100</v>
      </c>
      <c r="N47" s="81">
        <f t="shared" ref="N47" si="44">+SUM(N36:N46)</f>
        <v>100</v>
      </c>
      <c r="O47" s="81">
        <f t="shared" ref="O47" si="45">+SUM(O36:O46)</f>
        <v>100</v>
      </c>
      <c r="P47" s="81">
        <f t="shared" ref="P47" si="46">+SUM(P36:P46)</f>
        <v>100</v>
      </c>
      <c r="Q47" s="81">
        <f t="shared" ref="Q47" si="47">+SUM(Q36:Q46)</f>
        <v>100</v>
      </c>
      <c r="R47" s="81">
        <f t="shared" ref="R47" si="48">+SUM(R36:R46)</f>
        <v>100</v>
      </c>
      <c r="S47" s="81">
        <f t="shared" ref="S47" si="49">+SUM(S36:S46)</f>
        <v>100</v>
      </c>
      <c r="T47" s="81">
        <f t="shared" ref="T47" si="50">+SUM(T36:T46)</f>
        <v>100</v>
      </c>
      <c r="U47" s="81">
        <f t="shared" ref="U47" si="51">+SUM(U36:U46)</f>
        <v>100</v>
      </c>
      <c r="V47" s="81">
        <f t="shared" ref="V47" si="52">+SUM(V36:V46)</f>
        <v>100</v>
      </c>
      <c r="W47" s="81">
        <f t="shared" ref="W47" si="53">+SUM(W36:W46)</f>
        <v>100</v>
      </c>
      <c r="X47" s="81">
        <f t="shared" ref="X47" si="54">+SUM(X36:X46)</f>
        <v>100</v>
      </c>
      <c r="Y47" s="81">
        <f t="shared" ref="Y47" si="55">+SUM(Y36:Y46)</f>
        <v>100</v>
      </c>
      <c r="Z47" s="81">
        <f t="shared" ref="Z47" si="56">+SUM(Z36:Z46)</f>
        <v>100</v>
      </c>
      <c r="AA47" s="81">
        <f t="shared" ref="AA47" si="57">+SUM(AA36:AA46)</f>
        <v>100</v>
      </c>
      <c r="AB47" s="81">
        <f t="shared" ref="AB47" si="58">+SUM(AB36:AB46)</f>
        <v>100</v>
      </c>
      <c r="AC47" s="81">
        <f t="shared" ref="AC47" si="59">+SUM(AC36:AC46)</f>
        <v>100</v>
      </c>
      <c r="AD47" s="81">
        <f t="shared" ref="AD47" si="60">+SUM(AD36:AD46)</f>
        <v>100</v>
      </c>
      <c r="AE47" s="81">
        <f t="shared" ref="AE47" si="61">+SUM(AE36:AE46)</f>
        <v>100</v>
      </c>
      <c r="AF47" s="81">
        <f t="shared" ref="AF47" si="62">+SUM(AF36:AF46)</f>
        <v>100</v>
      </c>
      <c r="AG47" s="81">
        <f t="shared" ref="AG47" si="63">+SUM(AG36:AG46)</f>
        <v>100</v>
      </c>
      <c r="AH47" s="81">
        <f t="shared" ref="AH47" si="64">+SUM(AH36:AH46)</f>
        <v>100</v>
      </c>
      <c r="AI47" s="81">
        <f t="shared" ref="AI47" si="65">+SUM(AI36:AI46)</f>
        <v>100</v>
      </c>
      <c r="AJ47" s="81">
        <f t="shared" ref="AJ47" si="66">+SUM(AJ36:AJ46)</f>
        <v>100</v>
      </c>
    </row>
    <row r="48" spans="1:36" s="78" customFormat="1" ht="15.75" x14ac:dyDescent="0.25">
      <c r="A48" s="76" t="s">
        <v>781</v>
      </c>
      <c r="B48" s="77"/>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row>
    <row r="49" spans="1:36" x14ac:dyDescent="0.25">
      <c r="A49" t="s">
        <v>485</v>
      </c>
      <c r="B49" t="s">
        <v>305</v>
      </c>
      <c r="C49" s="25">
        <v>0</v>
      </c>
      <c r="D49" s="25">
        <v>0</v>
      </c>
      <c r="E49" s="25">
        <v>0</v>
      </c>
      <c r="F49" s="25">
        <v>0</v>
      </c>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c r="Z49" s="25">
        <v>0</v>
      </c>
      <c r="AA49" s="25">
        <v>0</v>
      </c>
      <c r="AB49" s="25">
        <v>0</v>
      </c>
      <c r="AC49" s="25">
        <v>0</v>
      </c>
      <c r="AD49" s="25">
        <v>0</v>
      </c>
      <c r="AE49" s="25">
        <v>0</v>
      </c>
      <c r="AF49" s="25">
        <v>0</v>
      </c>
      <c r="AG49" s="25">
        <v>0</v>
      </c>
      <c r="AH49" s="25">
        <v>0</v>
      </c>
      <c r="AI49" s="25">
        <v>0</v>
      </c>
      <c r="AJ49" s="25">
        <v>0</v>
      </c>
    </row>
    <row r="50" spans="1:36" x14ac:dyDescent="0.25">
      <c r="A50" t="s">
        <v>486</v>
      </c>
      <c r="B50" t="s">
        <v>305</v>
      </c>
      <c r="C50" s="25">
        <v>0</v>
      </c>
      <c r="D50" s="25">
        <v>0</v>
      </c>
      <c r="E50" s="25">
        <v>0</v>
      </c>
      <c r="F50" s="25">
        <v>0</v>
      </c>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c r="Z50" s="25">
        <v>0</v>
      </c>
      <c r="AA50" s="25">
        <v>0</v>
      </c>
      <c r="AB50" s="25">
        <v>0</v>
      </c>
      <c r="AC50" s="25">
        <v>0</v>
      </c>
      <c r="AD50" s="25">
        <v>0</v>
      </c>
      <c r="AE50" s="25">
        <v>0</v>
      </c>
      <c r="AF50" s="25">
        <v>0</v>
      </c>
      <c r="AG50" s="25">
        <v>0</v>
      </c>
      <c r="AH50" s="25">
        <v>0</v>
      </c>
      <c r="AI50" s="25">
        <v>0</v>
      </c>
      <c r="AJ50" s="25">
        <v>0</v>
      </c>
    </row>
    <row r="51" spans="1:36" x14ac:dyDescent="0.25">
      <c r="A51" t="s">
        <v>487</v>
      </c>
      <c r="B51" t="s">
        <v>305</v>
      </c>
      <c r="C51" s="25">
        <v>2.5</v>
      </c>
      <c r="D51" s="25">
        <v>2.5</v>
      </c>
      <c r="E51" s="25">
        <v>2.5</v>
      </c>
      <c r="F51" s="25">
        <v>2.5</v>
      </c>
      <c r="G51" s="25">
        <v>2.5</v>
      </c>
      <c r="H51" s="25">
        <v>2.5</v>
      </c>
      <c r="I51" s="25">
        <v>2.5</v>
      </c>
      <c r="J51" s="25">
        <v>2.5</v>
      </c>
      <c r="K51" s="25">
        <v>2.5</v>
      </c>
      <c r="L51" s="25">
        <v>2.5</v>
      </c>
      <c r="M51" s="25">
        <v>2.5</v>
      </c>
      <c r="N51" s="25">
        <v>2.5</v>
      </c>
      <c r="O51" s="25">
        <v>2.5</v>
      </c>
      <c r="P51" s="25">
        <v>2.5</v>
      </c>
      <c r="Q51" s="25">
        <v>2.5</v>
      </c>
      <c r="R51" s="25">
        <v>2.5</v>
      </c>
      <c r="S51" s="25">
        <v>2.5</v>
      </c>
      <c r="T51" s="25">
        <v>2.5</v>
      </c>
      <c r="U51" s="25">
        <v>2.5</v>
      </c>
      <c r="V51" s="25">
        <v>2.5</v>
      </c>
      <c r="W51" s="25">
        <v>2.5</v>
      </c>
      <c r="X51" s="25">
        <v>2.5</v>
      </c>
      <c r="Y51" s="25">
        <v>2.5</v>
      </c>
      <c r="Z51" s="25">
        <v>2.5</v>
      </c>
      <c r="AA51" s="25">
        <v>2.5</v>
      </c>
      <c r="AB51" s="25">
        <v>2.5</v>
      </c>
      <c r="AC51" s="25">
        <v>2.5</v>
      </c>
      <c r="AD51" s="25">
        <v>2.5</v>
      </c>
      <c r="AE51" s="25">
        <v>2.5</v>
      </c>
      <c r="AF51" s="25">
        <v>2.5</v>
      </c>
      <c r="AG51" s="25">
        <v>2.5</v>
      </c>
      <c r="AH51" s="25">
        <v>2.5</v>
      </c>
      <c r="AI51" s="25">
        <v>2.5</v>
      </c>
      <c r="AJ51" s="25">
        <v>2.5</v>
      </c>
    </row>
    <row r="52" spans="1:36" x14ac:dyDescent="0.25">
      <c r="A52" t="s">
        <v>488</v>
      </c>
      <c r="B52" t="s">
        <v>305</v>
      </c>
      <c r="C52" s="25">
        <v>0</v>
      </c>
      <c r="D52" s="25">
        <v>0</v>
      </c>
      <c r="E52" s="25">
        <v>0</v>
      </c>
      <c r="F52" s="25">
        <v>0</v>
      </c>
      <c r="G52" s="25">
        <v>0</v>
      </c>
      <c r="H52" s="25">
        <v>0</v>
      </c>
      <c r="I52" s="25">
        <v>0</v>
      </c>
      <c r="J52" s="25">
        <v>0</v>
      </c>
      <c r="K52" s="25">
        <v>0</v>
      </c>
      <c r="L52" s="25">
        <v>0</v>
      </c>
      <c r="M52" s="25">
        <v>0</v>
      </c>
      <c r="N52" s="25">
        <v>0</v>
      </c>
      <c r="O52" s="25">
        <v>0</v>
      </c>
      <c r="P52" s="25">
        <v>0</v>
      </c>
      <c r="Q52" s="25">
        <v>0</v>
      </c>
      <c r="R52" s="25">
        <v>0</v>
      </c>
      <c r="S52" s="25">
        <v>0</v>
      </c>
      <c r="T52" s="25">
        <v>0</v>
      </c>
      <c r="U52" s="25">
        <v>0</v>
      </c>
      <c r="V52" s="25">
        <v>0</v>
      </c>
      <c r="W52" s="25">
        <v>0</v>
      </c>
      <c r="X52" s="25">
        <v>0</v>
      </c>
      <c r="Y52" s="25">
        <v>0</v>
      </c>
      <c r="Z52" s="25">
        <v>0</v>
      </c>
      <c r="AA52" s="25">
        <v>0</v>
      </c>
      <c r="AB52" s="25">
        <v>0</v>
      </c>
      <c r="AC52" s="25">
        <v>0</v>
      </c>
      <c r="AD52" s="25">
        <v>0</v>
      </c>
      <c r="AE52" s="25">
        <v>0</v>
      </c>
      <c r="AF52" s="25">
        <v>0</v>
      </c>
      <c r="AG52" s="25">
        <v>0</v>
      </c>
      <c r="AH52" s="25">
        <v>0</v>
      </c>
      <c r="AI52" s="25">
        <v>0</v>
      </c>
      <c r="AJ52" s="25">
        <v>0</v>
      </c>
    </row>
    <row r="53" spans="1:36" x14ac:dyDescent="0.25">
      <c r="A53" t="s">
        <v>489</v>
      </c>
      <c r="B53" t="s">
        <v>305</v>
      </c>
      <c r="C53" s="25">
        <v>0</v>
      </c>
      <c r="D53" s="25">
        <v>0</v>
      </c>
      <c r="E53" s="25">
        <v>0</v>
      </c>
      <c r="F53" s="25">
        <v>0</v>
      </c>
      <c r="G53" s="25">
        <v>0</v>
      </c>
      <c r="H53" s="25">
        <v>0</v>
      </c>
      <c r="I53" s="25">
        <v>0</v>
      </c>
      <c r="J53" s="25">
        <v>0</v>
      </c>
      <c r="K53" s="25">
        <v>0</v>
      </c>
      <c r="L53" s="25">
        <v>0</v>
      </c>
      <c r="M53" s="25">
        <v>0</v>
      </c>
      <c r="N53" s="25">
        <v>0</v>
      </c>
      <c r="O53" s="25">
        <v>0</v>
      </c>
      <c r="P53" s="25">
        <v>0</v>
      </c>
      <c r="Q53" s="25">
        <v>0</v>
      </c>
      <c r="R53" s="25">
        <v>0</v>
      </c>
      <c r="S53" s="25">
        <v>0</v>
      </c>
      <c r="T53" s="25">
        <v>0</v>
      </c>
      <c r="U53" s="25">
        <v>0</v>
      </c>
      <c r="V53" s="25">
        <v>0</v>
      </c>
      <c r="W53" s="25">
        <v>0</v>
      </c>
      <c r="X53" s="25">
        <v>0</v>
      </c>
      <c r="Y53" s="25">
        <v>0</v>
      </c>
      <c r="Z53" s="25">
        <v>0</v>
      </c>
      <c r="AA53" s="25">
        <v>0</v>
      </c>
      <c r="AB53" s="25">
        <v>0</v>
      </c>
      <c r="AC53" s="25">
        <v>0</v>
      </c>
      <c r="AD53" s="25">
        <v>0</v>
      </c>
      <c r="AE53" s="25">
        <v>0</v>
      </c>
      <c r="AF53" s="25">
        <v>0</v>
      </c>
      <c r="AG53" s="25">
        <v>0</v>
      </c>
      <c r="AH53" s="25">
        <v>0</v>
      </c>
      <c r="AI53" s="25">
        <v>0</v>
      </c>
      <c r="AJ53" s="25">
        <v>0</v>
      </c>
    </row>
    <row r="54" spans="1:36" x14ac:dyDescent="0.25">
      <c r="A54" t="s">
        <v>490</v>
      </c>
      <c r="B54" t="s">
        <v>305</v>
      </c>
      <c r="C54" s="25">
        <v>2.5</v>
      </c>
      <c r="D54" s="25">
        <v>2.5</v>
      </c>
      <c r="E54" s="25">
        <v>2.5</v>
      </c>
      <c r="F54" s="25">
        <v>2.5</v>
      </c>
      <c r="G54" s="25">
        <v>2.5</v>
      </c>
      <c r="H54" s="25">
        <v>2.5</v>
      </c>
      <c r="I54" s="25">
        <v>2.5</v>
      </c>
      <c r="J54" s="25">
        <v>2.5</v>
      </c>
      <c r="K54" s="25">
        <v>2.5</v>
      </c>
      <c r="L54" s="25">
        <v>2.5</v>
      </c>
      <c r="M54" s="25">
        <v>2.5</v>
      </c>
      <c r="N54" s="25">
        <v>2.5</v>
      </c>
      <c r="O54" s="25">
        <v>2.5</v>
      </c>
      <c r="P54" s="25">
        <v>2.5</v>
      </c>
      <c r="Q54" s="25">
        <v>2.5</v>
      </c>
      <c r="R54" s="25">
        <v>2.5</v>
      </c>
      <c r="S54" s="25">
        <v>2.5</v>
      </c>
      <c r="T54" s="25">
        <v>2.5</v>
      </c>
      <c r="U54" s="25">
        <v>2.5</v>
      </c>
      <c r="V54" s="25">
        <v>2.5</v>
      </c>
      <c r="W54" s="25">
        <v>2.5</v>
      </c>
      <c r="X54" s="25">
        <v>2.5</v>
      </c>
      <c r="Y54" s="25">
        <v>2.5</v>
      </c>
      <c r="Z54" s="25">
        <v>2.5</v>
      </c>
      <c r="AA54" s="25">
        <v>2.5</v>
      </c>
      <c r="AB54" s="25">
        <v>2.5</v>
      </c>
      <c r="AC54" s="25">
        <v>2.5</v>
      </c>
      <c r="AD54" s="25">
        <v>2.5</v>
      </c>
      <c r="AE54" s="25">
        <v>2.5</v>
      </c>
      <c r="AF54" s="25">
        <v>2.5</v>
      </c>
      <c r="AG54" s="25">
        <v>2.5</v>
      </c>
      <c r="AH54" s="25">
        <v>2.5</v>
      </c>
      <c r="AI54" s="25">
        <v>2.5</v>
      </c>
      <c r="AJ54" s="25">
        <v>2.5</v>
      </c>
    </row>
    <row r="55" spans="1:36" x14ac:dyDescent="0.25">
      <c r="A55" t="s">
        <v>491</v>
      </c>
      <c r="B55" t="s">
        <v>305</v>
      </c>
      <c r="C55" s="25">
        <v>0</v>
      </c>
      <c r="D55" s="25">
        <v>0</v>
      </c>
      <c r="E55" s="25">
        <v>0</v>
      </c>
      <c r="F55" s="25">
        <v>0</v>
      </c>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c r="Z55" s="25">
        <v>0</v>
      </c>
      <c r="AA55" s="25">
        <v>0</v>
      </c>
      <c r="AB55" s="25">
        <v>0</v>
      </c>
      <c r="AC55" s="25">
        <v>0</v>
      </c>
      <c r="AD55" s="25">
        <v>0</v>
      </c>
      <c r="AE55" s="25">
        <v>0</v>
      </c>
      <c r="AF55" s="25">
        <v>0</v>
      </c>
      <c r="AG55" s="25">
        <v>0</v>
      </c>
      <c r="AH55" s="25">
        <v>0</v>
      </c>
      <c r="AI55" s="25">
        <v>0</v>
      </c>
      <c r="AJ55" s="25">
        <v>0</v>
      </c>
    </row>
    <row r="56" spans="1:36" x14ac:dyDescent="0.25">
      <c r="A56" t="s">
        <v>492</v>
      </c>
      <c r="B56" t="s">
        <v>305</v>
      </c>
      <c r="C56" s="25">
        <v>0</v>
      </c>
      <c r="D56" s="25">
        <v>0</v>
      </c>
      <c r="E56" s="25">
        <v>0</v>
      </c>
      <c r="F56" s="25">
        <v>0</v>
      </c>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c r="Z56" s="25">
        <v>0</v>
      </c>
      <c r="AA56" s="25">
        <v>0</v>
      </c>
      <c r="AB56" s="25">
        <v>0</v>
      </c>
      <c r="AC56" s="25">
        <v>0</v>
      </c>
      <c r="AD56" s="25">
        <v>0</v>
      </c>
      <c r="AE56" s="25">
        <v>0</v>
      </c>
      <c r="AF56" s="25">
        <v>0</v>
      </c>
      <c r="AG56" s="25">
        <v>0</v>
      </c>
      <c r="AH56" s="25">
        <v>0</v>
      </c>
      <c r="AI56" s="25">
        <v>0</v>
      </c>
      <c r="AJ56" s="25">
        <v>0</v>
      </c>
    </row>
    <row r="57" spans="1:36" x14ac:dyDescent="0.25">
      <c r="A57" t="s">
        <v>493</v>
      </c>
      <c r="B57" t="s">
        <v>305</v>
      </c>
      <c r="C57" s="25">
        <v>0</v>
      </c>
      <c r="D57" s="25">
        <v>0</v>
      </c>
      <c r="E57" s="25">
        <v>0</v>
      </c>
      <c r="F57" s="25">
        <v>0</v>
      </c>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c r="Z57" s="25">
        <v>0</v>
      </c>
      <c r="AA57" s="25">
        <v>0</v>
      </c>
      <c r="AB57" s="25">
        <v>0</v>
      </c>
      <c r="AC57" s="25">
        <v>0</v>
      </c>
      <c r="AD57" s="25">
        <v>0</v>
      </c>
      <c r="AE57" s="25">
        <v>0</v>
      </c>
      <c r="AF57" s="25">
        <v>0</v>
      </c>
      <c r="AG57" s="25">
        <v>0</v>
      </c>
      <c r="AH57" s="25">
        <v>0</v>
      </c>
      <c r="AI57" s="25">
        <v>0</v>
      </c>
      <c r="AJ57" s="25">
        <v>0</v>
      </c>
    </row>
    <row r="58" spans="1:36" s="55" customFormat="1" x14ac:dyDescent="0.25">
      <c r="A58" t="s">
        <v>494</v>
      </c>
      <c r="B58" t="s">
        <v>305</v>
      </c>
      <c r="C58" s="25">
        <v>95</v>
      </c>
      <c r="D58" s="25">
        <v>95</v>
      </c>
      <c r="E58" s="25">
        <v>95</v>
      </c>
      <c r="F58" s="25">
        <v>95</v>
      </c>
      <c r="G58" s="25">
        <v>95</v>
      </c>
      <c r="H58" s="25">
        <v>95</v>
      </c>
      <c r="I58" s="25">
        <v>95</v>
      </c>
      <c r="J58" s="25">
        <v>95</v>
      </c>
      <c r="K58" s="25">
        <v>95</v>
      </c>
      <c r="L58" s="25">
        <v>95</v>
      </c>
      <c r="M58" s="25">
        <v>95</v>
      </c>
      <c r="N58" s="25">
        <v>95</v>
      </c>
      <c r="O58" s="25">
        <v>95</v>
      </c>
      <c r="P58" s="25">
        <v>95</v>
      </c>
      <c r="Q58" s="25">
        <v>95</v>
      </c>
      <c r="R58" s="25">
        <v>95</v>
      </c>
      <c r="S58" s="25">
        <v>95</v>
      </c>
      <c r="T58" s="25">
        <v>95</v>
      </c>
      <c r="U58" s="25">
        <v>95</v>
      </c>
      <c r="V58" s="25">
        <v>95</v>
      </c>
      <c r="W58" s="25">
        <v>95</v>
      </c>
      <c r="X58" s="25">
        <v>95</v>
      </c>
      <c r="Y58" s="25">
        <v>95</v>
      </c>
      <c r="Z58" s="25">
        <v>95</v>
      </c>
      <c r="AA58" s="25">
        <v>95</v>
      </c>
      <c r="AB58" s="25">
        <v>95</v>
      </c>
      <c r="AC58" s="25">
        <v>95</v>
      </c>
      <c r="AD58" s="25">
        <v>95</v>
      </c>
      <c r="AE58" s="25">
        <v>95</v>
      </c>
      <c r="AF58" s="25">
        <v>95</v>
      </c>
      <c r="AG58" s="25">
        <v>95</v>
      </c>
      <c r="AH58" s="25">
        <v>95</v>
      </c>
      <c r="AI58" s="25">
        <v>95</v>
      </c>
      <c r="AJ58" s="25">
        <v>95</v>
      </c>
    </row>
    <row r="59" spans="1:36" s="55" customFormat="1" x14ac:dyDescent="0.25">
      <c r="A59" t="s">
        <v>779</v>
      </c>
      <c r="B59" t="s">
        <v>305</v>
      </c>
      <c r="C59" s="25">
        <v>0</v>
      </c>
      <c r="D59" s="25">
        <v>0</v>
      </c>
      <c r="E59" s="25">
        <v>0</v>
      </c>
      <c r="F59" s="25">
        <v>0</v>
      </c>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c r="Z59" s="25">
        <v>0</v>
      </c>
      <c r="AA59" s="25">
        <v>0</v>
      </c>
      <c r="AB59" s="25">
        <v>0</v>
      </c>
      <c r="AC59" s="25">
        <v>0</v>
      </c>
      <c r="AD59" s="25">
        <v>0</v>
      </c>
      <c r="AE59" s="25">
        <v>0</v>
      </c>
      <c r="AF59" s="25">
        <v>0</v>
      </c>
      <c r="AG59" s="25">
        <v>0</v>
      </c>
      <c r="AH59" s="25">
        <v>0</v>
      </c>
      <c r="AI59" s="25">
        <v>0</v>
      </c>
      <c r="AJ59" s="25">
        <v>0</v>
      </c>
    </row>
    <row r="60" spans="1:36" s="80" customFormat="1" x14ac:dyDescent="0.25">
      <c r="A60" s="80" t="s">
        <v>789</v>
      </c>
      <c r="C60" s="81">
        <f>+SUM(C49:C59)</f>
        <v>100</v>
      </c>
      <c r="D60" s="81">
        <f t="shared" ref="D60" si="67">+SUM(D49:D59)</f>
        <v>100</v>
      </c>
      <c r="E60" s="81">
        <f t="shared" ref="E60" si="68">+SUM(E49:E59)</f>
        <v>100</v>
      </c>
      <c r="F60" s="81">
        <f t="shared" ref="F60" si="69">+SUM(F49:F59)</f>
        <v>100</v>
      </c>
      <c r="G60" s="81">
        <f t="shared" ref="G60" si="70">+SUM(G49:G59)</f>
        <v>100</v>
      </c>
      <c r="H60" s="81">
        <f t="shared" ref="H60" si="71">+SUM(H49:H59)</f>
        <v>100</v>
      </c>
      <c r="I60" s="81">
        <f t="shared" ref="I60" si="72">+SUM(I49:I59)</f>
        <v>100</v>
      </c>
      <c r="J60" s="81">
        <f t="shared" ref="J60" si="73">+SUM(J49:J59)</f>
        <v>100</v>
      </c>
      <c r="K60" s="81">
        <f t="shared" ref="K60" si="74">+SUM(K49:K59)</f>
        <v>100</v>
      </c>
      <c r="L60" s="81">
        <f t="shared" ref="L60" si="75">+SUM(L49:L59)</f>
        <v>100</v>
      </c>
      <c r="M60" s="81">
        <f t="shared" ref="M60" si="76">+SUM(M49:M59)</f>
        <v>100</v>
      </c>
      <c r="N60" s="81">
        <f t="shared" ref="N60" si="77">+SUM(N49:N59)</f>
        <v>100</v>
      </c>
      <c r="O60" s="81">
        <f t="shared" ref="O60" si="78">+SUM(O49:O59)</f>
        <v>100</v>
      </c>
      <c r="P60" s="81">
        <f t="shared" ref="P60" si="79">+SUM(P49:P59)</f>
        <v>100</v>
      </c>
      <c r="Q60" s="81">
        <f t="shared" ref="Q60" si="80">+SUM(Q49:Q59)</f>
        <v>100</v>
      </c>
      <c r="R60" s="81">
        <f t="shared" ref="R60" si="81">+SUM(R49:R59)</f>
        <v>100</v>
      </c>
      <c r="S60" s="81">
        <f t="shared" ref="S60" si="82">+SUM(S49:S59)</f>
        <v>100</v>
      </c>
      <c r="T60" s="81">
        <f t="shared" ref="T60" si="83">+SUM(T49:T59)</f>
        <v>100</v>
      </c>
      <c r="U60" s="81">
        <f t="shared" ref="U60" si="84">+SUM(U49:U59)</f>
        <v>100</v>
      </c>
      <c r="V60" s="81">
        <f t="shared" ref="V60" si="85">+SUM(V49:V59)</f>
        <v>100</v>
      </c>
      <c r="W60" s="81">
        <f t="shared" ref="W60" si="86">+SUM(W49:W59)</f>
        <v>100</v>
      </c>
      <c r="X60" s="81">
        <f t="shared" ref="X60" si="87">+SUM(X49:X59)</f>
        <v>100</v>
      </c>
      <c r="Y60" s="81">
        <f t="shared" ref="Y60" si="88">+SUM(Y49:Y59)</f>
        <v>100</v>
      </c>
      <c r="Z60" s="81">
        <f t="shared" ref="Z60" si="89">+SUM(Z49:Z59)</f>
        <v>100</v>
      </c>
      <c r="AA60" s="81">
        <f t="shared" ref="AA60" si="90">+SUM(AA49:AA59)</f>
        <v>100</v>
      </c>
      <c r="AB60" s="81">
        <f t="shared" ref="AB60" si="91">+SUM(AB49:AB59)</f>
        <v>100</v>
      </c>
      <c r="AC60" s="81">
        <f t="shared" ref="AC60" si="92">+SUM(AC49:AC59)</f>
        <v>100</v>
      </c>
      <c r="AD60" s="81">
        <f t="shared" ref="AD60" si="93">+SUM(AD49:AD59)</f>
        <v>100</v>
      </c>
      <c r="AE60" s="81">
        <f t="shared" ref="AE60" si="94">+SUM(AE49:AE59)</f>
        <v>100</v>
      </c>
      <c r="AF60" s="81">
        <f t="shared" ref="AF60" si="95">+SUM(AF49:AF59)</f>
        <v>100</v>
      </c>
      <c r="AG60" s="81">
        <f t="shared" ref="AG60" si="96">+SUM(AG49:AG59)</f>
        <v>100</v>
      </c>
      <c r="AH60" s="81">
        <f t="shared" ref="AH60" si="97">+SUM(AH49:AH59)</f>
        <v>100</v>
      </c>
      <c r="AI60" s="81">
        <f t="shared" ref="AI60" si="98">+SUM(AI49:AI59)</f>
        <v>100</v>
      </c>
      <c r="AJ60" s="81">
        <f t="shared" ref="AJ60" si="99">+SUM(AJ49:AJ59)</f>
        <v>100</v>
      </c>
    </row>
    <row r="61" spans="1:36" s="52" customFormat="1" x14ac:dyDescent="0.25">
      <c r="A61" t="s">
        <v>495</v>
      </c>
      <c r="B61" t="s">
        <v>305</v>
      </c>
      <c r="C61" s="25">
        <v>0</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c r="Z61" s="25">
        <v>0</v>
      </c>
      <c r="AA61" s="25">
        <v>0</v>
      </c>
      <c r="AB61" s="25">
        <v>0</v>
      </c>
      <c r="AC61" s="25">
        <v>0</v>
      </c>
      <c r="AD61" s="25">
        <v>0</v>
      </c>
      <c r="AE61" s="25">
        <v>0</v>
      </c>
      <c r="AF61" s="25">
        <v>0</v>
      </c>
      <c r="AG61" s="25">
        <v>0</v>
      </c>
      <c r="AH61" s="25">
        <v>0</v>
      </c>
      <c r="AI61" s="25">
        <v>0</v>
      </c>
      <c r="AJ61" s="25">
        <v>0</v>
      </c>
    </row>
    <row r="62" spans="1:36" x14ac:dyDescent="0.25">
      <c r="A62" t="s">
        <v>496</v>
      </c>
      <c r="B62" t="s">
        <v>305</v>
      </c>
      <c r="C62" s="25">
        <v>0</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25">
        <v>0</v>
      </c>
      <c r="V62" s="25">
        <v>0</v>
      </c>
      <c r="W62" s="25">
        <v>0</v>
      </c>
      <c r="X62" s="25">
        <v>0</v>
      </c>
      <c r="Y62" s="25">
        <v>0</v>
      </c>
      <c r="Z62" s="25">
        <v>0</v>
      </c>
      <c r="AA62" s="25">
        <v>0</v>
      </c>
      <c r="AB62" s="25">
        <v>0</v>
      </c>
      <c r="AC62" s="25">
        <v>0</v>
      </c>
      <c r="AD62" s="25">
        <v>0</v>
      </c>
      <c r="AE62" s="25">
        <v>0</v>
      </c>
      <c r="AF62" s="25">
        <v>0</v>
      </c>
      <c r="AG62" s="25">
        <v>0</v>
      </c>
      <c r="AH62" s="25">
        <v>0</v>
      </c>
      <c r="AI62" s="25">
        <v>0</v>
      </c>
      <c r="AJ62" s="25">
        <v>0</v>
      </c>
    </row>
    <row r="63" spans="1:36" x14ac:dyDescent="0.25">
      <c r="A63" t="s">
        <v>497</v>
      </c>
      <c r="B63" t="s">
        <v>305</v>
      </c>
      <c r="C63" s="25">
        <v>5</v>
      </c>
      <c r="D63" s="25">
        <v>5</v>
      </c>
      <c r="E63" s="25">
        <v>5</v>
      </c>
      <c r="F63" s="25">
        <v>5</v>
      </c>
      <c r="G63" s="25">
        <v>5</v>
      </c>
      <c r="H63" s="25">
        <v>5</v>
      </c>
      <c r="I63" s="25">
        <v>5</v>
      </c>
      <c r="J63" s="25">
        <v>5</v>
      </c>
      <c r="K63" s="25">
        <v>5</v>
      </c>
      <c r="L63" s="25">
        <v>5</v>
      </c>
      <c r="M63" s="25">
        <v>5</v>
      </c>
      <c r="N63" s="25">
        <v>5</v>
      </c>
      <c r="O63" s="25">
        <v>5</v>
      </c>
      <c r="P63" s="25">
        <v>5</v>
      </c>
      <c r="Q63" s="25">
        <v>5</v>
      </c>
      <c r="R63" s="25">
        <v>5</v>
      </c>
      <c r="S63" s="25">
        <v>5</v>
      </c>
      <c r="T63" s="25">
        <v>5</v>
      </c>
      <c r="U63" s="25">
        <v>5</v>
      </c>
      <c r="V63" s="25">
        <v>5</v>
      </c>
      <c r="W63" s="25">
        <v>5</v>
      </c>
      <c r="X63" s="25">
        <v>5</v>
      </c>
      <c r="Y63" s="25">
        <v>5</v>
      </c>
      <c r="Z63" s="25">
        <v>5</v>
      </c>
      <c r="AA63" s="25">
        <v>5</v>
      </c>
      <c r="AB63" s="25">
        <v>5</v>
      </c>
      <c r="AC63" s="25">
        <v>5</v>
      </c>
      <c r="AD63" s="25">
        <v>5</v>
      </c>
      <c r="AE63" s="25">
        <v>5</v>
      </c>
      <c r="AF63" s="25">
        <v>5</v>
      </c>
      <c r="AG63" s="25">
        <v>5</v>
      </c>
      <c r="AH63" s="25">
        <v>5</v>
      </c>
      <c r="AI63" s="25">
        <v>5</v>
      </c>
      <c r="AJ63" s="25">
        <v>5</v>
      </c>
    </row>
    <row r="64" spans="1:36" s="52" customFormat="1" x14ac:dyDescent="0.25">
      <c r="A64" t="s">
        <v>498</v>
      </c>
      <c r="B64" t="s">
        <v>305</v>
      </c>
      <c r="C64" s="25">
        <v>0</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25">
        <v>0</v>
      </c>
      <c r="V64" s="25">
        <v>0</v>
      </c>
      <c r="W64" s="25">
        <v>0</v>
      </c>
      <c r="X64" s="25">
        <v>0</v>
      </c>
      <c r="Y64" s="25">
        <v>0</v>
      </c>
      <c r="Z64" s="25">
        <v>0</v>
      </c>
      <c r="AA64" s="25">
        <v>0</v>
      </c>
      <c r="AB64" s="25">
        <v>0</v>
      </c>
      <c r="AC64" s="25">
        <v>0</v>
      </c>
      <c r="AD64" s="25">
        <v>0</v>
      </c>
      <c r="AE64" s="25">
        <v>0</v>
      </c>
      <c r="AF64" s="25">
        <v>0</v>
      </c>
      <c r="AG64" s="25">
        <v>0</v>
      </c>
      <c r="AH64" s="25">
        <v>0</v>
      </c>
      <c r="AI64" s="25">
        <v>0</v>
      </c>
      <c r="AJ64" s="25">
        <v>0</v>
      </c>
    </row>
    <row r="65" spans="1:36" x14ac:dyDescent="0.25">
      <c r="A65" t="s">
        <v>499</v>
      </c>
      <c r="B65" t="s">
        <v>305</v>
      </c>
      <c r="C65" s="25">
        <v>0</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25">
        <v>0</v>
      </c>
      <c r="V65" s="25">
        <v>0</v>
      </c>
      <c r="W65" s="25">
        <v>0</v>
      </c>
      <c r="X65" s="25">
        <v>0</v>
      </c>
      <c r="Y65" s="25">
        <v>0</v>
      </c>
      <c r="Z65" s="25">
        <v>0</v>
      </c>
      <c r="AA65" s="25">
        <v>0</v>
      </c>
      <c r="AB65" s="25">
        <v>0</v>
      </c>
      <c r="AC65" s="25">
        <v>0</v>
      </c>
      <c r="AD65" s="25">
        <v>0</v>
      </c>
      <c r="AE65" s="25">
        <v>0</v>
      </c>
      <c r="AF65" s="25">
        <v>0</v>
      </c>
      <c r="AG65" s="25">
        <v>0</v>
      </c>
      <c r="AH65" s="25">
        <v>0</v>
      </c>
      <c r="AI65" s="25">
        <v>0</v>
      </c>
      <c r="AJ65" s="25">
        <v>0</v>
      </c>
    </row>
    <row r="66" spans="1:36" x14ac:dyDescent="0.25">
      <c r="A66" t="s">
        <v>500</v>
      </c>
      <c r="B66" t="s">
        <v>305</v>
      </c>
      <c r="C66" s="25">
        <v>0</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25">
        <v>0</v>
      </c>
      <c r="V66" s="25">
        <v>0</v>
      </c>
      <c r="W66" s="25">
        <v>0</v>
      </c>
      <c r="X66" s="25">
        <v>0</v>
      </c>
      <c r="Y66" s="25">
        <v>0</v>
      </c>
      <c r="Z66" s="25">
        <v>0</v>
      </c>
      <c r="AA66" s="25">
        <v>0</v>
      </c>
      <c r="AB66" s="25">
        <v>0</v>
      </c>
      <c r="AC66" s="25">
        <v>0</v>
      </c>
      <c r="AD66" s="25">
        <v>0</v>
      </c>
      <c r="AE66" s="25">
        <v>0</v>
      </c>
      <c r="AF66" s="25">
        <v>0</v>
      </c>
      <c r="AG66" s="25">
        <v>0</v>
      </c>
      <c r="AH66" s="25">
        <v>0</v>
      </c>
      <c r="AI66" s="25">
        <v>0</v>
      </c>
      <c r="AJ66" s="25">
        <v>0</v>
      </c>
    </row>
    <row r="67" spans="1:36" s="55" customFormat="1" x14ac:dyDescent="0.25">
      <c r="A67" t="s">
        <v>501</v>
      </c>
      <c r="B67" t="s">
        <v>305</v>
      </c>
      <c r="C67" s="25">
        <v>5</v>
      </c>
      <c r="D67" s="25">
        <v>5</v>
      </c>
      <c r="E67" s="25">
        <v>5</v>
      </c>
      <c r="F67" s="25">
        <v>5</v>
      </c>
      <c r="G67" s="25">
        <v>5</v>
      </c>
      <c r="H67" s="25">
        <v>5</v>
      </c>
      <c r="I67" s="25">
        <v>5</v>
      </c>
      <c r="J67" s="25">
        <v>5</v>
      </c>
      <c r="K67" s="25">
        <v>5</v>
      </c>
      <c r="L67" s="25">
        <v>5</v>
      </c>
      <c r="M67" s="25">
        <v>5</v>
      </c>
      <c r="N67" s="25">
        <v>5</v>
      </c>
      <c r="O67" s="25">
        <v>5</v>
      </c>
      <c r="P67" s="25">
        <v>5</v>
      </c>
      <c r="Q67" s="25">
        <v>5</v>
      </c>
      <c r="R67" s="25">
        <v>5</v>
      </c>
      <c r="S67" s="25">
        <v>5</v>
      </c>
      <c r="T67" s="25">
        <v>5</v>
      </c>
      <c r="U67" s="25">
        <v>5</v>
      </c>
      <c r="V67" s="25">
        <v>5</v>
      </c>
      <c r="W67" s="25">
        <v>5</v>
      </c>
      <c r="X67" s="25">
        <v>5</v>
      </c>
      <c r="Y67" s="25">
        <v>5</v>
      </c>
      <c r="Z67" s="25">
        <v>5</v>
      </c>
      <c r="AA67" s="25">
        <v>5</v>
      </c>
      <c r="AB67" s="25">
        <v>5</v>
      </c>
      <c r="AC67" s="25">
        <v>5</v>
      </c>
      <c r="AD67" s="25">
        <v>5</v>
      </c>
      <c r="AE67" s="25">
        <v>5</v>
      </c>
      <c r="AF67" s="25">
        <v>5</v>
      </c>
      <c r="AG67" s="25">
        <v>5</v>
      </c>
      <c r="AH67" s="25">
        <v>5</v>
      </c>
      <c r="AI67" s="25">
        <v>5</v>
      </c>
      <c r="AJ67" s="25">
        <v>5</v>
      </c>
    </row>
    <row r="68" spans="1:36" x14ac:dyDescent="0.25">
      <c r="A68" t="s">
        <v>502</v>
      </c>
      <c r="B68" t="s">
        <v>305</v>
      </c>
      <c r="C68" s="25">
        <v>0</v>
      </c>
      <c r="D68" s="25">
        <v>0</v>
      </c>
      <c r="E68" s="25">
        <v>0</v>
      </c>
      <c r="F68" s="25">
        <v>0</v>
      </c>
      <c r="G68" s="25">
        <v>0</v>
      </c>
      <c r="H68" s="25">
        <v>0</v>
      </c>
      <c r="I68" s="25">
        <v>0</v>
      </c>
      <c r="J68" s="25">
        <v>0</v>
      </c>
      <c r="K68" s="25">
        <v>0</v>
      </c>
      <c r="L68" s="25">
        <v>0</v>
      </c>
      <c r="M68" s="25">
        <v>0</v>
      </c>
      <c r="N68" s="25">
        <v>0</v>
      </c>
      <c r="O68" s="25">
        <v>0</v>
      </c>
      <c r="P68" s="25">
        <v>0</v>
      </c>
      <c r="Q68" s="25">
        <v>0</v>
      </c>
      <c r="R68" s="25">
        <v>0</v>
      </c>
      <c r="S68" s="25">
        <v>0</v>
      </c>
      <c r="T68" s="25">
        <v>0</v>
      </c>
      <c r="U68" s="25">
        <v>0</v>
      </c>
      <c r="V68" s="25">
        <v>0</v>
      </c>
      <c r="W68" s="25">
        <v>0</v>
      </c>
      <c r="X68" s="25">
        <v>0</v>
      </c>
      <c r="Y68" s="25">
        <v>0</v>
      </c>
      <c r="Z68" s="25">
        <v>0</v>
      </c>
      <c r="AA68" s="25">
        <v>0</v>
      </c>
      <c r="AB68" s="25">
        <v>0</v>
      </c>
      <c r="AC68" s="25">
        <v>0</v>
      </c>
      <c r="AD68" s="25">
        <v>0</v>
      </c>
      <c r="AE68" s="25">
        <v>0</v>
      </c>
      <c r="AF68" s="25">
        <v>0</v>
      </c>
      <c r="AG68" s="25">
        <v>0</v>
      </c>
      <c r="AH68" s="25">
        <v>0</v>
      </c>
      <c r="AI68" s="25">
        <v>0</v>
      </c>
      <c r="AJ68" s="25">
        <v>0</v>
      </c>
    </row>
    <row r="69" spans="1:36" x14ac:dyDescent="0.25">
      <c r="A69" t="s">
        <v>503</v>
      </c>
      <c r="B69" t="s">
        <v>305</v>
      </c>
      <c r="C69" s="25">
        <v>0</v>
      </c>
      <c r="D69" s="25">
        <v>0</v>
      </c>
      <c r="E69" s="25">
        <v>0</v>
      </c>
      <c r="F69" s="25">
        <v>0</v>
      </c>
      <c r="G69" s="25">
        <v>0</v>
      </c>
      <c r="H69" s="25">
        <v>0</v>
      </c>
      <c r="I69" s="25">
        <v>0</v>
      </c>
      <c r="J69" s="25">
        <v>0</v>
      </c>
      <c r="K69" s="25">
        <v>0</v>
      </c>
      <c r="L69" s="25">
        <v>0</v>
      </c>
      <c r="M69" s="25">
        <v>0</v>
      </c>
      <c r="N69" s="25">
        <v>0</v>
      </c>
      <c r="O69" s="25">
        <v>0</v>
      </c>
      <c r="P69" s="25">
        <v>0</v>
      </c>
      <c r="Q69" s="25">
        <v>0</v>
      </c>
      <c r="R69" s="25">
        <v>0</v>
      </c>
      <c r="S69" s="25">
        <v>0</v>
      </c>
      <c r="T69" s="25">
        <v>0</v>
      </c>
      <c r="U69" s="25">
        <v>0</v>
      </c>
      <c r="V69" s="25">
        <v>0</v>
      </c>
      <c r="W69" s="25">
        <v>0</v>
      </c>
      <c r="X69" s="25">
        <v>0</v>
      </c>
      <c r="Y69" s="25">
        <v>0</v>
      </c>
      <c r="Z69" s="25">
        <v>0</v>
      </c>
      <c r="AA69" s="25">
        <v>0</v>
      </c>
      <c r="AB69" s="25">
        <v>0</v>
      </c>
      <c r="AC69" s="25">
        <v>0</v>
      </c>
      <c r="AD69" s="25">
        <v>0</v>
      </c>
      <c r="AE69" s="25">
        <v>0</v>
      </c>
      <c r="AF69" s="25">
        <v>0</v>
      </c>
      <c r="AG69" s="25">
        <v>0</v>
      </c>
      <c r="AH69" s="25">
        <v>0</v>
      </c>
      <c r="AI69" s="25">
        <v>0</v>
      </c>
      <c r="AJ69" s="25">
        <v>0</v>
      </c>
    </row>
    <row r="70" spans="1:36" s="55" customFormat="1" x14ac:dyDescent="0.25">
      <c r="A70" t="s">
        <v>504</v>
      </c>
      <c r="B70" t="s">
        <v>305</v>
      </c>
      <c r="C70" s="25">
        <v>90</v>
      </c>
      <c r="D70" s="25">
        <v>90</v>
      </c>
      <c r="E70" s="25">
        <v>90</v>
      </c>
      <c r="F70" s="25">
        <v>90</v>
      </c>
      <c r="G70" s="25">
        <v>90</v>
      </c>
      <c r="H70" s="25">
        <v>90</v>
      </c>
      <c r="I70" s="25">
        <v>90</v>
      </c>
      <c r="J70" s="25">
        <v>90</v>
      </c>
      <c r="K70" s="25">
        <v>90</v>
      </c>
      <c r="L70" s="25">
        <v>90</v>
      </c>
      <c r="M70" s="25">
        <v>90</v>
      </c>
      <c r="N70" s="25">
        <v>90</v>
      </c>
      <c r="O70" s="25">
        <v>90</v>
      </c>
      <c r="P70" s="25">
        <v>90</v>
      </c>
      <c r="Q70" s="25">
        <v>90</v>
      </c>
      <c r="R70" s="25">
        <v>90</v>
      </c>
      <c r="S70" s="25">
        <v>90</v>
      </c>
      <c r="T70" s="25">
        <v>90</v>
      </c>
      <c r="U70" s="25">
        <v>90</v>
      </c>
      <c r="V70" s="25">
        <v>90</v>
      </c>
      <c r="W70" s="25">
        <v>90</v>
      </c>
      <c r="X70" s="25">
        <v>90</v>
      </c>
      <c r="Y70" s="25">
        <v>90</v>
      </c>
      <c r="Z70" s="25">
        <v>90</v>
      </c>
      <c r="AA70" s="25">
        <v>90</v>
      </c>
      <c r="AB70" s="25">
        <v>90</v>
      </c>
      <c r="AC70" s="25">
        <v>90</v>
      </c>
      <c r="AD70" s="25">
        <v>90</v>
      </c>
      <c r="AE70" s="25">
        <v>90</v>
      </c>
      <c r="AF70" s="25">
        <v>90</v>
      </c>
      <c r="AG70" s="25">
        <v>90</v>
      </c>
      <c r="AH70" s="25">
        <v>90</v>
      </c>
      <c r="AI70" s="25">
        <v>90</v>
      </c>
      <c r="AJ70" s="25">
        <v>90</v>
      </c>
    </row>
    <row r="71" spans="1:36" x14ac:dyDescent="0.25">
      <c r="A71" t="s">
        <v>764</v>
      </c>
      <c r="B71" t="s">
        <v>305</v>
      </c>
      <c r="C71" s="25">
        <v>0</v>
      </c>
      <c r="D71" s="25">
        <v>0</v>
      </c>
      <c r="E71" s="25">
        <v>0</v>
      </c>
      <c r="F71" s="25">
        <v>0</v>
      </c>
      <c r="G71" s="25">
        <v>0</v>
      </c>
      <c r="H71" s="25">
        <v>0</v>
      </c>
      <c r="I71" s="25">
        <v>0</v>
      </c>
      <c r="J71" s="25">
        <v>0</v>
      </c>
      <c r="K71" s="25">
        <v>0</v>
      </c>
      <c r="L71" s="25">
        <v>0</v>
      </c>
      <c r="M71" s="25">
        <v>0</v>
      </c>
      <c r="N71" s="25">
        <v>0</v>
      </c>
      <c r="O71" s="25">
        <v>0</v>
      </c>
      <c r="P71" s="25">
        <v>0</v>
      </c>
      <c r="Q71" s="25">
        <v>0</v>
      </c>
      <c r="R71" s="25">
        <v>0</v>
      </c>
      <c r="S71" s="25">
        <v>0</v>
      </c>
      <c r="T71" s="25">
        <v>0</v>
      </c>
      <c r="U71" s="25">
        <v>0</v>
      </c>
      <c r="V71" s="25">
        <v>0</v>
      </c>
      <c r="W71" s="25">
        <v>0</v>
      </c>
      <c r="X71" s="25">
        <v>0</v>
      </c>
      <c r="Y71" s="25">
        <v>0</v>
      </c>
      <c r="Z71" s="25">
        <v>0</v>
      </c>
      <c r="AA71" s="25">
        <v>0</v>
      </c>
      <c r="AB71" s="25">
        <v>0</v>
      </c>
      <c r="AC71" s="25">
        <v>0</v>
      </c>
      <c r="AD71" s="25">
        <v>0</v>
      </c>
      <c r="AE71" s="25">
        <v>0</v>
      </c>
      <c r="AF71" s="25">
        <v>0</v>
      </c>
      <c r="AG71" s="25">
        <v>0</v>
      </c>
      <c r="AH71" s="25">
        <v>0</v>
      </c>
      <c r="AI71" s="25">
        <v>0</v>
      </c>
      <c r="AJ71" s="25">
        <v>0</v>
      </c>
    </row>
    <row r="72" spans="1:36" s="80" customFormat="1" x14ac:dyDescent="0.25">
      <c r="A72" s="80" t="s">
        <v>789</v>
      </c>
      <c r="C72" s="81">
        <f>+SUM(C61:C71)</f>
        <v>100</v>
      </c>
      <c r="D72" s="81">
        <f t="shared" ref="D72" si="100">+SUM(D61:D71)</f>
        <v>100</v>
      </c>
      <c r="E72" s="81">
        <f t="shared" ref="E72" si="101">+SUM(E61:E71)</f>
        <v>100</v>
      </c>
      <c r="F72" s="81">
        <f t="shared" ref="F72" si="102">+SUM(F61:F71)</f>
        <v>100</v>
      </c>
      <c r="G72" s="81">
        <f t="shared" ref="G72" si="103">+SUM(G61:G71)</f>
        <v>100</v>
      </c>
      <c r="H72" s="81">
        <f t="shared" ref="H72" si="104">+SUM(H61:H71)</f>
        <v>100</v>
      </c>
      <c r="I72" s="81">
        <f t="shared" ref="I72" si="105">+SUM(I61:I71)</f>
        <v>100</v>
      </c>
      <c r="J72" s="81">
        <f t="shared" ref="J72" si="106">+SUM(J61:J71)</f>
        <v>100</v>
      </c>
      <c r="K72" s="81">
        <f t="shared" ref="K72" si="107">+SUM(K61:K71)</f>
        <v>100</v>
      </c>
      <c r="L72" s="81">
        <f t="shared" ref="L72" si="108">+SUM(L61:L71)</f>
        <v>100</v>
      </c>
      <c r="M72" s="81">
        <f t="shared" ref="M72" si="109">+SUM(M61:M71)</f>
        <v>100</v>
      </c>
      <c r="N72" s="81">
        <f t="shared" ref="N72" si="110">+SUM(N61:N71)</f>
        <v>100</v>
      </c>
      <c r="O72" s="81">
        <f t="shared" ref="O72" si="111">+SUM(O61:O71)</f>
        <v>100</v>
      </c>
      <c r="P72" s="81">
        <f t="shared" ref="P72" si="112">+SUM(P61:P71)</f>
        <v>100</v>
      </c>
      <c r="Q72" s="81">
        <f t="shared" ref="Q72" si="113">+SUM(Q61:Q71)</f>
        <v>100</v>
      </c>
      <c r="R72" s="81">
        <f t="shared" ref="R72" si="114">+SUM(R61:R71)</f>
        <v>100</v>
      </c>
      <c r="S72" s="81">
        <f t="shared" ref="S72" si="115">+SUM(S61:S71)</f>
        <v>100</v>
      </c>
      <c r="T72" s="81">
        <f t="shared" ref="T72" si="116">+SUM(T61:T71)</f>
        <v>100</v>
      </c>
      <c r="U72" s="81">
        <f t="shared" ref="U72" si="117">+SUM(U61:U71)</f>
        <v>100</v>
      </c>
      <c r="V72" s="81">
        <f t="shared" ref="V72" si="118">+SUM(V61:V71)</f>
        <v>100</v>
      </c>
      <c r="W72" s="81">
        <f t="shared" ref="W72" si="119">+SUM(W61:W71)</f>
        <v>100</v>
      </c>
      <c r="X72" s="81">
        <f t="shared" ref="X72" si="120">+SUM(X61:X71)</f>
        <v>100</v>
      </c>
      <c r="Y72" s="81">
        <f t="shared" ref="Y72" si="121">+SUM(Y61:Y71)</f>
        <v>100</v>
      </c>
      <c r="Z72" s="81">
        <f t="shared" ref="Z72" si="122">+SUM(Z61:Z71)</f>
        <v>100</v>
      </c>
      <c r="AA72" s="81">
        <f t="shared" ref="AA72" si="123">+SUM(AA61:AA71)</f>
        <v>100</v>
      </c>
      <c r="AB72" s="81">
        <f t="shared" ref="AB72" si="124">+SUM(AB61:AB71)</f>
        <v>100</v>
      </c>
      <c r="AC72" s="81">
        <f t="shared" ref="AC72" si="125">+SUM(AC61:AC71)</f>
        <v>100</v>
      </c>
      <c r="AD72" s="81">
        <f t="shared" ref="AD72" si="126">+SUM(AD61:AD71)</f>
        <v>100</v>
      </c>
      <c r="AE72" s="81">
        <f t="shared" ref="AE72" si="127">+SUM(AE61:AE71)</f>
        <v>100</v>
      </c>
      <c r="AF72" s="81">
        <f t="shared" ref="AF72" si="128">+SUM(AF61:AF71)</f>
        <v>100</v>
      </c>
      <c r="AG72" s="81">
        <f t="shared" ref="AG72" si="129">+SUM(AG61:AG71)</f>
        <v>100</v>
      </c>
      <c r="AH72" s="81">
        <f t="shared" ref="AH72" si="130">+SUM(AH61:AH71)</f>
        <v>100</v>
      </c>
      <c r="AI72" s="81">
        <f t="shared" ref="AI72" si="131">+SUM(AI61:AI71)</f>
        <v>100</v>
      </c>
      <c r="AJ72" s="81">
        <f t="shared" ref="AJ72" si="132">+SUM(AJ61:AJ71)</f>
        <v>100</v>
      </c>
    </row>
    <row r="73" spans="1:36" x14ac:dyDescent="0.25">
      <c r="A73" s="79" t="s">
        <v>505</v>
      </c>
      <c r="B73" t="s">
        <v>305</v>
      </c>
      <c r="C73" s="25">
        <v>3</v>
      </c>
      <c r="D73" s="25">
        <v>3</v>
      </c>
      <c r="E73" s="25">
        <v>3</v>
      </c>
      <c r="F73" s="25">
        <v>3</v>
      </c>
      <c r="G73" s="25">
        <v>3</v>
      </c>
      <c r="H73" s="25">
        <v>3</v>
      </c>
      <c r="I73" s="25">
        <v>3</v>
      </c>
      <c r="J73" s="25">
        <v>3</v>
      </c>
      <c r="K73" s="25">
        <v>3</v>
      </c>
      <c r="L73" s="25">
        <v>3</v>
      </c>
      <c r="M73" s="25">
        <v>3</v>
      </c>
      <c r="N73" s="25">
        <v>3</v>
      </c>
      <c r="O73" s="25">
        <v>3</v>
      </c>
      <c r="P73" s="25">
        <v>3</v>
      </c>
      <c r="Q73" s="25">
        <v>3</v>
      </c>
      <c r="R73" s="25">
        <v>3</v>
      </c>
      <c r="S73" s="25">
        <v>3</v>
      </c>
      <c r="T73" s="25">
        <v>3</v>
      </c>
      <c r="U73" s="25">
        <v>3</v>
      </c>
      <c r="V73" s="25">
        <v>3</v>
      </c>
      <c r="W73" s="25">
        <v>3</v>
      </c>
      <c r="X73" s="25">
        <v>3</v>
      </c>
      <c r="Y73" s="25">
        <v>3</v>
      </c>
      <c r="Z73" s="25">
        <v>3</v>
      </c>
      <c r="AA73" s="25">
        <v>3</v>
      </c>
      <c r="AB73" s="25">
        <v>3</v>
      </c>
      <c r="AC73" s="25">
        <v>3</v>
      </c>
      <c r="AD73" s="25">
        <v>3</v>
      </c>
      <c r="AE73" s="25">
        <v>3</v>
      </c>
      <c r="AF73" s="25">
        <v>3</v>
      </c>
      <c r="AG73" s="25">
        <v>3</v>
      </c>
      <c r="AH73" s="25">
        <v>3</v>
      </c>
      <c r="AI73" s="25">
        <v>3</v>
      </c>
      <c r="AJ73" s="25">
        <v>3</v>
      </c>
    </row>
    <row r="74" spans="1:36" x14ac:dyDescent="0.25">
      <c r="A74" s="79" t="s">
        <v>506</v>
      </c>
      <c r="B74" t="s">
        <v>305</v>
      </c>
      <c r="C74" s="25">
        <v>3</v>
      </c>
      <c r="D74" s="25">
        <v>3</v>
      </c>
      <c r="E74" s="25">
        <v>3</v>
      </c>
      <c r="F74" s="25">
        <v>3</v>
      </c>
      <c r="G74" s="25">
        <v>3</v>
      </c>
      <c r="H74" s="25">
        <v>3</v>
      </c>
      <c r="I74" s="25">
        <v>3</v>
      </c>
      <c r="J74" s="25">
        <v>3</v>
      </c>
      <c r="K74" s="25">
        <v>3</v>
      </c>
      <c r="L74" s="25">
        <v>3</v>
      </c>
      <c r="M74" s="25">
        <v>3</v>
      </c>
      <c r="N74" s="25">
        <v>3</v>
      </c>
      <c r="O74" s="25">
        <v>3</v>
      </c>
      <c r="P74" s="25">
        <v>3</v>
      </c>
      <c r="Q74" s="25">
        <v>3</v>
      </c>
      <c r="R74" s="25">
        <v>3</v>
      </c>
      <c r="S74" s="25">
        <v>3</v>
      </c>
      <c r="T74" s="25">
        <v>3</v>
      </c>
      <c r="U74" s="25">
        <v>3</v>
      </c>
      <c r="V74" s="25">
        <v>3</v>
      </c>
      <c r="W74" s="25">
        <v>3</v>
      </c>
      <c r="X74" s="25">
        <v>3</v>
      </c>
      <c r="Y74" s="25">
        <v>3</v>
      </c>
      <c r="Z74" s="25">
        <v>3</v>
      </c>
      <c r="AA74" s="25">
        <v>3</v>
      </c>
      <c r="AB74" s="25">
        <v>3</v>
      </c>
      <c r="AC74" s="25">
        <v>3</v>
      </c>
      <c r="AD74" s="25">
        <v>3</v>
      </c>
      <c r="AE74" s="25">
        <v>3</v>
      </c>
      <c r="AF74" s="25">
        <v>3</v>
      </c>
      <c r="AG74" s="25">
        <v>3</v>
      </c>
      <c r="AH74" s="25">
        <v>3</v>
      </c>
      <c r="AI74" s="25">
        <v>3</v>
      </c>
      <c r="AJ74" s="25">
        <v>3</v>
      </c>
    </row>
    <row r="75" spans="1:36" x14ac:dyDescent="0.25">
      <c r="A75" s="79" t="s">
        <v>507</v>
      </c>
      <c r="B75" t="s">
        <v>305</v>
      </c>
      <c r="C75" s="25">
        <v>86</v>
      </c>
      <c r="D75" s="25">
        <v>86</v>
      </c>
      <c r="E75" s="25">
        <v>86</v>
      </c>
      <c r="F75" s="25">
        <v>86</v>
      </c>
      <c r="G75" s="25">
        <v>86</v>
      </c>
      <c r="H75" s="25">
        <v>86</v>
      </c>
      <c r="I75" s="25">
        <v>86</v>
      </c>
      <c r="J75" s="25">
        <v>86</v>
      </c>
      <c r="K75" s="25">
        <v>86</v>
      </c>
      <c r="L75" s="25">
        <v>86</v>
      </c>
      <c r="M75" s="25">
        <v>86</v>
      </c>
      <c r="N75" s="25">
        <v>86</v>
      </c>
      <c r="O75" s="25">
        <v>86</v>
      </c>
      <c r="P75" s="25">
        <v>86</v>
      </c>
      <c r="Q75" s="25">
        <v>86</v>
      </c>
      <c r="R75" s="25">
        <v>86</v>
      </c>
      <c r="S75" s="25">
        <v>86</v>
      </c>
      <c r="T75" s="25">
        <v>86</v>
      </c>
      <c r="U75" s="25">
        <v>86</v>
      </c>
      <c r="V75" s="25">
        <v>86</v>
      </c>
      <c r="W75" s="25">
        <v>86</v>
      </c>
      <c r="X75" s="25">
        <v>86</v>
      </c>
      <c r="Y75" s="25">
        <v>86</v>
      </c>
      <c r="Z75" s="25">
        <v>86</v>
      </c>
      <c r="AA75" s="25">
        <v>86</v>
      </c>
      <c r="AB75" s="25">
        <v>86</v>
      </c>
      <c r="AC75" s="25">
        <v>86</v>
      </c>
      <c r="AD75" s="25">
        <v>86</v>
      </c>
      <c r="AE75" s="25">
        <v>86</v>
      </c>
      <c r="AF75" s="25">
        <v>86</v>
      </c>
      <c r="AG75" s="25">
        <v>86</v>
      </c>
      <c r="AH75" s="25">
        <v>86</v>
      </c>
      <c r="AI75" s="25">
        <v>86</v>
      </c>
      <c r="AJ75" s="25">
        <v>86</v>
      </c>
    </row>
    <row r="76" spans="1:36" x14ac:dyDescent="0.25">
      <c r="A76" s="79" t="s">
        <v>508</v>
      </c>
      <c r="B76" t="s">
        <v>305</v>
      </c>
      <c r="C76" s="25">
        <v>0</v>
      </c>
      <c r="D76" s="25">
        <v>0</v>
      </c>
      <c r="E76" s="25">
        <v>0</v>
      </c>
      <c r="F76" s="25">
        <v>0</v>
      </c>
      <c r="G76" s="25">
        <v>0</v>
      </c>
      <c r="H76" s="25">
        <v>0</v>
      </c>
      <c r="I76" s="25">
        <v>0</v>
      </c>
      <c r="J76" s="25">
        <v>0</v>
      </c>
      <c r="K76" s="25">
        <v>0</v>
      </c>
      <c r="L76" s="25">
        <v>0</v>
      </c>
      <c r="M76" s="25">
        <v>0</v>
      </c>
      <c r="N76" s="25">
        <v>0</v>
      </c>
      <c r="O76" s="25">
        <v>0</v>
      </c>
      <c r="P76" s="25">
        <v>0</v>
      </c>
      <c r="Q76" s="25">
        <v>0</v>
      </c>
      <c r="R76" s="25">
        <v>0</v>
      </c>
      <c r="S76" s="25">
        <v>0</v>
      </c>
      <c r="T76" s="25">
        <v>0</v>
      </c>
      <c r="U76" s="25">
        <v>0</v>
      </c>
      <c r="V76" s="25">
        <v>0</v>
      </c>
      <c r="W76" s="25">
        <v>0</v>
      </c>
      <c r="X76" s="25">
        <v>0</v>
      </c>
      <c r="Y76" s="25">
        <v>0</v>
      </c>
      <c r="Z76" s="25">
        <v>0</v>
      </c>
      <c r="AA76" s="25">
        <v>0</v>
      </c>
      <c r="AB76" s="25">
        <v>0</v>
      </c>
      <c r="AC76" s="25">
        <v>0</v>
      </c>
      <c r="AD76" s="25">
        <v>0</v>
      </c>
      <c r="AE76" s="25">
        <v>0</v>
      </c>
      <c r="AF76" s="25">
        <v>0</v>
      </c>
      <c r="AG76" s="25">
        <v>0</v>
      </c>
      <c r="AH76" s="25">
        <v>0</v>
      </c>
      <c r="AI76" s="25">
        <v>0</v>
      </c>
      <c r="AJ76" s="25">
        <v>0</v>
      </c>
    </row>
    <row r="77" spans="1:36" x14ac:dyDescent="0.25">
      <c r="A77" s="79" t="s">
        <v>509</v>
      </c>
      <c r="B77" t="s">
        <v>305</v>
      </c>
      <c r="C77" s="25">
        <v>3</v>
      </c>
      <c r="D77" s="25">
        <v>3</v>
      </c>
      <c r="E77" s="25">
        <v>3</v>
      </c>
      <c r="F77" s="25">
        <v>3</v>
      </c>
      <c r="G77" s="25">
        <v>3</v>
      </c>
      <c r="H77" s="25">
        <v>3</v>
      </c>
      <c r="I77" s="25">
        <v>3</v>
      </c>
      <c r="J77" s="25">
        <v>3</v>
      </c>
      <c r="K77" s="25">
        <v>3</v>
      </c>
      <c r="L77" s="25">
        <v>3</v>
      </c>
      <c r="M77" s="25">
        <v>3</v>
      </c>
      <c r="N77" s="25">
        <v>3</v>
      </c>
      <c r="O77" s="25">
        <v>3</v>
      </c>
      <c r="P77" s="25">
        <v>3</v>
      </c>
      <c r="Q77" s="25">
        <v>3</v>
      </c>
      <c r="R77" s="25">
        <v>3</v>
      </c>
      <c r="S77" s="25">
        <v>3</v>
      </c>
      <c r="T77" s="25">
        <v>3</v>
      </c>
      <c r="U77" s="25">
        <v>3</v>
      </c>
      <c r="V77" s="25">
        <v>3</v>
      </c>
      <c r="W77" s="25">
        <v>3</v>
      </c>
      <c r="X77" s="25">
        <v>3</v>
      </c>
      <c r="Y77" s="25">
        <v>3</v>
      </c>
      <c r="Z77" s="25">
        <v>3</v>
      </c>
      <c r="AA77" s="25">
        <v>3</v>
      </c>
      <c r="AB77" s="25">
        <v>3</v>
      </c>
      <c r="AC77" s="25">
        <v>3</v>
      </c>
      <c r="AD77" s="25">
        <v>3</v>
      </c>
      <c r="AE77" s="25">
        <v>3</v>
      </c>
      <c r="AF77" s="25">
        <v>3</v>
      </c>
      <c r="AG77" s="25">
        <v>3</v>
      </c>
      <c r="AH77" s="25">
        <v>3</v>
      </c>
      <c r="AI77" s="25">
        <v>3</v>
      </c>
      <c r="AJ77" s="25">
        <v>3</v>
      </c>
    </row>
    <row r="78" spans="1:36" x14ac:dyDescent="0.25">
      <c r="A78" s="79" t="s">
        <v>510</v>
      </c>
      <c r="B78" t="s">
        <v>305</v>
      </c>
      <c r="C78" s="25">
        <v>5</v>
      </c>
      <c r="D78" s="25">
        <v>5</v>
      </c>
      <c r="E78" s="25">
        <v>5</v>
      </c>
      <c r="F78" s="25">
        <v>5</v>
      </c>
      <c r="G78" s="25">
        <v>5</v>
      </c>
      <c r="H78" s="25">
        <v>5</v>
      </c>
      <c r="I78" s="25">
        <v>5</v>
      </c>
      <c r="J78" s="25">
        <v>5</v>
      </c>
      <c r="K78" s="25">
        <v>5</v>
      </c>
      <c r="L78" s="25">
        <v>5</v>
      </c>
      <c r="M78" s="25">
        <v>5</v>
      </c>
      <c r="N78" s="25">
        <v>5</v>
      </c>
      <c r="O78" s="25">
        <v>5</v>
      </c>
      <c r="P78" s="25">
        <v>5</v>
      </c>
      <c r="Q78" s="25">
        <v>5</v>
      </c>
      <c r="R78" s="25">
        <v>5</v>
      </c>
      <c r="S78" s="25">
        <v>5</v>
      </c>
      <c r="T78" s="25">
        <v>5</v>
      </c>
      <c r="U78" s="25">
        <v>5</v>
      </c>
      <c r="V78" s="25">
        <v>5</v>
      </c>
      <c r="W78" s="25">
        <v>5</v>
      </c>
      <c r="X78" s="25">
        <v>5</v>
      </c>
      <c r="Y78" s="25">
        <v>5</v>
      </c>
      <c r="Z78" s="25">
        <v>5</v>
      </c>
      <c r="AA78" s="25">
        <v>5</v>
      </c>
      <c r="AB78" s="25">
        <v>5</v>
      </c>
      <c r="AC78" s="25">
        <v>5</v>
      </c>
      <c r="AD78" s="25">
        <v>5</v>
      </c>
      <c r="AE78" s="25">
        <v>5</v>
      </c>
      <c r="AF78" s="25">
        <v>5</v>
      </c>
      <c r="AG78" s="25">
        <v>5</v>
      </c>
      <c r="AH78" s="25">
        <v>5</v>
      </c>
      <c r="AI78" s="25">
        <v>5</v>
      </c>
      <c r="AJ78" s="25">
        <v>5</v>
      </c>
    </row>
    <row r="79" spans="1:36" x14ac:dyDescent="0.25">
      <c r="A79" s="79" t="s">
        <v>511</v>
      </c>
      <c r="B79" t="s">
        <v>305</v>
      </c>
      <c r="C79" s="25">
        <v>0</v>
      </c>
      <c r="D79" s="25">
        <v>0</v>
      </c>
      <c r="E79" s="25">
        <v>0</v>
      </c>
      <c r="F79" s="25">
        <v>0</v>
      </c>
      <c r="G79" s="25">
        <v>0</v>
      </c>
      <c r="H79" s="25">
        <v>0</v>
      </c>
      <c r="I79" s="25">
        <v>0</v>
      </c>
      <c r="J79" s="25">
        <v>0</v>
      </c>
      <c r="K79" s="25">
        <v>0</v>
      </c>
      <c r="L79" s="25">
        <v>0</v>
      </c>
      <c r="M79" s="25">
        <v>0</v>
      </c>
      <c r="N79" s="25">
        <v>0</v>
      </c>
      <c r="O79" s="25">
        <v>0</v>
      </c>
      <c r="P79" s="25">
        <v>0</v>
      </c>
      <c r="Q79" s="25">
        <v>0</v>
      </c>
      <c r="R79" s="25">
        <v>0</v>
      </c>
      <c r="S79" s="25">
        <v>0</v>
      </c>
      <c r="T79" s="25">
        <v>0</v>
      </c>
      <c r="U79" s="25">
        <v>0</v>
      </c>
      <c r="V79" s="25">
        <v>0</v>
      </c>
      <c r="W79" s="25">
        <v>0</v>
      </c>
      <c r="X79" s="25">
        <v>0</v>
      </c>
      <c r="Y79" s="25">
        <v>0</v>
      </c>
      <c r="Z79" s="25">
        <v>0</v>
      </c>
      <c r="AA79" s="25">
        <v>0</v>
      </c>
      <c r="AB79" s="25">
        <v>0</v>
      </c>
      <c r="AC79" s="25">
        <v>0</v>
      </c>
      <c r="AD79" s="25">
        <v>0</v>
      </c>
      <c r="AE79" s="25">
        <v>0</v>
      </c>
      <c r="AF79" s="25">
        <v>0</v>
      </c>
      <c r="AG79" s="25">
        <v>0</v>
      </c>
      <c r="AH79" s="25">
        <v>0</v>
      </c>
      <c r="AI79" s="25">
        <v>0</v>
      </c>
      <c r="AJ79" s="25">
        <v>0</v>
      </c>
    </row>
    <row r="80" spans="1:36" x14ac:dyDescent="0.25">
      <c r="A80" s="79" t="s">
        <v>512</v>
      </c>
      <c r="B80" t="s">
        <v>305</v>
      </c>
      <c r="C80" s="25">
        <v>0</v>
      </c>
      <c r="D80" s="25">
        <v>0</v>
      </c>
      <c r="E80" s="25">
        <v>0</v>
      </c>
      <c r="F80" s="25">
        <v>0</v>
      </c>
      <c r="G80" s="25">
        <v>0</v>
      </c>
      <c r="H80" s="25">
        <v>0</v>
      </c>
      <c r="I80" s="25">
        <v>0</v>
      </c>
      <c r="J80" s="25">
        <v>0</v>
      </c>
      <c r="K80" s="25">
        <v>0</v>
      </c>
      <c r="L80" s="25">
        <v>0</v>
      </c>
      <c r="M80" s="25">
        <v>0</v>
      </c>
      <c r="N80" s="25">
        <v>0</v>
      </c>
      <c r="O80" s="25">
        <v>0</v>
      </c>
      <c r="P80" s="25">
        <v>0</v>
      </c>
      <c r="Q80" s="25">
        <v>0</v>
      </c>
      <c r="R80" s="25">
        <v>0</v>
      </c>
      <c r="S80" s="25">
        <v>0</v>
      </c>
      <c r="T80" s="25">
        <v>0</v>
      </c>
      <c r="U80" s="25">
        <v>0</v>
      </c>
      <c r="V80" s="25">
        <v>0</v>
      </c>
      <c r="W80" s="25">
        <v>0</v>
      </c>
      <c r="X80" s="25">
        <v>0</v>
      </c>
      <c r="Y80" s="25">
        <v>0</v>
      </c>
      <c r="Z80" s="25">
        <v>0</v>
      </c>
      <c r="AA80" s="25">
        <v>0</v>
      </c>
      <c r="AB80" s="25">
        <v>0</v>
      </c>
      <c r="AC80" s="25">
        <v>0</v>
      </c>
      <c r="AD80" s="25">
        <v>0</v>
      </c>
      <c r="AE80" s="25">
        <v>0</v>
      </c>
      <c r="AF80" s="25">
        <v>0</v>
      </c>
      <c r="AG80" s="25">
        <v>0</v>
      </c>
      <c r="AH80" s="25">
        <v>0</v>
      </c>
      <c r="AI80" s="25">
        <v>0</v>
      </c>
      <c r="AJ80" s="25">
        <v>0</v>
      </c>
    </row>
    <row r="81" spans="1:36" x14ac:dyDescent="0.25">
      <c r="A81" s="79" t="s">
        <v>513</v>
      </c>
      <c r="B81" t="s">
        <v>305</v>
      </c>
      <c r="C81" s="25">
        <v>0</v>
      </c>
      <c r="D81" s="25">
        <v>0</v>
      </c>
      <c r="E81" s="25">
        <v>0</v>
      </c>
      <c r="F81" s="25">
        <v>0</v>
      </c>
      <c r="G81" s="25">
        <v>0</v>
      </c>
      <c r="H81" s="25">
        <v>0</v>
      </c>
      <c r="I81" s="25">
        <v>0</v>
      </c>
      <c r="J81" s="25">
        <v>0</v>
      </c>
      <c r="K81" s="25">
        <v>0</v>
      </c>
      <c r="L81" s="25">
        <v>0</v>
      </c>
      <c r="M81" s="25">
        <v>0</v>
      </c>
      <c r="N81" s="25">
        <v>0</v>
      </c>
      <c r="O81" s="25">
        <v>0</v>
      </c>
      <c r="P81" s="25">
        <v>0</v>
      </c>
      <c r="Q81" s="25">
        <v>0</v>
      </c>
      <c r="R81" s="25">
        <v>0</v>
      </c>
      <c r="S81" s="25">
        <v>0</v>
      </c>
      <c r="T81" s="25">
        <v>0</v>
      </c>
      <c r="U81" s="25">
        <v>0</v>
      </c>
      <c r="V81" s="25">
        <v>0</v>
      </c>
      <c r="W81" s="25">
        <v>0</v>
      </c>
      <c r="X81" s="25">
        <v>0</v>
      </c>
      <c r="Y81" s="25">
        <v>0</v>
      </c>
      <c r="Z81" s="25">
        <v>0</v>
      </c>
      <c r="AA81" s="25">
        <v>0</v>
      </c>
      <c r="AB81" s="25">
        <v>0</v>
      </c>
      <c r="AC81" s="25">
        <v>0</v>
      </c>
      <c r="AD81" s="25">
        <v>0</v>
      </c>
      <c r="AE81" s="25">
        <v>0</v>
      </c>
      <c r="AF81" s="25">
        <v>0</v>
      </c>
      <c r="AG81" s="25">
        <v>0</v>
      </c>
      <c r="AH81" s="25">
        <v>0</v>
      </c>
      <c r="AI81" s="25">
        <v>0</v>
      </c>
      <c r="AJ81" s="25">
        <v>0</v>
      </c>
    </row>
    <row r="82" spans="1:36" x14ac:dyDescent="0.25">
      <c r="A82" s="79" t="s">
        <v>514</v>
      </c>
      <c r="B82" t="s">
        <v>305</v>
      </c>
      <c r="C82" s="25">
        <v>0</v>
      </c>
      <c r="D82" s="25">
        <v>0</v>
      </c>
      <c r="E82" s="25">
        <v>0</v>
      </c>
      <c r="F82" s="25">
        <v>0</v>
      </c>
      <c r="G82" s="25">
        <v>0</v>
      </c>
      <c r="H82" s="25">
        <v>0</v>
      </c>
      <c r="I82" s="25">
        <v>0</v>
      </c>
      <c r="J82" s="25">
        <v>0</v>
      </c>
      <c r="K82" s="25">
        <v>0</v>
      </c>
      <c r="L82" s="25">
        <v>0</v>
      </c>
      <c r="M82" s="25">
        <v>0</v>
      </c>
      <c r="N82" s="25">
        <v>0</v>
      </c>
      <c r="O82" s="25">
        <v>0</v>
      </c>
      <c r="P82" s="25">
        <v>0</v>
      </c>
      <c r="Q82" s="25">
        <v>0</v>
      </c>
      <c r="R82" s="25">
        <v>0</v>
      </c>
      <c r="S82" s="25">
        <v>0</v>
      </c>
      <c r="T82" s="25">
        <v>0</v>
      </c>
      <c r="U82" s="25">
        <v>0</v>
      </c>
      <c r="V82" s="25">
        <v>0</v>
      </c>
      <c r="W82" s="25">
        <v>0</v>
      </c>
      <c r="X82" s="25">
        <v>0</v>
      </c>
      <c r="Y82" s="25">
        <v>0</v>
      </c>
      <c r="Z82" s="25">
        <v>0</v>
      </c>
      <c r="AA82" s="25">
        <v>0</v>
      </c>
      <c r="AB82" s="25">
        <v>0</v>
      </c>
      <c r="AC82" s="25">
        <v>0</v>
      </c>
      <c r="AD82" s="25">
        <v>0</v>
      </c>
      <c r="AE82" s="25">
        <v>0</v>
      </c>
      <c r="AF82" s="25">
        <v>0</v>
      </c>
      <c r="AG82" s="25">
        <v>0</v>
      </c>
      <c r="AH82" s="25">
        <v>0</v>
      </c>
      <c r="AI82" s="25">
        <v>0</v>
      </c>
      <c r="AJ82" s="25">
        <v>0</v>
      </c>
    </row>
    <row r="83" spans="1:36" x14ac:dyDescent="0.25">
      <c r="A83" s="79" t="s">
        <v>765</v>
      </c>
      <c r="B83" t="s">
        <v>305</v>
      </c>
      <c r="C83" s="25">
        <v>0</v>
      </c>
      <c r="D83" s="25">
        <v>0</v>
      </c>
      <c r="E83" s="25">
        <v>0</v>
      </c>
      <c r="F83" s="25">
        <v>0</v>
      </c>
      <c r="G83" s="25">
        <v>0</v>
      </c>
      <c r="H83" s="25">
        <v>0</v>
      </c>
      <c r="I83" s="25">
        <v>0</v>
      </c>
      <c r="J83" s="25">
        <v>0</v>
      </c>
      <c r="K83" s="25">
        <v>0</v>
      </c>
      <c r="L83" s="25">
        <v>0</v>
      </c>
      <c r="M83" s="25">
        <v>0</v>
      </c>
      <c r="N83" s="25">
        <v>0</v>
      </c>
      <c r="O83" s="25">
        <v>0</v>
      </c>
      <c r="P83" s="25">
        <v>0</v>
      </c>
      <c r="Q83" s="25">
        <v>0</v>
      </c>
      <c r="R83" s="25">
        <v>0</v>
      </c>
      <c r="S83" s="25">
        <v>0</v>
      </c>
      <c r="T83" s="25">
        <v>0</v>
      </c>
      <c r="U83" s="25">
        <v>0</v>
      </c>
      <c r="V83" s="25">
        <v>0</v>
      </c>
      <c r="W83" s="25">
        <v>0</v>
      </c>
      <c r="X83" s="25">
        <v>0</v>
      </c>
      <c r="Y83" s="25">
        <v>0</v>
      </c>
      <c r="Z83" s="25">
        <v>0</v>
      </c>
      <c r="AA83" s="25">
        <v>0</v>
      </c>
      <c r="AB83" s="25">
        <v>0</v>
      </c>
      <c r="AC83" s="25">
        <v>0</v>
      </c>
      <c r="AD83" s="25">
        <v>0</v>
      </c>
      <c r="AE83" s="25">
        <v>0</v>
      </c>
      <c r="AF83" s="25">
        <v>0</v>
      </c>
      <c r="AG83" s="25">
        <v>0</v>
      </c>
      <c r="AH83" s="25">
        <v>0</v>
      </c>
      <c r="AI83" s="25">
        <v>0</v>
      </c>
      <c r="AJ83" s="25">
        <v>0</v>
      </c>
    </row>
    <row r="84" spans="1:36" s="80" customFormat="1" x14ac:dyDescent="0.25">
      <c r="A84" s="80" t="s">
        <v>789</v>
      </c>
      <c r="C84" s="81">
        <f>+SUM(C73:C83)</f>
        <v>100</v>
      </c>
      <c r="D84" s="81">
        <f t="shared" ref="D84" si="133">+SUM(D73:D83)</f>
        <v>100</v>
      </c>
      <c r="E84" s="81">
        <f t="shared" ref="E84" si="134">+SUM(E73:E83)</f>
        <v>100</v>
      </c>
      <c r="F84" s="81">
        <f t="shared" ref="F84" si="135">+SUM(F73:F83)</f>
        <v>100</v>
      </c>
      <c r="G84" s="81">
        <f t="shared" ref="G84" si="136">+SUM(G73:G83)</f>
        <v>100</v>
      </c>
      <c r="H84" s="81">
        <f t="shared" ref="H84" si="137">+SUM(H73:H83)</f>
        <v>100</v>
      </c>
      <c r="I84" s="81">
        <f t="shared" ref="I84" si="138">+SUM(I73:I83)</f>
        <v>100</v>
      </c>
      <c r="J84" s="81">
        <f t="shared" ref="J84" si="139">+SUM(J73:J83)</f>
        <v>100</v>
      </c>
      <c r="K84" s="81">
        <f t="shared" ref="K84" si="140">+SUM(K73:K83)</f>
        <v>100</v>
      </c>
      <c r="L84" s="81">
        <f t="shared" ref="L84" si="141">+SUM(L73:L83)</f>
        <v>100</v>
      </c>
      <c r="M84" s="81">
        <f t="shared" ref="M84" si="142">+SUM(M73:M83)</f>
        <v>100</v>
      </c>
      <c r="N84" s="81">
        <f t="shared" ref="N84" si="143">+SUM(N73:N83)</f>
        <v>100</v>
      </c>
      <c r="O84" s="81">
        <f t="shared" ref="O84" si="144">+SUM(O73:O83)</f>
        <v>100</v>
      </c>
      <c r="P84" s="81">
        <f t="shared" ref="P84" si="145">+SUM(P73:P83)</f>
        <v>100</v>
      </c>
      <c r="Q84" s="81">
        <f t="shared" ref="Q84" si="146">+SUM(Q73:Q83)</f>
        <v>100</v>
      </c>
      <c r="R84" s="81">
        <f t="shared" ref="R84" si="147">+SUM(R73:R83)</f>
        <v>100</v>
      </c>
      <c r="S84" s="81">
        <f t="shared" ref="S84" si="148">+SUM(S73:S83)</f>
        <v>100</v>
      </c>
      <c r="T84" s="81">
        <f t="shared" ref="T84" si="149">+SUM(T73:T83)</f>
        <v>100</v>
      </c>
      <c r="U84" s="81">
        <f t="shared" ref="U84" si="150">+SUM(U73:U83)</f>
        <v>100</v>
      </c>
      <c r="V84" s="81">
        <f t="shared" ref="V84" si="151">+SUM(V73:V83)</f>
        <v>100</v>
      </c>
      <c r="W84" s="81">
        <f t="shared" ref="W84" si="152">+SUM(W73:W83)</f>
        <v>100</v>
      </c>
      <c r="X84" s="81">
        <f t="shared" ref="X84" si="153">+SUM(X73:X83)</f>
        <v>100</v>
      </c>
      <c r="Y84" s="81">
        <f t="shared" ref="Y84" si="154">+SUM(Y73:Y83)</f>
        <v>100</v>
      </c>
      <c r="Z84" s="81">
        <f t="shared" ref="Z84" si="155">+SUM(Z73:Z83)</f>
        <v>100</v>
      </c>
      <c r="AA84" s="81">
        <f t="shared" ref="AA84" si="156">+SUM(AA73:AA83)</f>
        <v>100</v>
      </c>
      <c r="AB84" s="81">
        <f t="shared" ref="AB84" si="157">+SUM(AB73:AB83)</f>
        <v>100</v>
      </c>
      <c r="AC84" s="81">
        <f t="shared" ref="AC84" si="158">+SUM(AC73:AC83)</f>
        <v>100</v>
      </c>
      <c r="AD84" s="81">
        <f t="shared" ref="AD84" si="159">+SUM(AD73:AD83)</f>
        <v>100</v>
      </c>
      <c r="AE84" s="81">
        <f t="shared" ref="AE84" si="160">+SUM(AE73:AE83)</f>
        <v>100</v>
      </c>
      <c r="AF84" s="81">
        <f t="shared" ref="AF84" si="161">+SUM(AF73:AF83)</f>
        <v>100</v>
      </c>
      <c r="AG84" s="81">
        <f t="shared" ref="AG84" si="162">+SUM(AG73:AG83)</f>
        <v>100</v>
      </c>
      <c r="AH84" s="81">
        <f t="shared" ref="AH84" si="163">+SUM(AH73:AH83)</f>
        <v>100</v>
      </c>
      <c r="AI84" s="81">
        <f t="shared" ref="AI84" si="164">+SUM(AI73:AI83)</f>
        <v>100</v>
      </c>
      <c r="AJ84" s="81">
        <f t="shared" ref="AJ84" si="165">+SUM(AJ73:AJ83)</f>
        <v>100</v>
      </c>
    </row>
    <row r="85" spans="1:36" s="78" customFormat="1" ht="15.75" x14ac:dyDescent="0.25">
      <c r="A85" s="76" t="s">
        <v>782</v>
      </c>
      <c r="B85" s="77"/>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c r="AI85" s="76"/>
      <c r="AJ85" s="76"/>
    </row>
    <row r="86" spans="1:36" x14ac:dyDescent="0.25">
      <c r="A86" t="s">
        <v>515</v>
      </c>
      <c r="B86" t="s">
        <v>305</v>
      </c>
      <c r="C86" s="25">
        <v>0</v>
      </c>
      <c r="D86" s="25">
        <v>0</v>
      </c>
      <c r="E86" s="25">
        <v>0</v>
      </c>
      <c r="F86" s="25">
        <v>0</v>
      </c>
      <c r="G86" s="25">
        <v>0</v>
      </c>
      <c r="H86" s="25">
        <v>0</v>
      </c>
      <c r="I86" s="25">
        <v>0</v>
      </c>
      <c r="J86" s="25">
        <v>0</v>
      </c>
      <c r="K86" s="25">
        <v>0</v>
      </c>
      <c r="L86" s="25">
        <v>0</v>
      </c>
      <c r="M86" s="25">
        <v>0</v>
      </c>
      <c r="N86" s="25">
        <v>0</v>
      </c>
      <c r="O86" s="25">
        <v>0</v>
      </c>
      <c r="P86" s="25">
        <v>0</v>
      </c>
      <c r="Q86" s="25">
        <v>0</v>
      </c>
      <c r="R86" s="25">
        <v>0</v>
      </c>
      <c r="S86" s="25">
        <v>0</v>
      </c>
      <c r="T86" s="25">
        <v>0</v>
      </c>
      <c r="U86" s="25">
        <v>0</v>
      </c>
      <c r="V86" s="25">
        <v>0</v>
      </c>
      <c r="W86" s="25">
        <v>0</v>
      </c>
      <c r="X86" s="25">
        <v>0</v>
      </c>
      <c r="Y86" s="25">
        <v>0</v>
      </c>
      <c r="Z86" s="25">
        <v>0</v>
      </c>
      <c r="AA86" s="25">
        <v>0</v>
      </c>
      <c r="AB86" s="25">
        <v>0</v>
      </c>
      <c r="AC86" s="25">
        <v>0</v>
      </c>
      <c r="AD86" s="25">
        <v>0</v>
      </c>
      <c r="AE86" s="25">
        <v>0</v>
      </c>
      <c r="AF86" s="25">
        <v>0</v>
      </c>
      <c r="AG86" s="25">
        <v>0</v>
      </c>
      <c r="AH86" s="25">
        <v>0</v>
      </c>
      <c r="AI86" s="25">
        <v>0</v>
      </c>
      <c r="AJ86" s="25">
        <v>0</v>
      </c>
    </row>
    <row r="87" spans="1:36" x14ac:dyDescent="0.25">
      <c r="A87" t="s">
        <v>516</v>
      </c>
      <c r="B87" t="s">
        <v>305</v>
      </c>
      <c r="C87" s="25">
        <v>0</v>
      </c>
      <c r="D87" s="25">
        <v>0</v>
      </c>
      <c r="E87" s="25">
        <v>0</v>
      </c>
      <c r="F87" s="25">
        <v>0</v>
      </c>
      <c r="G87" s="25">
        <v>0</v>
      </c>
      <c r="H87" s="25">
        <v>0</v>
      </c>
      <c r="I87" s="25">
        <v>0</v>
      </c>
      <c r="J87" s="25">
        <v>0</v>
      </c>
      <c r="K87" s="25">
        <v>0</v>
      </c>
      <c r="L87" s="25">
        <v>0</v>
      </c>
      <c r="M87" s="25">
        <v>0</v>
      </c>
      <c r="N87" s="25">
        <v>0</v>
      </c>
      <c r="O87" s="25">
        <v>0</v>
      </c>
      <c r="P87" s="25">
        <v>0</v>
      </c>
      <c r="Q87" s="25">
        <v>0</v>
      </c>
      <c r="R87" s="25">
        <v>0</v>
      </c>
      <c r="S87" s="25">
        <v>0</v>
      </c>
      <c r="T87" s="25">
        <v>0</v>
      </c>
      <c r="U87" s="25">
        <v>0</v>
      </c>
      <c r="V87" s="25">
        <v>0</v>
      </c>
      <c r="W87" s="25">
        <v>0</v>
      </c>
      <c r="X87" s="25">
        <v>0</v>
      </c>
      <c r="Y87" s="25">
        <v>0</v>
      </c>
      <c r="Z87" s="25">
        <v>0</v>
      </c>
      <c r="AA87" s="25">
        <v>0</v>
      </c>
      <c r="AB87" s="25">
        <v>0</v>
      </c>
      <c r="AC87" s="25">
        <v>0</v>
      </c>
      <c r="AD87" s="25">
        <v>0</v>
      </c>
      <c r="AE87" s="25">
        <v>0</v>
      </c>
      <c r="AF87" s="25">
        <v>0</v>
      </c>
      <c r="AG87" s="25">
        <v>0</v>
      </c>
      <c r="AH87" s="25">
        <v>0</v>
      </c>
      <c r="AI87" s="25">
        <v>0</v>
      </c>
      <c r="AJ87" s="25">
        <v>0</v>
      </c>
    </row>
    <row r="88" spans="1:36" x14ac:dyDescent="0.25">
      <c r="A88" t="s">
        <v>517</v>
      </c>
      <c r="B88" t="s">
        <v>305</v>
      </c>
      <c r="C88" s="25">
        <v>1</v>
      </c>
      <c r="D88" s="25">
        <v>1</v>
      </c>
      <c r="E88" s="25">
        <v>1</v>
      </c>
      <c r="F88" s="25">
        <v>1</v>
      </c>
      <c r="G88" s="25">
        <v>1</v>
      </c>
      <c r="H88" s="25">
        <v>1</v>
      </c>
      <c r="I88" s="25">
        <v>1</v>
      </c>
      <c r="J88" s="25">
        <v>1</v>
      </c>
      <c r="K88" s="25">
        <v>1</v>
      </c>
      <c r="L88" s="25">
        <v>1</v>
      </c>
      <c r="M88" s="25">
        <v>1</v>
      </c>
      <c r="N88" s="25">
        <v>1</v>
      </c>
      <c r="O88" s="25">
        <v>1</v>
      </c>
      <c r="P88" s="25">
        <v>1</v>
      </c>
      <c r="Q88" s="25">
        <v>1</v>
      </c>
      <c r="R88" s="25">
        <v>1</v>
      </c>
      <c r="S88" s="25">
        <v>1</v>
      </c>
      <c r="T88" s="25">
        <v>1</v>
      </c>
      <c r="U88" s="25">
        <v>1</v>
      </c>
      <c r="V88" s="25">
        <v>1</v>
      </c>
      <c r="W88" s="25">
        <v>1</v>
      </c>
      <c r="X88" s="25">
        <v>1</v>
      </c>
      <c r="Y88" s="25">
        <v>1</v>
      </c>
      <c r="Z88" s="25">
        <v>1</v>
      </c>
      <c r="AA88" s="25">
        <v>1</v>
      </c>
      <c r="AB88" s="25">
        <v>1</v>
      </c>
      <c r="AC88" s="25">
        <v>1</v>
      </c>
      <c r="AD88" s="25">
        <v>1</v>
      </c>
      <c r="AE88" s="25">
        <v>1</v>
      </c>
      <c r="AF88" s="25">
        <v>1</v>
      </c>
      <c r="AG88" s="25">
        <v>1</v>
      </c>
      <c r="AH88" s="25">
        <v>1</v>
      </c>
      <c r="AI88" s="25">
        <v>1</v>
      </c>
      <c r="AJ88" s="25">
        <v>1</v>
      </c>
    </row>
    <row r="89" spans="1:36" x14ac:dyDescent="0.25">
      <c r="A89" t="s">
        <v>518</v>
      </c>
      <c r="B89" t="s">
        <v>305</v>
      </c>
      <c r="C89" s="25">
        <v>0</v>
      </c>
      <c r="D89" s="25">
        <v>0</v>
      </c>
      <c r="E89" s="25">
        <v>0</v>
      </c>
      <c r="F89" s="25">
        <v>0</v>
      </c>
      <c r="G89" s="25">
        <v>0</v>
      </c>
      <c r="H89" s="25">
        <v>0</v>
      </c>
      <c r="I89" s="25">
        <v>0</v>
      </c>
      <c r="J89" s="25">
        <v>0</v>
      </c>
      <c r="K89" s="25">
        <v>0</v>
      </c>
      <c r="L89" s="25">
        <v>0</v>
      </c>
      <c r="M89" s="25">
        <v>0</v>
      </c>
      <c r="N89" s="25">
        <v>0</v>
      </c>
      <c r="O89" s="25">
        <v>0</v>
      </c>
      <c r="P89" s="25">
        <v>0</v>
      </c>
      <c r="Q89" s="25">
        <v>0</v>
      </c>
      <c r="R89" s="25">
        <v>0</v>
      </c>
      <c r="S89" s="25">
        <v>0</v>
      </c>
      <c r="T89" s="25">
        <v>0</v>
      </c>
      <c r="U89" s="25">
        <v>0</v>
      </c>
      <c r="V89" s="25">
        <v>0</v>
      </c>
      <c r="W89" s="25">
        <v>0</v>
      </c>
      <c r="X89" s="25">
        <v>0</v>
      </c>
      <c r="Y89" s="25">
        <v>0</v>
      </c>
      <c r="Z89" s="25">
        <v>0</v>
      </c>
      <c r="AA89" s="25">
        <v>0</v>
      </c>
      <c r="AB89" s="25">
        <v>0</v>
      </c>
      <c r="AC89" s="25">
        <v>0</v>
      </c>
      <c r="AD89" s="25">
        <v>0</v>
      </c>
      <c r="AE89" s="25">
        <v>0</v>
      </c>
      <c r="AF89" s="25">
        <v>0</v>
      </c>
      <c r="AG89" s="25">
        <v>0</v>
      </c>
      <c r="AH89" s="25">
        <v>0</v>
      </c>
      <c r="AI89" s="25">
        <v>0</v>
      </c>
      <c r="AJ89" s="25">
        <v>0</v>
      </c>
    </row>
    <row r="90" spans="1:36" x14ac:dyDescent="0.25">
      <c r="A90" t="s">
        <v>519</v>
      </c>
      <c r="B90" t="s">
        <v>305</v>
      </c>
      <c r="C90" s="25">
        <v>0</v>
      </c>
      <c r="D90" s="25">
        <v>0</v>
      </c>
      <c r="E90" s="25">
        <v>0</v>
      </c>
      <c r="F90" s="25">
        <v>0</v>
      </c>
      <c r="G90" s="25">
        <v>0</v>
      </c>
      <c r="H90" s="25">
        <v>0</v>
      </c>
      <c r="I90" s="25">
        <v>0</v>
      </c>
      <c r="J90" s="25">
        <v>0</v>
      </c>
      <c r="K90" s="25">
        <v>0</v>
      </c>
      <c r="L90" s="25">
        <v>0</v>
      </c>
      <c r="M90" s="25">
        <v>0</v>
      </c>
      <c r="N90" s="25">
        <v>0</v>
      </c>
      <c r="O90" s="25">
        <v>0</v>
      </c>
      <c r="P90" s="25">
        <v>0</v>
      </c>
      <c r="Q90" s="25">
        <v>0</v>
      </c>
      <c r="R90" s="25">
        <v>0</v>
      </c>
      <c r="S90" s="25">
        <v>0</v>
      </c>
      <c r="T90" s="25">
        <v>0</v>
      </c>
      <c r="U90" s="25">
        <v>0</v>
      </c>
      <c r="V90" s="25">
        <v>0</v>
      </c>
      <c r="W90" s="25">
        <v>0</v>
      </c>
      <c r="X90" s="25">
        <v>0</v>
      </c>
      <c r="Y90" s="25">
        <v>0</v>
      </c>
      <c r="Z90" s="25">
        <v>0</v>
      </c>
      <c r="AA90" s="25">
        <v>0</v>
      </c>
      <c r="AB90" s="25">
        <v>0</v>
      </c>
      <c r="AC90" s="25">
        <v>0</v>
      </c>
      <c r="AD90" s="25">
        <v>0</v>
      </c>
      <c r="AE90" s="25">
        <v>0</v>
      </c>
      <c r="AF90" s="25">
        <v>0</v>
      </c>
      <c r="AG90" s="25">
        <v>0</v>
      </c>
      <c r="AH90" s="25">
        <v>0</v>
      </c>
      <c r="AI90" s="25">
        <v>0</v>
      </c>
      <c r="AJ90" s="25">
        <v>0</v>
      </c>
    </row>
    <row r="91" spans="1:36" x14ac:dyDescent="0.25">
      <c r="A91" t="s">
        <v>520</v>
      </c>
      <c r="B91" t="s">
        <v>305</v>
      </c>
      <c r="C91" s="25">
        <v>0</v>
      </c>
      <c r="D91" s="25">
        <v>0</v>
      </c>
      <c r="E91" s="25">
        <v>0</v>
      </c>
      <c r="F91" s="25">
        <v>0</v>
      </c>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c r="Z91" s="25">
        <v>0</v>
      </c>
      <c r="AA91" s="25">
        <v>0</v>
      </c>
      <c r="AB91" s="25">
        <v>0</v>
      </c>
      <c r="AC91" s="25">
        <v>0</v>
      </c>
      <c r="AD91" s="25">
        <v>0</v>
      </c>
      <c r="AE91" s="25">
        <v>0</v>
      </c>
      <c r="AF91" s="25">
        <v>0</v>
      </c>
      <c r="AG91" s="25">
        <v>0</v>
      </c>
      <c r="AH91" s="25">
        <v>0</v>
      </c>
      <c r="AI91" s="25">
        <v>0</v>
      </c>
      <c r="AJ91" s="25">
        <v>0</v>
      </c>
    </row>
    <row r="92" spans="1:36" x14ac:dyDescent="0.25">
      <c r="A92" t="s">
        <v>521</v>
      </c>
      <c r="B92" t="s">
        <v>305</v>
      </c>
      <c r="C92" s="25">
        <v>0</v>
      </c>
      <c r="D92" s="25">
        <v>0</v>
      </c>
      <c r="E92" s="25">
        <v>0</v>
      </c>
      <c r="F92" s="25">
        <v>0</v>
      </c>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c r="Z92" s="25">
        <v>0</v>
      </c>
      <c r="AA92" s="25">
        <v>0</v>
      </c>
      <c r="AB92" s="25">
        <v>0</v>
      </c>
      <c r="AC92" s="25">
        <v>0</v>
      </c>
      <c r="AD92" s="25">
        <v>0</v>
      </c>
      <c r="AE92" s="25">
        <v>0</v>
      </c>
      <c r="AF92" s="25">
        <v>0</v>
      </c>
      <c r="AG92" s="25">
        <v>0</v>
      </c>
      <c r="AH92" s="25">
        <v>0</v>
      </c>
      <c r="AI92" s="25">
        <v>0</v>
      </c>
      <c r="AJ92" s="25">
        <v>0</v>
      </c>
    </row>
    <row r="93" spans="1:36" x14ac:dyDescent="0.25">
      <c r="A93" t="s">
        <v>522</v>
      </c>
      <c r="B93" t="s">
        <v>305</v>
      </c>
      <c r="C93" s="25">
        <v>0</v>
      </c>
      <c r="D93" s="25">
        <v>0</v>
      </c>
      <c r="E93" s="25">
        <v>0</v>
      </c>
      <c r="F93" s="25">
        <v>0</v>
      </c>
      <c r="G93" s="25">
        <v>0</v>
      </c>
      <c r="H93" s="25">
        <v>0</v>
      </c>
      <c r="I93" s="25">
        <v>0</v>
      </c>
      <c r="J93" s="25">
        <v>0</v>
      </c>
      <c r="K93" s="25">
        <v>0</v>
      </c>
      <c r="L93" s="25">
        <v>0</v>
      </c>
      <c r="M93" s="25">
        <v>0</v>
      </c>
      <c r="N93" s="25">
        <v>0</v>
      </c>
      <c r="O93" s="25">
        <v>0</v>
      </c>
      <c r="P93" s="25">
        <v>0</v>
      </c>
      <c r="Q93" s="25">
        <v>0</v>
      </c>
      <c r="R93" s="25">
        <v>0</v>
      </c>
      <c r="S93" s="25">
        <v>0</v>
      </c>
      <c r="T93" s="25">
        <v>0</v>
      </c>
      <c r="U93" s="25">
        <v>0</v>
      </c>
      <c r="V93" s="25">
        <v>0</v>
      </c>
      <c r="W93" s="25">
        <v>0</v>
      </c>
      <c r="X93" s="25">
        <v>0</v>
      </c>
      <c r="Y93" s="25">
        <v>0</v>
      </c>
      <c r="Z93" s="25">
        <v>0</v>
      </c>
      <c r="AA93" s="25">
        <v>0</v>
      </c>
      <c r="AB93" s="25">
        <v>0</v>
      </c>
      <c r="AC93" s="25">
        <v>0</v>
      </c>
      <c r="AD93" s="25">
        <v>0</v>
      </c>
      <c r="AE93" s="25">
        <v>0</v>
      </c>
      <c r="AF93" s="25">
        <v>0</v>
      </c>
      <c r="AG93" s="25">
        <v>0</v>
      </c>
      <c r="AH93" s="25">
        <v>0</v>
      </c>
      <c r="AI93" s="25">
        <v>0</v>
      </c>
      <c r="AJ93" s="25">
        <v>0</v>
      </c>
    </row>
    <row r="94" spans="1:36" x14ac:dyDescent="0.25">
      <c r="A94" t="s">
        <v>523</v>
      </c>
      <c r="B94" t="s">
        <v>305</v>
      </c>
      <c r="C94" s="25">
        <v>0</v>
      </c>
      <c r="D94" s="25">
        <v>0</v>
      </c>
      <c r="E94" s="25">
        <v>0</v>
      </c>
      <c r="F94" s="25">
        <v>0</v>
      </c>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c r="Z94" s="25">
        <v>0</v>
      </c>
      <c r="AA94" s="25">
        <v>0</v>
      </c>
      <c r="AB94" s="25">
        <v>0</v>
      </c>
      <c r="AC94" s="25">
        <v>0</v>
      </c>
      <c r="AD94" s="25">
        <v>0</v>
      </c>
      <c r="AE94" s="25">
        <v>0</v>
      </c>
      <c r="AF94" s="25">
        <v>0</v>
      </c>
      <c r="AG94" s="25">
        <v>0</v>
      </c>
      <c r="AH94" s="25">
        <v>0</v>
      </c>
      <c r="AI94" s="25">
        <v>0</v>
      </c>
      <c r="AJ94" s="25">
        <v>0</v>
      </c>
    </row>
    <row r="95" spans="1:36" x14ac:dyDescent="0.25">
      <c r="A95" t="s">
        <v>524</v>
      </c>
      <c r="B95" t="s">
        <v>305</v>
      </c>
      <c r="C95" s="25">
        <v>99</v>
      </c>
      <c r="D95" s="25">
        <v>99</v>
      </c>
      <c r="E95" s="25">
        <v>99</v>
      </c>
      <c r="F95" s="25">
        <v>99</v>
      </c>
      <c r="G95" s="25">
        <v>99</v>
      </c>
      <c r="H95" s="25">
        <v>99</v>
      </c>
      <c r="I95" s="25">
        <v>99</v>
      </c>
      <c r="J95" s="25">
        <v>99</v>
      </c>
      <c r="K95" s="25">
        <v>99</v>
      </c>
      <c r="L95" s="25">
        <v>99</v>
      </c>
      <c r="M95" s="25">
        <v>99</v>
      </c>
      <c r="N95" s="25">
        <v>99</v>
      </c>
      <c r="O95" s="25">
        <v>99</v>
      </c>
      <c r="P95" s="25">
        <v>99</v>
      </c>
      <c r="Q95" s="25">
        <v>99</v>
      </c>
      <c r="R95" s="25">
        <v>99</v>
      </c>
      <c r="S95" s="25">
        <v>99</v>
      </c>
      <c r="T95" s="25">
        <v>99</v>
      </c>
      <c r="U95" s="25">
        <v>99</v>
      </c>
      <c r="V95" s="25">
        <v>99</v>
      </c>
      <c r="W95" s="25">
        <v>99</v>
      </c>
      <c r="X95" s="25">
        <v>99</v>
      </c>
      <c r="Y95" s="25">
        <v>99</v>
      </c>
      <c r="Z95" s="25">
        <v>99</v>
      </c>
      <c r="AA95" s="25">
        <v>99</v>
      </c>
      <c r="AB95" s="25">
        <v>99</v>
      </c>
      <c r="AC95" s="25">
        <v>99</v>
      </c>
      <c r="AD95" s="25">
        <v>99</v>
      </c>
      <c r="AE95" s="25">
        <v>99</v>
      </c>
      <c r="AF95" s="25">
        <v>99</v>
      </c>
      <c r="AG95" s="25">
        <v>99</v>
      </c>
      <c r="AH95" s="25">
        <v>99</v>
      </c>
      <c r="AI95" s="25">
        <v>99</v>
      </c>
      <c r="AJ95" s="25">
        <v>99</v>
      </c>
    </row>
    <row r="96" spans="1:36" x14ac:dyDescent="0.25">
      <c r="A96" t="s">
        <v>766</v>
      </c>
      <c r="B96" t="s">
        <v>305</v>
      </c>
      <c r="C96" s="25">
        <v>0</v>
      </c>
      <c r="D96" s="25">
        <v>0</v>
      </c>
      <c r="E96" s="25">
        <v>0</v>
      </c>
      <c r="F96" s="25">
        <v>0</v>
      </c>
      <c r="G96" s="25">
        <v>0</v>
      </c>
      <c r="H96" s="25">
        <v>0</v>
      </c>
      <c r="I96" s="25">
        <v>0</v>
      </c>
      <c r="J96" s="25">
        <v>0</v>
      </c>
      <c r="K96" s="25">
        <v>0</v>
      </c>
      <c r="L96" s="25">
        <v>0</v>
      </c>
      <c r="M96" s="25">
        <v>0</v>
      </c>
      <c r="N96" s="25">
        <v>0</v>
      </c>
      <c r="O96" s="25">
        <v>0</v>
      </c>
      <c r="P96" s="25">
        <v>0</v>
      </c>
      <c r="Q96" s="25">
        <v>0</v>
      </c>
      <c r="R96" s="25">
        <v>0</v>
      </c>
      <c r="S96" s="25">
        <v>0</v>
      </c>
      <c r="T96" s="25">
        <v>0</v>
      </c>
      <c r="U96" s="25">
        <v>0</v>
      </c>
      <c r="V96" s="25">
        <v>0</v>
      </c>
      <c r="W96" s="25">
        <v>0</v>
      </c>
      <c r="X96" s="25">
        <v>0</v>
      </c>
      <c r="Y96" s="25">
        <v>0</v>
      </c>
      <c r="Z96" s="25">
        <v>0</v>
      </c>
      <c r="AA96" s="25">
        <v>0</v>
      </c>
      <c r="AB96" s="25">
        <v>0</v>
      </c>
      <c r="AC96" s="25">
        <v>0</v>
      </c>
      <c r="AD96" s="25">
        <v>0</v>
      </c>
      <c r="AE96" s="25">
        <v>0</v>
      </c>
      <c r="AF96" s="25">
        <v>0</v>
      </c>
      <c r="AG96" s="25">
        <v>0</v>
      </c>
      <c r="AH96" s="25">
        <v>0</v>
      </c>
      <c r="AI96" s="25">
        <v>0</v>
      </c>
      <c r="AJ96" s="25">
        <v>0</v>
      </c>
    </row>
    <row r="97" spans="1:36" x14ac:dyDescent="0.25">
      <c r="A97" t="s">
        <v>525</v>
      </c>
      <c r="B97" t="s">
        <v>305</v>
      </c>
      <c r="C97" s="25">
        <v>0</v>
      </c>
      <c r="D97" s="25">
        <v>0</v>
      </c>
      <c r="E97" s="25">
        <v>0</v>
      </c>
      <c r="F97" s="25">
        <v>0</v>
      </c>
      <c r="G97" s="25">
        <v>0</v>
      </c>
      <c r="H97" s="25">
        <v>0</v>
      </c>
      <c r="I97" s="25">
        <v>0</v>
      </c>
      <c r="J97" s="25">
        <v>0</v>
      </c>
      <c r="K97" s="25">
        <v>0</v>
      </c>
      <c r="L97" s="25">
        <v>0</v>
      </c>
      <c r="M97" s="25">
        <v>0</v>
      </c>
      <c r="N97" s="25">
        <v>0</v>
      </c>
      <c r="O97" s="25">
        <v>0</v>
      </c>
      <c r="P97" s="25">
        <v>0</v>
      </c>
      <c r="Q97" s="25">
        <v>0</v>
      </c>
      <c r="R97" s="25">
        <v>0</v>
      </c>
      <c r="S97" s="25">
        <v>0</v>
      </c>
      <c r="T97" s="25">
        <v>0</v>
      </c>
      <c r="U97" s="25">
        <v>0</v>
      </c>
      <c r="V97" s="25">
        <v>0</v>
      </c>
      <c r="W97" s="25">
        <v>0</v>
      </c>
      <c r="X97" s="25">
        <v>0</v>
      </c>
      <c r="Y97" s="25">
        <v>0</v>
      </c>
      <c r="Z97" s="25">
        <v>0</v>
      </c>
      <c r="AA97" s="25">
        <v>0</v>
      </c>
      <c r="AB97" s="25">
        <v>0</v>
      </c>
      <c r="AC97" s="25">
        <v>0</v>
      </c>
      <c r="AD97" s="25">
        <v>0</v>
      </c>
      <c r="AE97" s="25">
        <v>0</v>
      </c>
      <c r="AF97" s="25">
        <v>0</v>
      </c>
      <c r="AG97" s="25">
        <v>0</v>
      </c>
      <c r="AH97" s="25">
        <v>0</v>
      </c>
      <c r="AI97" s="25">
        <v>0</v>
      </c>
      <c r="AJ97" s="25">
        <v>0</v>
      </c>
    </row>
    <row r="98" spans="1:36" x14ac:dyDescent="0.25">
      <c r="A98" t="s">
        <v>526</v>
      </c>
      <c r="B98" t="s">
        <v>305</v>
      </c>
      <c r="C98" s="25">
        <v>0</v>
      </c>
      <c r="D98" s="25">
        <v>0</v>
      </c>
      <c r="E98" s="25">
        <v>0</v>
      </c>
      <c r="F98" s="25">
        <v>0</v>
      </c>
      <c r="G98" s="25">
        <v>0</v>
      </c>
      <c r="H98" s="25">
        <v>0</v>
      </c>
      <c r="I98" s="25">
        <v>0</v>
      </c>
      <c r="J98" s="25">
        <v>0</v>
      </c>
      <c r="K98" s="25">
        <v>0</v>
      </c>
      <c r="L98" s="25">
        <v>0</v>
      </c>
      <c r="M98" s="25">
        <v>0</v>
      </c>
      <c r="N98" s="25">
        <v>0</v>
      </c>
      <c r="O98" s="25">
        <v>0</v>
      </c>
      <c r="P98" s="25">
        <v>0</v>
      </c>
      <c r="Q98" s="25">
        <v>0</v>
      </c>
      <c r="R98" s="25">
        <v>0</v>
      </c>
      <c r="S98" s="25">
        <v>0</v>
      </c>
      <c r="T98" s="25">
        <v>0</v>
      </c>
      <c r="U98" s="25">
        <v>0</v>
      </c>
      <c r="V98" s="25">
        <v>0</v>
      </c>
      <c r="W98" s="25">
        <v>0</v>
      </c>
      <c r="X98" s="25">
        <v>0</v>
      </c>
      <c r="Y98" s="25">
        <v>0</v>
      </c>
      <c r="Z98" s="25">
        <v>0</v>
      </c>
      <c r="AA98" s="25">
        <v>0</v>
      </c>
      <c r="AB98" s="25">
        <v>0</v>
      </c>
      <c r="AC98" s="25">
        <v>0</v>
      </c>
      <c r="AD98" s="25">
        <v>0</v>
      </c>
      <c r="AE98" s="25">
        <v>0</v>
      </c>
      <c r="AF98" s="25">
        <v>0</v>
      </c>
      <c r="AG98" s="25">
        <v>0</v>
      </c>
      <c r="AH98" s="25">
        <v>0</v>
      </c>
      <c r="AI98" s="25">
        <v>0</v>
      </c>
      <c r="AJ98" s="25">
        <v>0</v>
      </c>
    </row>
    <row r="99" spans="1:36" x14ac:dyDescent="0.25">
      <c r="A99" t="s">
        <v>527</v>
      </c>
      <c r="B99" t="s">
        <v>305</v>
      </c>
      <c r="C99" s="25">
        <v>2</v>
      </c>
      <c r="D99" s="25">
        <v>2</v>
      </c>
      <c r="E99" s="25">
        <v>2</v>
      </c>
      <c r="F99" s="25">
        <v>2</v>
      </c>
      <c r="G99" s="25">
        <v>2</v>
      </c>
      <c r="H99" s="25">
        <v>2</v>
      </c>
      <c r="I99" s="25">
        <v>2</v>
      </c>
      <c r="J99" s="25">
        <v>2</v>
      </c>
      <c r="K99" s="25">
        <v>2</v>
      </c>
      <c r="L99" s="25">
        <v>2</v>
      </c>
      <c r="M99" s="25">
        <v>2</v>
      </c>
      <c r="N99" s="25">
        <v>2</v>
      </c>
      <c r="O99" s="25">
        <v>2</v>
      </c>
      <c r="P99" s="25">
        <v>2</v>
      </c>
      <c r="Q99" s="25">
        <v>2</v>
      </c>
      <c r="R99" s="25">
        <v>2</v>
      </c>
      <c r="S99" s="25">
        <v>2</v>
      </c>
      <c r="T99" s="25">
        <v>2</v>
      </c>
      <c r="U99" s="25">
        <v>2</v>
      </c>
      <c r="V99" s="25">
        <v>2</v>
      </c>
      <c r="W99" s="25">
        <v>2</v>
      </c>
      <c r="X99" s="25">
        <v>2</v>
      </c>
      <c r="Y99" s="25">
        <v>2</v>
      </c>
      <c r="Z99" s="25">
        <v>2</v>
      </c>
      <c r="AA99" s="25">
        <v>2</v>
      </c>
      <c r="AB99" s="25">
        <v>2</v>
      </c>
      <c r="AC99" s="25">
        <v>2</v>
      </c>
      <c r="AD99" s="25">
        <v>2</v>
      </c>
      <c r="AE99" s="25">
        <v>2</v>
      </c>
      <c r="AF99" s="25">
        <v>2</v>
      </c>
      <c r="AG99" s="25">
        <v>2</v>
      </c>
      <c r="AH99" s="25">
        <v>2</v>
      </c>
      <c r="AI99" s="25">
        <v>2</v>
      </c>
      <c r="AJ99" s="25">
        <v>2</v>
      </c>
    </row>
    <row r="100" spans="1:36" x14ac:dyDescent="0.25">
      <c r="A100" t="s">
        <v>528</v>
      </c>
      <c r="B100" t="s">
        <v>305</v>
      </c>
      <c r="C100" s="25">
        <v>0</v>
      </c>
      <c r="D100" s="25">
        <v>0</v>
      </c>
      <c r="E100" s="25">
        <v>0</v>
      </c>
      <c r="F100" s="25">
        <v>0</v>
      </c>
      <c r="G100" s="25">
        <v>0</v>
      </c>
      <c r="H100" s="25">
        <v>0</v>
      </c>
      <c r="I100" s="25">
        <v>0</v>
      </c>
      <c r="J100" s="25">
        <v>0</v>
      </c>
      <c r="K100" s="25">
        <v>0</v>
      </c>
      <c r="L100" s="25">
        <v>0</v>
      </c>
      <c r="M100" s="25">
        <v>0</v>
      </c>
      <c r="N100" s="25">
        <v>0</v>
      </c>
      <c r="O100" s="25">
        <v>0</v>
      </c>
      <c r="P100" s="25">
        <v>0</v>
      </c>
      <c r="Q100" s="25">
        <v>0</v>
      </c>
      <c r="R100" s="25">
        <v>0</v>
      </c>
      <c r="S100" s="25">
        <v>0</v>
      </c>
      <c r="T100" s="25">
        <v>0</v>
      </c>
      <c r="U100" s="25">
        <v>0</v>
      </c>
      <c r="V100" s="25">
        <v>0</v>
      </c>
      <c r="W100" s="25">
        <v>0</v>
      </c>
      <c r="X100" s="25">
        <v>0</v>
      </c>
      <c r="Y100" s="25">
        <v>0</v>
      </c>
      <c r="Z100" s="25">
        <v>0</v>
      </c>
      <c r="AA100" s="25">
        <v>0</v>
      </c>
      <c r="AB100" s="25">
        <v>0</v>
      </c>
      <c r="AC100" s="25">
        <v>0</v>
      </c>
      <c r="AD100" s="25">
        <v>0</v>
      </c>
      <c r="AE100" s="25">
        <v>0</v>
      </c>
      <c r="AF100" s="25">
        <v>0</v>
      </c>
      <c r="AG100" s="25">
        <v>0</v>
      </c>
      <c r="AH100" s="25">
        <v>0</v>
      </c>
      <c r="AI100" s="25">
        <v>0</v>
      </c>
      <c r="AJ100" s="25">
        <v>0</v>
      </c>
    </row>
    <row r="101" spans="1:36" x14ac:dyDescent="0.25">
      <c r="A101" t="s">
        <v>529</v>
      </c>
      <c r="B101" t="s">
        <v>305</v>
      </c>
      <c r="C101" s="25">
        <v>0</v>
      </c>
      <c r="D101" s="25">
        <v>0</v>
      </c>
      <c r="E101" s="25">
        <v>0</v>
      </c>
      <c r="F101" s="25">
        <v>0</v>
      </c>
      <c r="G101" s="25">
        <v>0</v>
      </c>
      <c r="H101" s="25">
        <v>0</v>
      </c>
      <c r="I101" s="25">
        <v>0</v>
      </c>
      <c r="J101" s="25">
        <v>0</v>
      </c>
      <c r="K101" s="25">
        <v>0</v>
      </c>
      <c r="L101" s="25">
        <v>0</v>
      </c>
      <c r="M101" s="25">
        <v>0</v>
      </c>
      <c r="N101" s="25">
        <v>0</v>
      </c>
      <c r="O101" s="25">
        <v>0</v>
      </c>
      <c r="P101" s="25">
        <v>0</v>
      </c>
      <c r="Q101" s="25">
        <v>0</v>
      </c>
      <c r="R101" s="25">
        <v>0</v>
      </c>
      <c r="S101" s="25">
        <v>0</v>
      </c>
      <c r="T101" s="25">
        <v>0</v>
      </c>
      <c r="U101" s="25">
        <v>0</v>
      </c>
      <c r="V101" s="25">
        <v>0</v>
      </c>
      <c r="W101" s="25">
        <v>0</v>
      </c>
      <c r="X101" s="25">
        <v>0</v>
      </c>
      <c r="Y101" s="25">
        <v>0</v>
      </c>
      <c r="Z101" s="25">
        <v>0</v>
      </c>
      <c r="AA101" s="25">
        <v>0</v>
      </c>
      <c r="AB101" s="25">
        <v>0</v>
      </c>
      <c r="AC101" s="25">
        <v>0</v>
      </c>
      <c r="AD101" s="25">
        <v>0</v>
      </c>
      <c r="AE101" s="25">
        <v>0</v>
      </c>
      <c r="AF101" s="25">
        <v>0</v>
      </c>
      <c r="AG101" s="25">
        <v>0</v>
      </c>
      <c r="AH101" s="25">
        <v>0</v>
      </c>
      <c r="AI101" s="25">
        <v>0</v>
      </c>
      <c r="AJ101" s="25">
        <v>0</v>
      </c>
    </row>
    <row r="102" spans="1:36" x14ac:dyDescent="0.25">
      <c r="A102" t="s">
        <v>530</v>
      </c>
      <c r="B102" t="s">
        <v>305</v>
      </c>
      <c r="C102" s="25">
        <v>0</v>
      </c>
      <c r="D102" s="25">
        <v>0</v>
      </c>
      <c r="E102" s="25">
        <v>0</v>
      </c>
      <c r="F102" s="25">
        <v>0</v>
      </c>
      <c r="G102" s="25">
        <v>0</v>
      </c>
      <c r="H102" s="25">
        <v>0</v>
      </c>
      <c r="I102" s="25">
        <v>0</v>
      </c>
      <c r="J102" s="25">
        <v>0</v>
      </c>
      <c r="K102" s="25">
        <v>0</v>
      </c>
      <c r="L102" s="25">
        <v>0</v>
      </c>
      <c r="M102" s="25">
        <v>0</v>
      </c>
      <c r="N102" s="25">
        <v>0</v>
      </c>
      <c r="O102" s="25">
        <v>0</v>
      </c>
      <c r="P102" s="25">
        <v>0</v>
      </c>
      <c r="Q102" s="25">
        <v>0</v>
      </c>
      <c r="R102" s="25">
        <v>0</v>
      </c>
      <c r="S102" s="25">
        <v>0</v>
      </c>
      <c r="T102" s="25">
        <v>0</v>
      </c>
      <c r="U102" s="25">
        <v>0</v>
      </c>
      <c r="V102" s="25">
        <v>0</v>
      </c>
      <c r="W102" s="25">
        <v>0</v>
      </c>
      <c r="X102" s="25">
        <v>0</v>
      </c>
      <c r="Y102" s="25">
        <v>0</v>
      </c>
      <c r="Z102" s="25">
        <v>0</v>
      </c>
      <c r="AA102" s="25">
        <v>0</v>
      </c>
      <c r="AB102" s="25">
        <v>0</v>
      </c>
      <c r="AC102" s="25">
        <v>0</v>
      </c>
      <c r="AD102" s="25">
        <v>0</v>
      </c>
      <c r="AE102" s="25">
        <v>0</v>
      </c>
      <c r="AF102" s="25">
        <v>0</v>
      </c>
      <c r="AG102" s="25">
        <v>0</v>
      </c>
      <c r="AH102" s="25">
        <v>0</v>
      </c>
      <c r="AI102" s="25">
        <v>0</v>
      </c>
      <c r="AJ102" s="25">
        <v>0</v>
      </c>
    </row>
    <row r="103" spans="1:36" x14ac:dyDescent="0.25">
      <c r="A103" t="s">
        <v>531</v>
      </c>
      <c r="B103" t="s">
        <v>305</v>
      </c>
      <c r="C103" s="25">
        <v>5</v>
      </c>
      <c r="D103" s="25">
        <v>5</v>
      </c>
      <c r="E103" s="25">
        <v>5</v>
      </c>
      <c r="F103" s="25">
        <v>5</v>
      </c>
      <c r="G103" s="25">
        <v>5</v>
      </c>
      <c r="H103" s="25">
        <v>5</v>
      </c>
      <c r="I103" s="25">
        <v>5</v>
      </c>
      <c r="J103" s="25">
        <v>5</v>
      </c>
      <c r="K103" s="25">
        <v>5</v>
      </c>
      <c r="L103" s="25">
        <v>5</v>
      </c>
      <c r="M103" s="25">
        <v>5</v>
      </c>
      <c r="N103" s="25">
        <v>5</v>
      </c>
      <c r="O103" s="25">
        <v>5</v>
      </c>
      <c r="P103" s="25">
        <v>5</v>
      </c>
      <c r="Q103" s="25">
        <v>5</v>
      </c>
      <c r="R103" s="25">
        <v>5</v>
      </c>
      <c r="S103" s="25">
        <v>5</v>
      </c>
      <c r="T103" s="25">
        <v>5</v>
      </c>
      <c r="U103" s="25">
        <v>5</v>
      </c>
      <c r="V103" s="25">
        <v>5</v>
      </c>
      <c r="W103" s="25">
        <v>5</v>
      </c>
      <c r="X103" s="25">
        <v>5</v>
      </c>
      <c r="Y103" s="25">
        <v>5</v>
      </c>
      <c r="Z103" s="25">
        <v>5</v>
      </c>
      <c r="AA103" s="25">
        <v>5</v>
      </c>
      <c r="AB103" s="25">
        <v>5</v>
      </c>
      <c r="AC103" s="25">
        <v>5</v>
      </c>
      <c r="AD103" s="25">
        <v>5</v>
      </c>
      <c r="AE103" s="25">
        <v>5</v>
      </c>
      <c r="AF103" s="25">
        <v>5</v>
      </c>
      <c r="AG103" s="25">
        <v>5</v>
      </c>
      <c r="AH103" s="25">
        <v>5</v>
      </c>
      <c r="AI103" s="25">
        <v>5</v>
      </c>
      <c r="AJ103" s="25">
        <v>5</v>
      </c>
    </row>
    <row r="104" spans="1:36" x14ac:dyDescent="0.25">
      <c r="A104" t="s">
        <v>532</v>
      </c>
      <c r="B104" t="s">
        <v>305</v>
      </c>
      <c r="C104" s="25">
        <v>0</v>
      </c>
      <c r="D104" s="25">
        <v>0</v>
      </c>
      <c r="E104" s="25">
        <v>0</v>
      </c>
      <c r="F104" s="25">
        <v>0</v>
      </c>
      <c r="G104" s="25">
        <v>0</v>
      </c>
      <c r="H104" s="25">
        <v>0</v>
      </c>
      <c r="I104" s="25">
        <v>0</v>
      </c>
      <c r="J104" s="25">
        <v>0</v>
      </c>
      <c r="K104" s="25">
        <v>0</v>
      </c>
      <c r="L104" s="25">
        <v>0</v>
      </c>
      <c r="M104" s="25">
        <v>0</v>
      </c>
      <c r="N104" s="25">
        <v>0</v>
      </c>
      <c r="O104" s="25">
        <v>0</v>
      </c>
      <c r="P104" s="25">
        <v>0</v>
      </c>
      <c r="Q104" s="25">
        <v>0</v>
      </c>
      <c r="R104" s="25">
        <v>0</v>
      </c>
      <c r="S104" s="25">
        <v>0</v>
      </c>
      <c r="T104" s="25">
        <v>0</v>
      </c>
      <c r="U104" s="25">
        <v>0</v>
      </c>
      <c r="V104" s="25">
        <v>0</v>
      </c>
      <c r="W104" s="25">
        <v>0</v>
      </c>
      <c r="X104" s="25">
        <v>0</v>
      </c>
      <c r="Y104" s="25">
        <v>0</v>
      </c>
      <c r="Z104" s="25">
        <v>0</v>
      </c>
      <c r="AA104" s="25">
        <v>0</v>
      </c>
      <c r="AB104" s="25">
        <v>0</v>
      </c>
      <c r="AC104" s="25">
        <v>0</v>
      </c>
      <c r="AD104" s="25">
        <v>0</v>
      </c>
      <c r="AE104" s="25">
        <v>0</v>
      </c>
      <c r="AF104" s="25">
        <v>0</v>
      </c>
      <c r="AG104" s="25">
        <v>0</v>
      </c>
      <c r="AH104" s="25">
        <v>0</v>
      </c>
      <c r="AI104" s="25">
        <v>0</v>
      </c>
      <c r="AJ104" s="25">
        <v>0</v>
      </c>
    </row>
    <row r="105" spans="1:36" x14ac:dyDescent="0.25">
      <c r="A105" t="s">
        <v>533</v>
      </c>
      <c r="B105" t="s">
        <v>305</v>
      </c>
      <c r="C105" s="25">
        <v>0</v>
      </c>
      <c r="D105" s="25">
        <v>0</v>
      </c>
      <c r="E105" s="25">
        <v>0</v>
      </c>
      <c r="F105" s="25">
        <v>0</v>
      </c>
      <c r="G105" s="25">
        <v>0</v>
      </c>
      <c r="H105" s="25">
        <v>0</v>
      </c>
      <c r="I105" s="25">
        <v>0</v>
      </c>
      <c r="J105" s="25">
        <v>0</v>
      </c>
      <c r="K105" s="25">
        <v>0</v>
      </c>
      <c r="L105" s="25">
        <v>0</v>
      </c>
      <c r="M105" s="25">
        <v>0</v>
      </c>
      <c r="N105" s="25">
        <v>0</v>
      </c>
      <c r="O105" s="25">
        <v>0</v>
      </c>
      <c r="P105" s="25">
        <v>0</v>
      </c>
      <c r="Q105" s="25">
        <v>0</v>
      </c>
      <c r="R105" s="25">
        <v>0</v>
      </c>
      <c r="S105" s="25">
        <v>0</v>
      </c>
      <c r="T105" s="25">
        <v>0</v>
      </c>
      <c r="U105" s="25">
        <v>0</v>
      </c>
      <c r="V105" s="25">
        <v>0</v>
      </c>
      <c r="W105" s="25">
        <v>0</v>
      </c>
      <c r="X105" s="25">
        <v>0</v>
      </c>
      <c r="Y105" s="25">
        <v>0</v>
      </c>
      <c r="Z105" s="25">
        <v>0</v>
      </c>
      <c r="AA105" s="25">
        <v>0</v>
      </c>
      <c r="AB105" s="25">
        <v>0</v>
      </c>
      <c r="AC105" s="25">
        <v>0</v>
      </c>
      <c r="AD105" s="25">
        <v>0</v>
      </c>
      <c r="AE105" s="25">
        <v>0</v>
      </c>
      <c r="AF105" s="25">
        <v>0</v>
      </c>
      <c r="AG105" s="25">
        <v>0</v>
      </c>
      <c r="AH105" s="25">
        <v>0</v>
      </c>
      <c r="AI105" s="25">
        <v>0</v>
      </c>
      <c r="AJ105" s="25">
        <v>0</v>
      </c>
    </row>
    <row r="106" spans="1:36" x14ac:dyDescent="0.25">
      <c r="A106" t="s">
        <v>534</v>
      </c>
      <c r="B106" t="s">
        <v>305</v>
      </c>
      <c r="C106" s="25">
        <v>93</v>
      </c>
      <c r="D106" s="25">
        <v>93</v>
      </c>
      <c r="E106" s="25">
        <v>93</v>
      </c>
      <c r="F106" s="25">
        <v>93</v>
      </c>
      <c r="G106" s="25">
        <v>93</v>
      </c>
      <c r="H106" s="25">
        <v>93</v>
      </c>
      <c r="I106" s="25">
        <v>93</v>
      </c>
      <c r="J106" s="25">
        <v>93</v>
      </c>
      <c r="K106" s="25">
        <v>93</v>
      </c>
      <c r="L106" s="25">
        <v>93</v>
      </c>
      <c r="M106" s="25">
        <v>93</v>
      </c>
      <c r="N106" s="25">
        <v>93</v>
      </c>
      <c r="O106" s="25">
        <v>93</v>
      </c>
      <c r="P106" s="25">
        <v>93</v>
      </c>
      <c r="Q106" s="25">
        <v>93</v>
      </c>
      <c r="R106" s="25">
        <v>93</v>
      </c>
      <c r="S106" s="25">
        <v>93</v>
      </c>
      <c r="T106" s="25">
        <v>93</v>
      </c>
      <c r="U106" s="25">
        <v>93</v>
      </c>
      <c r="V106" s="25">
        <v>93</v>
      </c>
      <c r="W106" s="25">
        <v>93</v>
      </c>
      <c r="X106" s="25">
        <v>93</v>
      </c>
      <c r="Y106" s="25">
        <v>93</v>
      </c>
      <c r="Z106" s="25">
        <v>93</v>
      </c>
      <c r="AA106" s="25">
        <v>93</v>
      </c>
      <c r="AB106" s="25">
        <v>93</v>
      </c>
      <c r="AC106" s="25">
        <v>93</v>
      </c>
      <c r="AD106" s="25">
        <v>93</v>
      </c>
      <c r="AE106" s="25">
        <v>93</v>
      </c>
      <c r="AF106" s="25">
        <v>93</v>
      </c>
      <c r="AG106" s="25">
        <v>93</v>
      </c>
      <c r="AH106" s="25">
        <v>93</v>
      </c>
      <c r="AI106" s="25">
        <v>93</v>
      </c>
      <c r="AJ106" s="25">
        <v>93</v>
      </c>
    </row>
    <row r="107" spans="1:36" x14ac:dyDescent="0.25">
      <c r="A107" t="s">
        <v>767</v>
      </c>
      <c r="B107" t="s">
        <v>305</v>
      </c>
      <c r="C107" s="25">
        <v>0</v>
      </c>
      <c r="D107" s="25">
        <v>0</v>
      </c>
      <c r="E107" s="25">
        <v>0</v>
      </c>
      <c r="F107" s="25">
        <v>0</v>
      </c>
      <c r="G107" s="25">
        <v>0</v>
      </c>
      <c r="H107" s="25">
        <v>0</v>
      </c>
      <c r="I107" s="25">
        <v>0</v>
      </c>
      <c r="J107" s="25">
        <v>0</v>
      </c>
      <c r="K107" s="25">
        <v>0</v>
      </c>
      <c r="L107" s="25">
        <v>0</v>
      </c>
      <c r="M107" s="25">
        <v>0</v>
      </c>
      <c r="N107" s="25">
        <v>0</v>
      </c>
      <c r="O107" s="25">
        <v>0</v>
      </c>
      <c r="P107" s="25">
        <v>0</v>
      </c>
      <c r="Q107" s="25">
        <v>0</v>
      </c>
      <c r="R107" s="25">
        <v>0</v>
      </c>
      <c r="S107" s="25">
        <v>0</v>
      </c>
      <c r="T107" s="25">
        <v>0</v>
      </c>
      <c r="U107" s="25">
        <v>0</v>
      </c>
      <c r="V107" s="25">
        <v>0</v>
      </c>
      <c r="W107" s="25">
        <v>0</v>
      </c>
      <c r="X107" s="25">
        <v>0</v>
      </c>
      <c r="Y107" s="25">
        <v>0</v>
      </c>
      <c r="Z107" s="25">
        <v>0</v>
      </c>
      <c r="AA107" s="25">
        <v>0</v>
      </c>
      <c r="AB107" s="25">
        <v>0</v>
      </c>
      <c r="AC107" s="25">
        <v>0</v>
      </c>
      <c r="AD107" s="25">
        <v>0</v>
      </c>
      <c r="AE107" s="25">
        <v>0</v>
      </c>
      <c r="AF107" s="25">
        <v>0</v>
      </c>
      <c r="AG107" s="25">
        <v>0</v>
      </c>
      <c r="AH107" s="25">
        <v>0</v>
      </c>
      <c r="AI107" s="25">
        <v>0</v>
      </c>
      <c r="AJ107" s="25">
        <v>0</v>
      </c>
    </row>
    <row r="108" spans="1:36" s="80" customFormat="1" x14ac:dyDescent="0.25">
      <c r="A108" s="80" t="s">
        <v>789</v>
      </c>
      <c r="C108" s="81">
        <f>+SUM(C97:C107)</f>
        <v>100</v>
      </c>
      <c r="D108" s="81">
        <f t="shared" ref="D108" si="166">+SUM(D97:D107)</f>
        <v>100</v>
      </c>
      <c r="E108" s="81">
        <f t="shared" ref="E108" si="167">+SUM(E97:E107)</f>
        <v>100</v>
      </c>
      <c r="F108" s="81">
        <f t="shared" ref="F108" si="168">+SUM(F97:F107)</f>
        <v>100</v>
      </c>
      <c r="G108" s="81">
        <f t="shared" ref="G108" si="169">+SUM(G97:G107)</f>
        <v>100</v>
      </c>
      <c r="H108" s="81">
        <f t="shared" ref="H108" si="170">+SUM(H97:H107)</f>
        <v>100</v>
      </c>
      <c r="I108" s="81">
        <f t="shared" ref="I108" si="171">+SUM(I97:I107)</f>
        <v>100</v>
      </c>
      <c r="J108" s="81">
        <f t="shared" ref="J108" si="172">+SUM(J97:J107)</f>
        <v>100</v>
      </c>
      <c r="K108" s="81">
        <f t="shared" ref="K108" si="173">+SUM(K97:K107)</f>
        <v>100</v>
      </c>
      <c r="L108" s="81">
        <f t="shared" ref="L108" si="174">+SUM(L97:L107)</f>
        <v>100</v>
      </c>
      <c r="M108" s="81">
        <f t="shared" ref="M108" si="175">+SUM(M97:M107)</f>
        <v>100</v>
      </c>
      <c r="N108" s="81">
        <f t="shared" ref="N108" si="176">+SUM(N97:N107)</f>
        <v>100</v>
      </c>
      <c r="O108" s="81">
        <f t="shared" ref="O108" si="177">+SUM(O97:O107)</f>
        <v>100</v>
      </c>
      <c r="P108" s="81">
        <f t="shared" ref="P108" si="178">+SUM(P97:P107)</f>
        <v>100</v>
      </c>
      <c r="Q108" s="81">
        <f t="shared" ref="Q108" si="179">+SUM(Q97:Q107)</f>
        <v>100</v>
      </c>
      <c r="R108" s="81">
        <f t="shared" ref="R108" si="180">+SUM(R97:R107)</f>
        <v>100</v>
      </c>
      <c r="S108" s="81">
        <f t="shared" ref="S108" si="181">+SUM(S97:S107)</f>
        <v>100</v>
      </c>
      <c r="T108" s="81">
        <f t="shared" ref="T108" si="182">+SUM(T97:T107)</f>
        <v>100</v>
      </c>
      <c r="U108" s="81">
        <f t="shared" ref="U108" si="183">+SUM(U97:U107)</f>
        <v>100</v>
      </c>
      <c r="V108" s="81">
        <f t="shared" ref="V108" si="184">+SUM(V97:V107)</f>
        <v>100</v>
      </c>
      <c r="W108" s="81">
        <f t="shared" ref="W108" si="185">+SUM(W97:W107)</f>
        <v>100</v>
      </c>
      <c r="X108" s="81">
        <f t="shared" ref="X108" si="186">+SUM(X97:X107)</f>
        <v>100</v>
      </c>
      <c r="Y108" s="81">
        <f t="shared" ref="Y108" si="187">+SUM(Y97:Y107)</f>
        <v>100</v>
      </c>
      <c r="Z108" s="81">
        <f t="shared" ref="Z108" si="188">+SUM(Z97:Z107)</f>
        <v>100</v>
      </c>
      <c r="AA108" s="81">
        <f t="shared" ref="AA108" si="189">+SUM(AA97:AA107)</f>
        <v>100</v>
      </c>
      <c r="AB108" s="81">
        <f t="shared" ref="AB108" si="190">+SUM(AB97:AB107)</f>
        <v>100</v>
      </c>
      <c r="AC108" s="81">
        <f t="shared" ref="AC108" si="191">+SUM(AC97:AC107)</f>
        <v>100</v>
      </c>
      <c r="AD108" s="81">
        <f t="shared" ref="AD108" si="192">+SUM(AD97:AD107)</f>
        <v>100</v>
      </c>
      <c r="AE108" s="81">
        <f t="shared" ref="AE108" si="193">+SUM(AE97:AE107)</f>
        <v>100</v>
      </c>
      <c r="AF108" s="81">
        <f t="shared" ref="AF108" si="194">+SUM(AF97:AF107)</f>
        <v>100</v>
      </c>
      <c r="AG108" s="81">
        <f t="shared" ref="AG108" si="195">+SUM(AG97:AG107)</f>
        <v>100</v>
      </c>
      <c r="AH108" s="81">
        <f t="shared" ref="AH108" si="196">+SUM(AH97:AH107)</f>
        <v>100</v>
      </c>
      <c r="AI108" s="81">
        <f t="shared" ref="AI108" si="197">+SUM(AI97:AI107)</f>
        <v>100</v>
      </c>
      <c r="AJ108" s="81">
        <f t="shared" ref="AJ108" si="198">+SUM(AJ97:AJ107)</f>
        <v>100</v>
      </c>
    </row>
    <row r="109" spans="1:36" s="78" customFormat="1" ht="15.75" x14ac:dyDescent="0.25">
      <c r="A109" s="76" t="s">
        <v>783</v>
      </c>
      <c r="B109" s="77"/>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row>
    <row r="110" spans="1:36" x14ac:dyDescent="0.25">
      <c r="A110" t="s">
        <v>535</v>
      </c>
      <c r="B110" t="s">
        <v>305</v>
      </c>
      <c r="C110" s="25">
        <v>0</v>
      </c>
      <c r="D110" s="25">
        <v>0</v>
      </c>
      <c r="E110" s="25">
        <v>0</v>
      </c>
      <c r="F110" s="25">
        <v>0</v>
      </c>
      <c r="G110" s="25">
        <v>0</v>
      </c>
      <c r="H110" s="25">
        <v>0</v>
      </c>
      <c r="I110" s="25">
        <v>0</v>
      </c>
      <c r="J110" s="25">
        <v>0</v>
      </c>
      <c r="K110" s="25">
        <v>0</v>
      </c>
      <c r="L110" s="25">
        <v>0</v>
      </c>
      <c r="M110" s="25">
        <v>0</v>
      </c>
      <c r="N110" s="25">
        <v>0</v>
      </c>
      <c r="O110" s="25">
        <v>0</v>
      </c>
      <c r="P110" s="25">
        <v>0</v>
      </c>
      <c r="Q110" s="25">
        <v>0</v>
      </c>
      <c r="R110" s="25">
        <v>0</v>
      </c>
      <c r="S110" s="25">
        <v>0</v>
      </c>
      <c r="T110" s="25">
        <v>0</v>
      </c>
      <c r="U110" s="25">
        <v>0</v>
      </c>
      <c r="V110" s="25">
        <v>0</v>
      </c>
      <c r="W110" s="25">
        <v>0</v>
      </c>
      <c r="X110" s="25">
        <v>0</v>
      </c>
      <c r="Y110" s="25">
        <v>0</v>
      </c>
      <c r="Z110" s="25">
        <v>0</v>
      </c>
      <c r="AA110" s="25">
        <v>0</v>
      </c>
      <c r="AB110" s="25">
        <v>0</v>
      </c>
      <c r="AC110" s="25">
        <v>0</v>
      </c>
      <c r="AD110" s="25">
        <v>0</v>
      </c>
      <c r="AE110" s="25">
        <v>0</v>
      </c>
      <c r="AF110" s="25">
        <v>0</v>
      </c>
      <c r="AG110" s="25">
        <v>0</v>
      </c>
      <c r="AH110" s="25">
        <v>0</v>
      </c>
      <c r="AI110" s="25">
        <v>0</v>
      </c>
      <c r="AJ110" s="25">
        <v>0</v>
      </c>
    </row>
    <row r="111" spans="1:36" x14ac:dyDescent="0.25">
      <c r="A111" t="s">
        <v>536</v>
      </c>
      <c r="B111" t="s">
        <v>305</v>
      </c>
      <c r="C111" s="25">
        <v>0</v>
      </c>
      <c r="D111" s="25">
        <v>0</v>
      </c>
      <c r="E111" s="25">
        <v>0</v>
      </c>
      <c r="F111" s="25">
        <v>0</v>
      </c>
      <c r="G111" s="25">
        <v>0</v>
      </c>
      <c r="H111" s="25">
        <v>0</v>
      </c>
      <c r="I111" s="25">
        <v>0</v>
      </c>
      <c r="J111" s="25">
        <v>0</v>
      </c>
      <c r="K111" s="25">
        <v>0</v>
      </c>
      <c r="L111" s="25">
        <v>0</v>
      </c>
      <c r="M111" s="25">
        <v>0</v>
      </c>
      <c r="N111" s="25">
        <v>0</v>
      </c>
      <c r="O111" s="25">
        <v>0</v>
      </c>
      <c r="P111" s="25">
        <v>0</v>
      </c>
      <c r="Q111" s="25">
        <v>0</v>
      </c>
      <c r="R111" s="25">
        <v>0</v>
      </c>
      <c r="S111" s="25">
        <v>0</v>
      </c>
      <c r="T111" s="25">
        <v>0</v>
      </c>
      <c r="U111" s="25">
        <v>0</v>
      </c>
      <c r="V111" s="25">
        <v>0</v>
      </c>
      <c r="W111" s="25">
        <v>0</v>
      </c>
      <c r="X111" s="25">
        <v>0</v>
      </c>
      <c r="Y111" s="25">
        <v>0</v>
      </c>
      <c r="Z111" s="25">
        <v>0</v>
      </c>
      <c r="AA111" s="25">
        <v>0</v>
      </c>
      <c r="AB111" s="25">
        <v>0</v>
      </c>
      <c r="AC111" s="25">
        <v>0</v>
      </c>
      <c r="AD111" s="25">
        <v>0</v>
      </c>
      <c r="AE111" s="25">
        <v>0</v>
      </c>
      <c r="AF111" s="25">
        <v>0</v>
      </c>
      <c r="AG111" s="25">
        <v>0</v>
      </c>
      <c r="AH111" s="25">
        <v>0</v>
      </c>
      <c r="AI111" s="25">
        <v>0</v>
      </c>
      <c r="AJ111" s="25">
        <v>0</v>
      </c>
    </row>
    <row r="112" spans="1:36" x14ac:dyDescent="0.25">
      <c r="A112" t="s">
        <v>537</v>
      </c>
      <c r="B112" t="s">
        <v>305</v>
      </c>
      <c r="C112" s="25">
        <v>1</v>
      </c>
      <c r="D112" s="25">
        <v>1</v>
      </c>
      <c r="E112" s="25">
        <v>1</v>
      </c>
      <c r="F112" s="25">
        <v>1</v>
      </c>
      <c r="G112" s="25">
        <v>1</v>
      </c>
      <c r="H112" s="25">
        <v>1</v>
      </c>
      <c r="I112" s="25">
        <v>1</v>
      </c>
      <c r="J112" s="25">
        <v>1</v>
      </c>
      <c r="K112" s="25">
        <v>1</v>
      </c>
      <c r="L112" s="25">
        <v>1</v>
      </c>
      <c r="M112" s="25">
        <v>1</v>
      </c>
      <c r="N112" s="25">
        <v>1</v>
      </c>
      <c r="O112" s="25">
        <v>1</v>
      </c>
      <c r="P112" s="25">
        <v>1</v>
      </c>
      <c r="Q112" s="25">
        <v>1</v>
      </c>
      <c r="R112" s="25">
        <v>1</v>
      </c>
      <c r="S112" s="25">
        <v>1</v>
      </c>
      <c r="T112" s="25">
        <v>1</v>
      </c>
      <c r="U112" s="25">
        <v>1</v>
      </c>
      <c r="V112" s="25">
        <v>1</v>
      </c>
      <c r="W112" s="25">
        <v>1</v>
      </c>
      <c r="X112" s="25">
        <v>1</v>
      </c>
      <c r="Y112" s="25">
        <v>1</v>
      </c>
      <c r="Z112" s="25">
        <v>1</v>
      </c>
      <c r="AA112" s="25">
        <v>1</v>
      </c>
      <c r="AB112" s="25">
        <v>1</v>
      </c>
      <c r="AC112" s="25">
        <v>1</v>
      </c>
      <c r="AD112" s="25">
        <v>1</v>
      </c>
      <c r="AE112" s="25">
        <v>1</v>
      </c>
      <c r="AF112" s="25">
        <v>1</v>
      </c>
      <c r="AG112" s="25">
        <v>1</v>
      </c>
      <c r="AH112" s="25">
        <v>1</v>
      </c>
      <c r="AI112" s="25">
        <v>1</v>
      </c>
      <c r="AJ112" s="25">
        <v>1</v>
      </c>
    </row>
    <row r="113" spans="1:36" x14ac:dyDescent="0.25">
      <c r="A113" t="s">
        <v>538</v>
      </c>
      <c r="B113" t="s">
        <v>305</v>
      </c>
      <c r="C113" s="25">
        <v>0</v>
      </c>
      <c r="D113" s="25">
        <v>0</v>
      </c>
      <c r="E113" s="25">
        <v>0</v>
      </c>
      <c r="F113" s="25">
        <v>0</v>
      </c>
      <c r="G113" s="25">
        <v>0</v>
      </c>
      <c r="H113" s="25">
        <v>0</v>
      </c>
      <c r="I113" s="25">
        <v>0</v>
      </c>
      <c r="J113" s="25">
        <v>0</v>
      </c>
      <c r="K113" s="25">
        <v>0</v>
      </c>
      <c r="L113" s="25">
        <v>0</v>
      </c>
      <c r="M113" s="25">
        <v>0</v>
      </c>
      <c r="N113" s="25">
        <v>0</v>
      </c>
      <c r="O113" s="25">
        <v>0</v>
      </c>
      <c r="P113" s="25">
        <v>0</v>
      </c>
      <c r="Q113" s="25">
        <v>0</v>
      </c>
      <c r="R113" s="25">
        <v>0</v>
      </c>
      <c r="S113" s="25">
        <v>0</v>
      </c>
      <c r="T113" s="25">
        <v>0</v>
      </c>
      <c r="U113" s="25">
        <v>0</v>
      </c>
      <c r="V113" s="25">
        <v>0</v>
      </c>
      <c r="W113" s="25">
        <v>0</v>
      </c>
      <c r="X113" s="25">
        <v>0</v>
      </c>
      <c r="Y113" s="25">
        <v>0</v>
      </c>
      <c r="Z113" s="25">
        <v>0</v>
      </c>
      <c r="AA113" s="25">
        <v>0</v>
      </c>
      <c r="AB113" s="25">
        <v>0</v>
      </c>
      <c r="AC113" s="25">
        <v>0</v>
      </c>
      <c r="AD113" s="25">
        <v>0</v>
      </c>
      <c r="AE113" s="25">
        <v>0</v>
      </c>
      <c r="AF113" s="25">
        <v>0</v>
      </c>
      <c r="AG113" s="25">
        <v>0</v>
      </c>
      <c r="AH113" s="25">
        <v>0</v>
      </c>
      <c r="AI113" s="25">
        <v>0</v>
      </c>
      <c r="AJ113" s="25">
        <v>0</v>
      </c>
    </row>
    <row r="114" spans="1:36" x14ac:dyDescent="0.25">
      <c r="A114" t="s">
        <v>539</v>
      </c>
      <c r="B114" t="s">
        <v>305</v>
      </c>
      <c r="C114" s="25">
        <v>0</v>
      </c>
      <c r="D114" s="25">
        <v>0</v>
      </c>
      <c r="E114" s="25">
        <v>0</v>
      </c>
      <c r="F114" s="25">
        <v>0</v>
      </c>
      <c r="G114" s="25">
        <v>0</v>
      </c>
      <c r="H114" s="25">
        <v>0</v>
      </c>
      <c r="I114" s="25">
        <v>0</v>
      </c>
      <c r="J114" s="25">
        <v>0</v>
      </c>
      <c r="K114" s="25">
        <v>0</v>
      </c>
      <c r="L114" s="25">
        <v>0</v>
      </c>
      <c r="M114" s="25">
        <v>0</v>
      </c>
      <c r="N114" s="25">
        <v>0</v>
      </c>
      <c r="O114" s="25">
        <v>0</v>
      </c>
      <c r="P114" s="25">
        <v>0</v>
      </c>
      <c r="Q114" s="25">
        <v>0</v>
      </c>
      <c r="R114" s="25">
        <v>0</v>
      </c>
      <c r="S114" s="25">
        <v>0</v>
      </c>
      <c r="T114" s="25">
        <v>0</v>
      </c>
      <c r="U114" s="25">
        <v>0</v>
      </c>
      <c r="V114" s="25">
        <v>0</v>
      </c>
      <c r="W114" s="25">
        <v>0</v>
      </c>
      <c r="X114" s="25">
        <v>0</v>
      </c>
      <c r="Y114" s="25">
        <v>0</v>
      </c>
      <c r="Z114" s="25">
        <v>0</v>
      </c>
      <c r="AA114" s="25">
        <v>0</v>
      </c>
      <c r="AB114" s="25">
        <v>0</v>
      </c>
      <c r="AC114" s="25">
        <v>0</v>
      </c>
      <c r="AD114" s="25">
        <v>0</v>
      </c>
      <c r="AE114" s="25">
        <v>0</v>
      </c>
      <c r="AF114" s="25">
        <v>0</v>
      </c>
      <c r="AG114" s="25">
        <v>0</v>
      </c>
      <c r="AH114" s="25">
        <v>0</v>
      </c>
      <c r="AI114" s="25">
        <v>0</v>
      </c>
      <c r="AJ114" s="25">
        <v>0</v>
      </c>
    </row>
    <row r="115" spans="1:36" x14ac:dyDescent="0.25">
      <c r="A115" t="s">
        <v>540</v>
      </c>
      <c r="B115" t="s">
        <v>305</v>
      </c>
      <c r="C115" s="25">
        <v>0</v>
      </c>
      <c r="D115" s="25">
        <v>0</v>
      </c>
      <c r="E115" s="25">
        <v>0</v>
      </c>
      <c r="F115" s="25">
        <v>0</v>
      </c>
      <c r="G115" s="25">
        <v>0</v>
      </c>
      <c r="H115" s="25">
        <v>0</v>
      </c>
      <c r="I115" s="25">
        <v>0</v>
      </c>
      <c r="J115" s="25">
        <v>0</v>
      </c>
      <c r="K115" s="25">
        <v>0</v>
      </c>
      <c r="L115" s="25">
        <v>0</v>
      </c>
      <c r="M115" s="25">
        <v>0</v>
      </c>
      <c r="N115" s="25">
        <v>0</v>
      </c>
      <c r="O115" s="25">
        <v>0</v>
      </c>
      <c r="P115" s="25">
        <v>0</v>
      </c>
      <c r="Q115" s="25">
        <v>0</v>
      </c>
      <c r="R115" s="25">
        <v>0</v>
      </c>
      <c r="S115" s="25">
        <v>0</v>
      </c>
      <c r="T115" s="25">
        <v>0</v>
      </c>
      <c r="U115" s="25">
        <v>0</v>
      </c>
      <c r="V115" s="25">
        <v>0</v>
      </c>
      <c r="W115" s="25">
        <v>0</v>
      </c>
      <c r="X115" s="25">
        <v>0</v>
      </c>
      <c r="Y115" s="25">
        <v>0</v>
      </c>
      <c r="Z115" s="25">
        <v>0</v>
      </c>
      <c r="AA115" s="25">
        <v>0</v>
      </c>
      <c r="AB115" s="25">
        <v>0</v>
      </c>
      <c r="AC115" s="25">
        <v>0</v>
      </c>
      <c r="AD115" s="25">
        <v>0</v>
      </c>
      <c r="AE115" s="25">
        <v>0</v>
      </c>
      <c r="AF115" s="25">
        <v>0</v>
      </c>
      <c r="AG115" s="25">
        <v>0</v>
      </c>
      <c r="AH115" s="25">
        <v>0</v>
      </c>
      <c r="AI115" s="25">
        <v>0</v>
      </c>
      <c r="AJ115" s="25">
        <v>0</v>
      </c>
    </row>
    <row r="116" spans="1:36" x14ac:dyDescent="0.25">
      <c r="A116" t="s">
        <v>541</v>
      </c>
      <c r="B116" t="s">
        <v>305</v>
      </c>
      <c r="C116" s="25">
        <v>0</v>
      </c>
      <c r="D116" s="25">
        <v>0</v>
      </c>
      <c r="E116" s="25">
        <v>0</v>
      </c>
      <c r="F116" s="25">
        <v>0</v>
      </c>
      <c r="G116" s="25">
        <v>0</v>
      </c>
      <c r="H116" s="25">
        <v>0</v>
      </c>
      <c r="I116" s="25">
        <v>0</v>
      </c>
      <c r="J116" s="25">
        <v>0</v>
      </c>
      <c r="K116" s="25">
        <v>0</v>
      </c>
      <c r="L116" s="25">
        <v>0</v>
      </c>
      <c r="M116" s="25">
        <v>0</v>
      </c>
      <c r="N116" s="25">
        <v>0</v>
      </c>
      <c r="O116" s="25">
        <v>0</v>
      </c>
      <c r="P116" s="25">
        <v>0</v>
      </c>
      <c r="Q116" s="25">
        <v>0</v>
      </c>
      <c r="R116" s="25">
        <v>0</v>
      </c>
      <c r="S116" s="25">
        <v>0</v>
      </c>
      <c r="T116" s="25">
        <v>0</v>
      </c>
      <c r="U116" s="25">
        <v>0</v>
      </c>
      <c r="V116" s="25">
        <v>0</v>
      </c>
      <c r="W116" s="25">
        <v>0</v>
      </c>
      <c r="X116" s="25">
        <v>0</v>
      </c>
      <c r="Y116" s="25">
        <v>0</v>
      </c>
      <c r="Z116" s="25">
        <v>0</v>
      </c>
      <c r="AA116" s="25">
        <v>0</v>
      </c>
      <c r="AB116" s="25">
        <v>0</v>
      </c>
      <c r="AC116" s="25">
        <v>0</v>
      </c>
      <c r="AD116" s="25">
        <v>0</v>
      </c>
      <c r="AE116" s="25">
        <v>0</v>
      </c>
      <c r="AF116" s="25">
        <v>0</v>
      </c>
      <c r="AG116" s="25">
        <v>0</v>
      </c>
      <c r="AH116" s="25">
        <v>0</v>
      </c>
      <c r="AI116" s="25">
        <v>0</v>
      </c>
      <c r="AJ116" s="25">
        <v>0</v>
      </c>
    </row>
    <row r="117" spans="1:36" x14ac:dyDescent="0.25">
      <c r="A117" t="s">
        <v>542</v>
      </c>
      <c r="B117" t="s">
        <v>305</v>
      </c>
      <c r="C117" s="25">
        <v>0</v>
      </c>
      <c r="D117" s="25">
        <v>0</v>
      </c>
      <c r="E117" s="25">
        <v>0</v>
      </c>
      <c r="F117" s="25">
        <v>0</v>
      </c>
      <c r="G117" s="25">
        <v>0</v>
      </c>
      <c r="H117" s="25">
        <v>0</v>
      </c>
      <c r="I117" s="25">
        <v>0</v>
      </c>
      <c r="J117" s="25">
        <v>0</v>
      </c>
      <c r="K117" s="25">
        <v>0</v>
      </c>
      <c r="L117" s="25">
        <v>0</v>
      </c>
      <c r="M117" s="25">
        <v>0</v>
      </c>
      <c r="N117" s="25">
        <v>0</v>
      </c>
      <c r="O117" s="25">
        <v>0</v>
      </c>
      <c r="P117" s="25">
        <v>0</v>
      </c>
      <c r="Q117" s="25">
        <v>0</v>
      </c>
      <c r="R117" s="25">
        <v>0</v>
      </c>
      <c r="S117" s="25">
        <v>0</v>
      </c>
      <c r="T117" s="25">
        <v>0</v>
      </c>
      <c r="U117" s="25">
        <v>0</v>
      </c>
      <c r="V117" s="25">
        <v>0</v>
      </c>
      <c r="W117" s="25">
        <v>0</v>
      </c>
      <c r="X117" s="25">
        <v>0</v>
      </c>
      <c r="Y117" s="25">
        <v>0</v>
      </c>
      <c r="Z117" s="25">
        <v>0</v>
      </c>
      <c r="AA117" s="25">
        <v>0</v>
      </c>
      <c r="AB117" s="25">
        <v>0</v>
      </c>
      <c r="AC117" s="25">
        <v>0</v>
      </c>
      <c r="AD117" s="25">
        <v>0</v>
      </c>
      <c r="AE117" s="25">
        <v>0</v>
      </c>
      <c r="AF117" s="25">
        <v>0</v>
      </c>
      <c r="AG117" s="25">
        <v>0</v>
      </c>
      <c r="AH117" s="25">
        <v>0</v>
      </c>
      <c r="AI117" s="25">
        <v>0</v>
      </c>
      <c r="AJ117" s="25">
        <v>0</v>
      </c>
    </row>
    <row r="118" spans="1:36" x14ac:dyDescent="0.25">
      <c r="A118" t="s">
        <v>543</v>
      </c>
      <c r="B118" t="s">
        <v>305</v>
      </c>
      <c r="C118" s="25">
        <v>0</v>
      </c>
      <c r="D118" s="25">
        <v>0</v>
      </c>
      <c r="E118" s="25">
        <v>0</v>
      </c>
      <c r="F118" s="25">
        <v>0</v>
      </c>
      <c r="G118" s="25">
        <v>0</v>
      </c>
      <c r="H118" s="25">
        <v>0</v>
      </c>
      <c r="I118" s="25">
        <v>0</v>
      </c>
      <c r="J118" s="25">
        <v>0</v>
      </c>
      <c r="K118" s="25">
        <v>0</v>
      </c>
      <c r="L118" s="25">
        <v>0</v>
      </c>
      <c r="M118" s="25">
        <v>0</v>
      </c>
      <c r="N118" s="25">
        <v>0</v>
      </c>
      <c r="O118" s="25">
        <v>0</v>
      </c>
      <c r="P118" s="25">
        <v>0</v>
      </c>
      <c r="Q118" s="25">
        <v>0</v>
      </c>
      <c r="R118" s="25">
        <v>0</v>
      </c>
      <c r="S118" s="25">
        <v>0</v>
      </c>
      <c r="T118" s="25">
        <v>0</v>
      </c>
      <c r="U118" s="25">
        <v>0</v>
      </c>
      <c r="V118" s="25">
        <v>0</v>
      </c>
      <c r="W118" s="25">
        <v>0</v>
      </c>
      <c r="X118" s="25">
        <v>0</v>
      </c>
      <c r="Y118" s="25">
        <v>0</v>
      </c>
      <c r="Z118" s="25">
        <v>0</v>
      </c>
      <c r="AA118" s="25">
        <v>0</v>
      </c>
      <c r="AB118" s="25">
        <v>0</v>
      </c>
      <c r="AC118" s="25">
        <v>0</v>
      </c>
      <c r="AD118" s="25">
        <v>0</v>
      </c>
      <c r="AE118" s="25">
        <v>0</v>
      </c>
      <c r="AF118" s="25">
        <v>0</v>
      </c>
      <c r="AG118" s="25">
        <v>0</v>
      </c>
      <c r="AH118" s="25">
        <v>0</v>
      </c>
      <c r="AI118" s="25">
        <v>0</v>
      </c>
      <c r="AJ118" s="25">
        <v>0</v>
      </c>
    </row>
    <row r="119" spans="1:36" x14ac:dyDescent="0.25">
      <c r="A119" t="s">
        <v>544</v>
      </c>
      <c r="B119" t="s">
        <v>305</v>
      </c>
      <c r="C119" s="25">
        <v>99</v>
      </c>
      <c r="D119" s="25">
        <v>99</v>
      </c>
      <c r="E119" s="25">
        <v>99</v>
      </c>
      <c r="F119" s="25">
        <v>99</v>
      </c>
      <c r="G119" s="25">
        <v>99</v>
      </c>
      <c r="H119" s="25">
        <v>99</v>
      </c>
      <c r="I119" s="25">
        <v>99</v>
      </c>
      <c r="J119" s="25">
        <v>99</v>
      </c>
      <c r="K119" s="25">
        <v>99</v>
      </c>
      <c r="L119" s="25">
        <v>99</v>
      </c>
      <c r="M119" s="25">
        <v>99</v>
      </c>
      <c r="N119" s="25">
        <v>99</v>
      </c>
      <c r="O119" s="25">
        <v>99</v>
      </c>
      <c r="P119" s="25">
        <v>99</v>
      </c>
      <c r="Q119" s="25">
        <v>99</v>
      </c>
      <c r="R119" s="25">
        <v>99</v>
      </c>
      <c r="S119" s="25">
        <v>99</v>
      </c>
      <c r="T119" s="25">
        <v>99</v>
      </c>
      <c r="U119" s="25">
        <v>99</v>
      </c>
      <c r="V119" s="25">
        <v>99</v>
      </c>
      <c r="W119" s="25">
        <v>99</v>
      </c>
      <c r="X119" s="25">
        <v>99</v>
      </c>
      <c r="Y119" s="25">
        <v>99</v>
      </c>
      <c r="Z119" s="25">
        <v>99</v>
      </c>
      <c r="AA119" s="25">
        <v>99</v>
      </c>
      <c r="AB119" s="25">
        <v>99</v>
      </c>
      <c r="AC119" s="25">
        <v>99</v>
      </c>
      <c r="AD119" s="25">
        <v>99</v>
      </c>
      <c r="AE119" s="25">
        <v>99</v>
      </c>
      <c r="AF119" s="25">
        <v>99</v>
      </c>
      <c r="AG119" s="25">
        <v>99</v>
      </c>
      <c r="AH119" s="25">
        <v>99</v>
      </c>
      <c r="AI119" s="25">
        <v>99</v>
      </c>
      <c r="AJ119" s="25">
        <v>99</v>
      </c>
    </row>
    <row r="120" spans="1:36" x14ac:dyDescent="0.25">
      <c r="A120" t="s">
        <v>768</v>
      </c>
      <c r="B120" t="s">
        <v>305</v>
      </c>
      <c r="C120" s="25">
        <v>0</v>
      </c>
      <c r="D120" s="25">
        <v>0</v>
      </c>
      <c r="E120" s="25">
        <v>0</v>
      </c>
      <c r="F120" s="25">
        <v>0</v>
      </c>
      <c r="G120" s="25">
        <v>0</v>
      </c>
      <c r="H120" s="25">
        <v>0</v>
      </c>
      <c r="I120" s="25">
        <v>0</v>
      </c>
      <c r="J120" s="25">
        <v>0</v>
      </c>
      <c r="K120" s="25">
        <v>0</v>
      </c>
      <c r="L120" s="25">
        <v>0</v>
      </c>
      <c r="M120" s="25">
        <v>0</v>
      </c>
      <c r="N120" s="25">
        <v>0</v>
      </c>
      <c r="O120" s="25">
        <v>0</v>
      </c>
      <c r="P120" s="25">
        <v>0</v>
      </c>
      <c r="Q120" s="25">
        <v>0</v>
      </c>
      <c r="R120" s="25">
        <v>0</v>
      </c>
      <c r="S120" s="25">
        <v>0</v>
      </c>
      <c r="T120" s="25">
        <v>0</v>
      </c>
      <c r="U120" s="25">
        <v>0</v>
      </c>
      <c r="V120" s="25">
        <v>0</v>
      </c>
      <c r="W120" s="25">
        <v>0</v>
      </c>
      <c r="X120" s="25">
        <v>0</v>
      </c>
      <c r="Y120" s="25">
        <v>0</v>
      </c>
      <c r="Z120" s="25">
        <v>0</v>
      </c>
      <c r="AA120" s="25">
        <v>0</v>
      </c>
      <c r="AB120" s="25">
        <v>0</v>
      </c>
      <c r="AC120" s="25">
        <v>0</v>
      </c>
      <c r="AD120" s="25">
        <v>0</v>
      </c>
      <c r="AE120" s="25">
        <v>0</v>
      </c>
      <c r="AF120" s="25">
        <v>0</v>
      </c>
      <c r="AG120" s="25">
        <v>0</v>
      </c>
      <c r="AH120" s="25">
        <v>0</v>
      </c>
      <c r="AI120" s="25">
        <v>0</v>
      </c>
      <c r="AJ120" s="25">
        <v>0</v>
      </c>
    </row>
    <row r="121" spans="1:36" s="80" customFormat="1" x14ac:dyDescent="0.25">
      <c r="A121" s="80" t="s">
        <v>789</v>
      </c>
      <c r="C121" s="81">
        <f>+SUM(C110:C120)</f>
        <v>100</v>
      </c>
      <c r="D121" s="81">
        <f t="shared" ref="D121" si="199">+SUM(D110:D120)</f>
        <v>100</v>
      </c>
      <c r="E121" s="81">
        <f t="shared" ref="E121" si="200">+SUM(E110:E120)</f>
        <v>100</v>
      </c>
      <c r="F121" s="81">
        <f t="shared" ref="F121" si="201">+SUM(F110:F120)</f>
        <v>100</v>
      </c>
      <c r="G121" s="81">
        <f t="shared" ref="G121" si="202">+SUM(G110:G120)</f>
        <v>100</v>
      </c>
      <c r="H121" s="81">
        <f t="shared" ref="H121" si="203">+SUM(H110:H120)</f>
        <v>100</v>
      </c>
      <c r="I121" s="81">
        <f t="shared" ref="I121" si="204">+SUM(I110:I120)</f>
        <v>100</v>
      </c>
      <c r="J121" s="81">
        <f t="shared" ref="J121" si="205">+SUM(J110:J120)</f>
        <v>100</v>
      </c>
      <c r="K121" s="81">
        <f t="shared" ref="K121" si="206">+SUM(K110:K120)</f>
        <v>100</v>
      </c>
      <c r="L121" s="81">
        <f t="shared" ref="L121" si="207">+SUM(L110:L120)</f>
        <v>100</v>
      </c>
      <c r="M121" s="81">
        <f t="shared" ref="M121" si="208">+SUM(M110:M120)</f>
        <v>100</v>
      </c>
      <c r="N121" s="81">
        <f t="shared" ref="N121" si="209">+SUM(N110:N120)</f>
        <v>100</v>
      </c>
      <c r="O121" s="81">
        <f t="shared" ref="O121" si="210">+SUM(O110:O120)</f>
        <v>100</v>
      </c>
      <c r="P121" s="81">
        <f t="shared" ref="P121" si="211">+SUM(P110:P120)</f>
        <v>100</v>
      </c>
      <c r="Q121" s="81">
        <f t="shared" ref="Q121" si="212">+SUM(Q110:Q120)</f>
        <v>100</v>
      </c>
      <c r="R121" s="81">
        <f t="shared" ref="R121" si="213">+SUM(R110:R120)</f>
        <v>100</v>
      </c>
      <c r="S121" s="81">
        <f t="shared" ref="S121" si="214">+SUM(S110:S120)</f>
        <v>100</v>
      </c>
      <c r="T121" s="81">
        <f t="shared" ref="T121" si="215">+SUM(T110:T120)</f>
        <v>100</v>
      </c>
      <c r="U121" s="81">
        <f t="shared" ref="U121" si="216">+SUM(U110:U120)</f>
        <v>100</v>
      </c>
      <c r="V121" s="81">
        <f t="shared" ref="V121" si="217">+SUM(V110:V120)</f>
        <v>100</v>
      </c>
      <c r="W121" s="81">
        <f t="shared" ref="W121" si="218">+SUM(W110:W120)</f>
        <v>100</v>
      </c>
      <c r="X121" s="81">
        <f t="shared" ref="X121" si="219">+SUM(X110:X120)</f>
        <v>100</v>
      </c>
      <c r="Y121" s="81">
        <f t="shared" ref="Y121" si="220">+SUM(Y110:Y120)</f>
        <v>100</v>
      </c>
      <c r="Z121" s="81">
        <f t="shared" ref="Z121" si="221">+SUM(Z110:Z120)</f>
        <v>100</v>
      </c>
      <c r="AA121" s="81">
        <f t="shared" ref="AA121" si="222">+SUM(AA110:AA120)</f>
        <v>100</v>
      </c>
      <c r="AB121" s="81">
        <f t="shared" ref="AB121" si="223">+SUM(AB110:AB120)</f>
        <v>100</v>
      </c>
      <c r="AC121" s="81">
        <f t="shared" ref="AC121" si="224">+SUM(AC110:AC120)</f>
        <v>100</v>
      </c>
      <c r="AD121" s="81">
        <f t="shared" ref="AD121" si="225">+SUM(AD110:AD120)</f>
        <v>100</v>
      </c>
      <c r="AE121" s="81">
        <f t="shared" ref="AE121" si="226">+SUM(AE110:AE120)</f>
        <v>100</v>
      </c>
      <c r="AF121" s="81">
        <f t="shared" ref="AF121" si="227">+SUM(AF110:AF120)</f>
        <v>100</v>
      </c>
      <c r="AG121" s="81">
        <f t="shared" ref="AG121" si="228">+SUM(AG110:AG120)</f>
        <v>100</v>
      </c>
      <c r="AH121" s="81">
        <f t="shared" ref="AH121" si="229">+SUM(AH110:AH120)</f>
        <v>100</v>
      </c>
      <c r="AI121" s="81">
        <f t="shared" ref="AI121" si="230">+SUM(AI110:AI120)</f>
        <v>100</v>
      </c>
      <c r="AJ121" s="81">
        <f t="shared" ref="AJ121" si="231">+SUM(AJ110:AJ120)</f>
        <v>100</v>
      </c>
    </row>
    <row r="122" spans="1:36" x14ac:dyDescent="0.25">
      <c r="A122" t="s">
        <v>545</v>
      </c>
      <c r="B122" t="s">
        <v>305</v>
      </c>
      <c r="C122" s="25">
        <v>0</v>
      </c>
      <c r="D122" s="25">
        <v>0</v>
      </c>
      <c r="E122" s="25">
        <v>0</v>
      </c>
      <c r="F122" s="25">
        <v>0</v>
      </c>
      <c r="G122" s="25">
        <v>0</v>
      </c>
      <c r="H122" s="25">
        <v>0</v>
      </c>
      <c r="I122" s="25">
        <v>0</v>
      </c>
      <c r="J122" s="25">
        <v>0</v>
      </c>
      <c r="K122" s="25">
        <v>0</v>
      </c>
      <c r="L122" s="25">
        <v>0</v>
      </c>
      <c r="M122" s="25">
        <v>0</v>
      </c>
      <c r="N122" s="25">
        <v>0</v>
      </c>
      <c r="O122" s="25">
        <v>0</v>
      </c>
      <c r="P122" s="25">
        <v>0</v>
      </c>
      <c r="Q122" s="25">
        <v>0</v>
      </c>
      <c r="R122" s="25">
        <v>0</v>
      </c>
      <c r="S122" s="25">
        <v>0</v>
      </c>
      <c r="T122" s="25">
        <v>0</v>
      </c>
      <c r="U122" s="25">
        <v>0</v>
      </c>
      <c r="V122" s="25">
        <v>0</v>
      </c>
      <c r="W122" s="25">
        <v>0</v>
      </c>
      <c r="X122" s="25">
        <v>0</v>
      </c>
      <c r="Y122" s="25">
        <v>0</v>
      </c>
      <c r="Z122" s="25">
        <v>0</v>
      </c>
      <c r="AA122" s="25">
        <v>0</v>
      </c>
      <c r="AB122" s="25">
        <v>0</v>
      </c>
      <c r="AC122" s="25">
        <v>0</v>
      </c>
      <c r="AD122" s="25">
        <v>0</v>
      </c>
      <c r="AE122" s="25">
        <v>0</v>
      </c>
      <c r="AF122" s="25">
        <v>0</v>
      </c>
      <c r="AG122" s="25">
        <v>0</v>
      </c>
      <c r="AH122" s="25">
        <v>0</v>
      </c>
      <c r="AI122" s="25">
        <v>0</v>
      </c>
      <c r="AJ122" s="25">
        <v>0</v>
      </c>
    </row>
    <row r="123" spans="1:36" x14ac:dyDescent="0.25">
      <c r="A123" t="s">
        <v>546</v>
      </c>
      <c r="B123" t="s">
        <v>305</v>
      </c>
      <c r="C123" s="25">
        <v>0</v>
      </c>
      <c r="D123" s="25">
        <v>0</v>
      </c>
      <c r="E123" s="25">
        <v>0</v>
      </c>
      <c r="F123" s="25">
        <v>0</v>
      </c>
      <c r="G123" s="25">
        <v>0</v>
      </c>
      <c r="H123" s="25">
        <v>0</v>
      </c>
      <c r="I123" s="25">
        <v>0</v>
      </c>
      <c r="J123" s="25">
        <v>0</v>
      </c>
      <c r="K123" s="25">
        <v>0</v>
      </c>
      <c r="L123" s="25">
        <v>0</v>
      </c>
      <c r="M123" s="25">
        <v>0</v>
      </c>
      <c r="N123" s="25">
        <v>0</v>
      </c>
      <c r="O123" s="25">
        <v>0</v>
      </c>
      <c r="P123" s="25">
        <v>0</v>
      </c>
      <c r="Q123" s="25">
        <v>0</v>
      </c>
      <c r="R123" s="25">
        <v>0</v>
      </c>
      <c r="S123" s="25">
        <v>0</v>
      </c>
      <c r="T123" s="25">
        <v>0</v>
      </c>
      <c r="U123" s="25">
        <v>0</v>
      </c>
      <c r="V123" s="25">
        <v>0</v>
      </c>
      <c r="W123" s="25">
        <v>0</v>
      </c>
      <c r="X123" s="25">
        <v>0</v>
      </c>
      <c r="Y123" s="25">
        <v>0</v>
      </c>
      <c r="Z123" s="25">
        <v>0</v>
      </c>
      <c r="AA123" s="25">
        <v>0</v>
      </c>
      <c r="AB123" s="25">
        <v>0</v>
      </c>
      <c r="AC123" s="25">
        <v>0</v>
      </c>
      <c r="AD123" s="25">
        <v>0</v>
      </c>
      <c r="AE123" s="25">
        <v>0</v>
      </c>
      <c r="AF123" s="25">
        <v>0</v>
      </c>
      <c r="AG123" s="25">
        <v>0</v>
      </c>
      <c r="AH123" s="25">
        <v>0</v>
      </c>
      <c r="AI123" s="25">
        <v>0</v>
      </c>
      <c r="AJ123" s="25">
        <v>0</v>
      </c>
    </row>
    <row r="124" spans="1:36" x14ac:dyDescent="0.25">
      <c r="A124" t="s">
        <v>547</v>
      </c>
      <c r="B124" t="s">
        <v>305</v>
      </c>
      <c r="C124" s="25">
        <v>2</v>
      </c>
      <c r="D124" s="25">
        <v>2</v>
      </c>
      <c r="E124" s="25">
        <v>2</v>
      </c>
      <c r="F124" s="25">
        <v>2</v>
      </c>
      <c r="G124" s="25">
        <v>2</v>
      </c>
      <c r="H124" s="25">
        <v>2</v>
      </c>
      <c r="I124" s="25">
        <v>2</v>
      </c>
      <c r="J124" s="25">
        <v>2</v>
      </c>
      <c r="K124" s="25">
        <v>2</v>
      </c>
      <c r="L124" s="25">
        <v>2</v>
      </c>
      <c r="M124" s="25">
        <v>2</v>
      </c>
      <c r="N124" s="25">
        <v>2</v>
      </c>
      <c r="O124" s="25">
        <v>2</v>
      </c>
      <c r="P124" s="25">
        <v>2</v>
      </c>
      <c r="Q124" s="25">
        <v>2</v>
      </c>
      <c r="R124" s="25">
        <v>2</v>
      </c>
      <c r="S124" s="25">
        <v>2</v>
      </c>
      <c r="T124" s="25">
        <v>2</v>
      </c>
      <c r="U124" s="25">
        <v>2</v>
      </c>
      <c r="V124" s="25">
        <v>2</v>
      </c>
      <c r="W124" s="25">
        <v>2</v>
      </c>
      <c r="X124" s="25">
        <v>2</v>
      </c>
      <c r="Y124" s="25">
        <v>2</v>
      </c>
      <c r="Z124" s="25">
        <v>2</v>
      </c>
      <c r="AA124" s="25">
        <v>2</v>
      </c>
      <c r="AB124" s="25">
        <v>2</v>
      </c>
      <c r="AC124" s="25">
        <v>2</v>
      </c>
      <c r="AD124" s="25">
        <v>2</v>
      </c>
      <c r="AE124" s="25">
        <v>2</v>
      </c>
      <c r="AF124" s="25">
        <v>2</v>
      </c>
      <c r="AG124" s="25">
        <v>2</v>
      </c>
      <c r="AH124" s="25">
        <v>2</v>
      </c>
      <c r="AI124" s="25">
        <v>2</v>
      </c>
      <c r="AJ124" s="25">
        <v>2</v>
      </c>
    </row>
    <row r="125" spans="1:36" x14ac:dyDescent="0.25">
      <c r="A125" t="s">
        <v>548</v>
      </c>
      <c r="B125" t="s">
        <v>305</v>
      </c>
      <c r="C125" s="25">
        <v>0</v>
      </c>
      <c r="D125" s="25">
        <v>0</v>
      </c>
      <c r="E125" s="25">
        <v>0</v>
      </c>
      <c r="F125" s="25">
        <v>0</v>
      </c>
      <c r="G125" s="25">
        <v>0</v>
      </c>
      <c r="H125" s="25">
        <v>0</v>
      </c>
      <c r="I125" s="25">
        <v>0</v>
      </c>
      <c r="J125" s="25">
        <v>0</v>
      </c>
      <c r="K125" s="25">
        <v>0</v>
      </c>
      <c r="L125" s="25">
        <v>0</v>
      </c>
      <c r="M125" s="25">
        <v>0</v>
      </c>
      <c r="N125" s="25">
        <v>0</v>
      </c>
      <c r="O125" s="25">
        <v>0</v>
      </c>
      <c r="P125" s="25">
        <v>0</v>
      </c>
      <c r="Q125" s="25">
        <v>0</v>
      </c>
      <c r="R125" s="25">
        <v>0</v>
      </c>
      <c r="S125" s="25">
        <v>0</v>
      </c>
      <c r="T125" s="25">
        <v>0</v>
      </c>
      <c r="U125" s="25">
        <v>0</v>
      </c>
      <c r="V125" s="25">
        <v>0</v>
      </c>
      <c r="W125" s="25">
        <v>0</v>
      </c>
      <c r="X125" s="25">
        <v>0</v>
      </c>
      <c r="Y125" s="25">
        <v>0</v>
      </c>
      <c r="Z125" s="25">
        <v>0</v>
      </c>
      <c r="AA125" s="25">
        <v>0</v>
      </c>
      <c r="AB125" s="25">
        <v>0</v>
      </c>
      <c r="AC125" s="25">
        <v>0</v>
      </c>
      <c r="AD125" s="25">
        <v>0</v>
      </c>
      <c r="AE125" s="25">
        <v>0</v>
      </c>
      <c r="AF125" s="25">
        <v>0</v>
      </c>
      <c r="AG125" s="25">
        <v>0</v>
      </c>
      <c r="AH125" s="25">
        <v>0</v>
      </c>
      <c r="AI125" s="25">
        <v>0</v>
      </c>
      <c r="AJ125" s="25">
        <v>0</v>
      </c>
    </row>
    <row r="126" spans="1:36" x14ac:dyDescent="0.25">
      <c r="A126" t="s">
        <v>549</v>
      </c>
      <c r="B126" t="s">
        <v>305</v>
      </c>
      <c r="C126" s="25">
        <v>0</v>
      </c>
      <c r="D126" s="25">
        <v>0</v>
      </c>
      <c r="E126" s="25">
        <v>0</v>
      </c>
      <c r="F126" s="25">
        <v>0</v>
      </c>
      <c r="G126" s="25">
        <v>0</v>
      </c>
      <c r="H126" s="25">
        <v>0</v>
      </c>
      <c r="I126" s="25">
        <v>0</v>
      </c>
      <c r="J126" s="25">
        <v>0</v>
      </c>
      <c r="K126" s="25">
        <v>0</v>
      </c>
      <c r="L126" s="25">
        <v>0</v>
      </c>
      <c r="M126" s="25">
        <v>0</v>
      </c>
      <c r="N126" s="25">
        <v>0</v>
      </c>
      <c r="O126" s="25">
        <v>0</v>
      </c>
      <c r="P126" s="25">
        <v>0</v>
      </c>
      <c r="Q126" s="25">
        <v>0</v>
      </c>
      <c r="R126" s="25">
        <v>0</v>
      </c>
      <c r="S126" s="25">
        <v>0</v>
      </c>
      <c r="T126" s="25">
        <v>0</v>
      </c>
      <c r="U126" s="25">
        <v>0</v>
      </c>
      <c r="V126" s="25">
        <v>0</v>
      </c>
      <c r="W126" s="25">
        <v>0</v>
      </c>
      <c r="X126" s="25">
        <v>0</v>
      </c>
      <c r="Y126" s="25">
        <v>0</v>
      </c>
      <c r="Z126" s="25">
        <v>0</v>
      </c>
      <c r="AA126" s="25">
        <v>0</v>
      </c>
      <c r="AB126" s="25">
        <v>0</v>
      </c>
      <c r="AC126" s="25">
        <v>0</v>
      </c>
      <c r="AD126" s="25">
        <v>0</v>
      </c>
      <c r="AE126" s="25">
        <v>0</v>
      </c>
      <c r="AF126" s="25">
        <v>0</v>
      </c>
      <c r="AG126" s="25">
        <v>0</v>
      </c>
      <c r="AH126" s="25">
        <v>0</v>
      </c>
      <c r="AI126" s="25">
        <v>0</v>
      </c>
      <c r="AJ126" s="25">
        <v>0</v>
      </c>
    </row>
    <row r="127" spans="1:36" x14ac:dyDescent="0.25">
      <c r="A127" t="s">
        <v>550</v>
      </c>
      <c r="B127" t="s">
        <v>305</v>
      </c>
      <c r="C127" s="25">
        <v>0</v>
      </c>
      <c r="D127" s="25">
        <v>0</v>
      </c>
      <c r="E127" s="25">
        <v>0</v>
      </c>
      <c r="F127" s="25">
        <v>0</v>
      </c>
      <c r="G127" s="25">
        <v>0</v>
      </c>
      <c r="H127" s="25">
        <v>0</v>
      </c>
      <c r="I127" s="25">
        <v>0</v>
      </c>
      <c r="J127" s="25">
        <v>0</v>
      </c>
      <c r="K127" s="25">
        <v>0</v>
      </c>
      <c r="L127" s="25">
        <v>0</v>
      </c>
      <c r="M127" s="25">
        <v>0</v>
      </c>
      <c r="N127" s="25">
        <v>0</v>
      </c>
      <c r="O127" s="25">
        <v>0</v>
      </c>
      <c r="P127" s="25">
        <v>0</v>
      </c>
      <c r="Q127" s="25">
        <v>0</v>
      </c>
      <c r="R127" s="25">
        <v>0</v>
      </c>
      <c r="S127" s="25">
        <v>0</v>
      </c>
      <c r="T127" s="25">
        <v>0</v>
      </c>
      <c r="U127" s="25">
        <v>0</v>
      </c>
      <c r="V127" s="25">
        <v>0</v>
      </c>
      <c r="W127" s="25">
        <v>0</v>
      </c>
      <c r="X127" s="25">
        <v>0</v>
      </c>
      <c r="Y127" s="25">
        <v>0</v>
      </c>
      <c r="Z127" s="25">
        <v>0</v>
      </c>
      <c r="AA127" s="25">
        <v>0</v>
      </c>
      <c r="AB127" s="25">
        <v>0</v>
      </c>
      <c r="AC127" s="25">
        <v>0</v>
      </c>
      <c r="AD127" s="25">
        <v>0</v>
      </c>
      <c r="AE127" s="25">
        <v>0</v>
      </c>
      <c r="AF127" s="25">
        <v>0</v>
      </c>
      <c r="AG127" s="25">
        <v>0</v>
      </c>
      <c r="AH127" s="25">
        <v>0</v>
      </c>
      <c r="AI127" s="25">
        <v>0</v>
      </c>
      <c r="AJ127" s="25">
        <v>0</v>
      </c>
    </row>
    <row r="128" spans="1:36" x14ac:dyDescent="0.25">
      <c r="A128" t="s">
        <v>551</v>
      </c>
      <c r="B128" t="s">
        <v>305</v>
      </c>
      <c r="C128" s="25">
        <v>5</v>
      </c>
      <c r="D128" s="25">
        <v>5</v>
      </c>
      <c r="E128" s="25">
        <v>5</v>
      </c>
      <c r="F128" s="25">
        <v>5</v>
      </c>
      <c r="G128" s="25">
        <v>5</v>
      </c>
      <c r="H128" s="25">
        <v>5</v>
      </c>
      <c r="I128" s="25">
        <v>5</v>
      </c>
      <c r="J128" s="25">
        <v>5</v>
      </c>
      <c r="K128" s="25">
        <v>5</v>
      </c>
      <c r="L128" s="25">
        <v>5</v>
      </c>
      <c r="M128" s="25">
        <v>5</v>
      </c>
      <c r="N128" s="25">
        <v>5</v>
      </c>
      <c r="O128" s="25">
        <v>5</v>
      </c>
      <c r="P128" s="25">
        <v>5</v>
      </c>
      <c r="Q128" s="25">
        <v>5</v>
      </c>
      <c r="R128" s="25">
        <v>5</v>
      </c>
      <c r="S128" s="25">
        <v>5</v>
      </c>
      <c r="T128" s="25">
        <v>5</v>
      </c>
      <c r="U128" s="25">
        <v>5</v>
      </c>
      <c r="V128" s="25">
        <v>5</v>
      </c>
      <c r="W128" s="25">
        <v>5</v>
      </c>
      <c r="X128" s="25">
        <v>5</v>
      </c>
      <c r="Y128" s="25">
        <v>5</v>
      </c>
      <c r="Z128" s="25">
        <v>5</v>
      </c>
      <c r="AA128" s="25">
        <v>5</v>
      </c>
      <c r="AB128" s="25">
        <v>5</v>
      </c>
      <c r="AC128" s="25">
        <v>5</v>
      </c>
      <c r="AD128" s="25">
        <v>5</v>
      </c>
      <c r="AE128" s="25">
        <v>5</v>
      </c>
      <c r="AF128" s="25">
        <v>5</v>
      </c>
      <c r="AG128" s="25">
        <v>5</v>
      </c>
      <c r="AH128" s="25">
        <v>5</v>
      </c>
      <c r="AI128" s="25">
        <v>5</v>
      </c>
      <c r="AJ128" s="25">
        <v>5</v>
      </c>
    </row>
    <row r="129" spans="1:36" x14ac:dyDescent="0.25">
      <c r="A129" t="s">
        <v>552</v>
      </c>
      <c r="B129" t="s">
        <v>305</v>
      </c>
      <c r="C129" s="25">
        <v>0</v>
      </c>
      <c r="D129" s="25">
        <v>0</v>
      </c>
      <c r="E129" s="25">
        <v>0</v>
      </c>
      <c r="F129" s="25">
        <v>0</v>
      </c>
      <c r="G129" s="25">
        <v>0</v>
      </c>
      <c r="H129" s="25">
        <v>0</v>
      </c>
      <c r="I129" s="25">
        <v>0</v>
      </c>
      <c r="J129" s="25">
        <v>0</v>
      </c>
      <c r="K129" s="25">
        <v>0</v>
      </c>
      <c r="L129" s="25">
        <v>0</v>
      </c>
      <c r="M129" s="25">
        <v>0</v>
      </c>
      <c r="N129" s="25">
        <v>0</v>
      </c>
      <c r="O129" s="25">
        <v>0</v>
      </c>
      <c r="P129" s="25">
        <v>0</v>
      </c>
      <c r="Q129" s="25">
        <v>0</v>
      </c>
      <c r="R129" s="25">
        <v>0</v>
      </c>
      <c r="S129" s="25">
        <v>0</v>
      </c>
      <c r="T129" s="25">
        <v>0</v>
      </c>
      <c r="U129" s="25">
        <v>0</v>
      </c>
      <c r="V129" s="25">
        <v>0</v>
      </c>
      <c r="W129" s="25">
        <v>0</v>
      </c>
      <c r="X129" s="25">
        <v>0</v>
      </c>
      <c r="Y129" s="25">
        <v>0</v>
      </c>
      <c r="Z129" s="25">
        <v>0</v>
      </c>
      <c r="AA129" s="25">
        <v>0</v>
      </c>
      <c r="AB129" s="25">
        <v>0</v>
      </c>
      <c r="AC129" s="25">
        <v>0</v>
      </c>
      <c r="AD129" s="25">
        <v>0</v>
      </c>
      <c r="AE129" s="25">
        <v>0</v>
      </c>
      <c r="AF129" s="25">
        <v>0</v>
      </c>
      <c r="AG129" s="25">
        <v>0</v>
      </c>
      <c r="AH129" s="25">
        <v>0</v>
      </c>
      <c r="AI129" s="25">
        <v>0</v>
      </c>
      <c r="AJ129" s="25">
        <v>0</v>
      </c>
    </row>
    <row r="130" spans="1:36" x14ac:dyDescent="0.25">
      <c r="A130" t="s">
        <v>553</v>
      </c>
      <c r="B130" t="s">
        <v>305</v>
      </c>
      <c r="C130" s="25">
        <v>0</v>
      </c>
      <c r="D130" s="25">
        <v>0</v>
      </c>
      <c r="E130" s="25">
        <v>0</v>
      </c>
      <c r="F130" s="25">
        <v>0</v>
      </c>
      <c r="G130" s="25">
        <v>0</v>
      </c>
      <c r="H130" s="25">
        <v>0</v>
      </c>
      <c r="I130" s="25">
        <v>0</v>
      </c>
      <c r="J130" s="25">
        <v>0</v>
      </c>
      <c r="K130" s="25">
        <v>0</v>
      </c>
      <c r="L130" s="25">
        <v>0</v>
      </c>
      <c r="M130" s="25">
        <v>0</v>
      </c>
      <c r="N130" s="25">
        <v>0</v>
      </c>
      <c r="O130" s="25">
        <v>0</v>
      </c>
      <c r="P130" s="25">
        <v>0</v>
      </c>
      <c r="Q130" s="25">
        <v>0</v>
      </c>
      <c r="R130" s="25">
        <v>0</v>
      </c>
      <c r="S130" s="25">
        <v>0</v>
      </c>
      <c r="T130" s="25">
        <v>0</v>
      </c>
      <c r="U130" s="25">
        <v>0</v>
      </c>
      <c r="V130" s="25">
        <v>0</v>
      </c>
      <c r="W130" s="25">
        <v>0</v>
      </c>
      <c r="X130" s="25">
        <v>0</v>
      </c>
      <c r="Y130" s="25">
        <v>0</v>
      </c>
      <c r="Z130" s="25">
        <v>0</v>
      </c>
      <c r="AA130" s="25">
        <v>0</v>
      </c>
      <c r="AB130" s="25">
        <v>0</v>
      </c>
      <c r="AC130" s="25">
        <v>0</v>
      </c>
      <c r="AD130" s="25">
        <v>0</v>
      </c>
      <c r="AE130" s="25">
        <v>0</v>
      </c>
      <c r="AF130" s="25">
        <v>0</v>
      </c>
      <c r="AG130" s="25">
        <v>0</v>
      </c>
      <c r="AH130" s="25">
        <v>0</v>
      </c>
      <c r="AI130" s="25">
        <v>0</v>
      </c>
      <c r="AJ130" s="25">
        <v>0</v>
      </c>
    </row>
    <row r="131" spans="1:36" x14ac:dyDescent="0.25">
      <c r="A131" t="s">
        <v>554</v>
      </c>
      <c r="B131" t="s">
        <v>305</v>
      </c>
      <c r="C131" s="25">
        <v>93</v>
      </c>
      <c r="D131" s="25">
        <v>93</v>
      </c>
      <c r="E131" s="25">
        <v>93</v>
      </c>
      <c r="F131" s="25">
        <v>93</v>
      </c>
      <c r="G131" s="25">
        <v>93</v>
      </c>
      <c r="H131" s="25">
        <v>93</v>
      </c>
      <c r="I131" s="25">
        <v>93</v>
      </c>
      <c r="J131" s="25">
        <v>93</v>
      </c>
      <c r="K131" s="25">
        <v>93</v>
      </c>
      <c r="L131" s="25">
        <v>93</v>
      </c>
      <c r="M131" s="25">
        <v>93</v>
      </c>
      <c r="N131" s="25">
        <v>93</v>
      </c>
      <c r="O131" s="25">
        <v>93</v>
      </c>
      <c r="P131" s="25">
        <v>93</v>
      </c>
      <c r="Q131" s="25">
        <v>93</v>
      </c>
      <c r="R131" s="25">
        <v>93</v>
      </c>
      <c r="S131" s="25">
        <v>93</v>
      </c>
      <c r="T131" s="25">
        <v>93</v>
      </c>
      <c r="U131" s="25">
        <v>93</v>
      </c>
      <c r="V131" s="25">
        <v>93</v>
      </c>
      <c r="W131" s="25">
        <v>93</v>
      </c>
      <c r="X131" s="25">
        <v>93</v>
      </c>
      <c r="Y131" s="25">
        <v>93</v>
      </c>
      <c r="Z131" s="25">
        <v>93</v>
      </c>
      <c r="AA131" s="25">
        <v>93</v>
      </c>
      <c r="AB131" s="25">
        <v>93</v>
      </c>
      <c r="AC131" s="25">
        <v>93</v>
      </c>
      <c r="AD131" s="25">
        <v>93</v>
      </c>
      <c r="AE131" s="25">
        <v>93</v>
      </c>
      <c r="AF131" s="25">
        <v>93</v>
      </c>
      <c r="AG131" s="25">
        <v>93</v>
      </c>
      <c r="AH131" s="25">
        <v>93</v>
      </c>
      <c r="AI131" s="25">
        <v>93</v>
      </c>
      <c r="AJ131" s="25">
        <v>93</v>
      </c>
    </row>
    <row r="132" spans="1:36" x14ac:dyDescent="0.25">
      <c r="A132" t="s">
        <v>769</v>
      </c>
      <c r="B132" t="s">
        <v>305</v>
      </c>
      <c r="C132" s="25">
        <v>0</v>
      </c>
      <c r="D132" s="25">
        <v>0</v>
      </c>
      <c r="E132" s="25">
        <v>0</v>
      </c>
      <c r="F132" s="25">
        <v>0</v>
      </c>
      <c r="G132" s="25">
        <v>0</v>
      </c>
      <c r="H132" s="25">
        <v>0</v>
      </c>
      <c r="I132" s="25">
        <v>0</v>
      </c>
      <c r="J132" s="25">
        <v>0</v>
      </c>
      <c r="K132" s="25">
        <v>0</v>
      </c>
      <c r="L132" s="25">
        <v>0</v>
      </c>
      <c r="M132" s="25">
        <v>0</v>
      </c>
      <c r="N132" s="25">
        <v>0</v>
      </c>
      <c r="O132" s="25">
        <v>0</v>
      </c>
      <c r="P132" s="25">
        <v>0</v>
      </c>
      <c r="Q132" s="25">
        <v>0</v>
      </c>
      <c r="R132" s="25">
        <v>0</v>
      </c>
      <c r="S132" s="25">
        <v>0</v>
      </c>
      <c r="T132" s="25">
        <v>0</v>
      </c>
      <c r="U132" s="25">
        <v>0</v>
      </c>
      <c r="V132" s="25">
        <v>0</v>
      </c>
      <c r="W132" s="25">
        <v>0</v>
      </c>
      <c r="X132" s="25">
        <v>0</v>
      </c>
      <c r="Y132" s="25">
        <v>0</v>
      </c>
      <c r="Z132" s="25">
        <v>0</v>
      </c>
      <c r="AA132" s="25">
        <v>0</v>
      </c>
      <c r="AB132" s="25">
        <v>0</v>
      </c>
      <c r="AC132" s="25">
        <v>0</v>
      </c>
      <c r="AD132" s="25">
        <v>0</v>
      </c>
      <c r="AE132" s="25">
        <v>0</v>
      </c>
      <c r="AF132" s="25">
        <v>0</v>
      </c>
      <c r="AG132" s="25">
        <v>0</v>
      </c>
      <c r="AH132" s="25">
        <v>0</v>
      </c>
      <c r="AI132" s="25">
        <v>0</v>
      </c>
      <c r="AJ132" s="25">
        <v>0</v>
      </c>
    </row>
    <row r="133" spans="1:36" s="80" customFormat="1" x14ac:dyDescent="0.25">
      <c r="A133" s="80" t="s">
        <v>789</v>
      </c>
      <c r="C133" s="81">
        <f>+SUM(C122:C132)</f>
        <v>100</v>
      </c>
      <c r="D133" s="81">
        <f t="shared" ref="D133" si="232">+SUM(D122:D132)</f>
        <v>100</v>
      </c>
      <c r="E133" s="81">
        <f t="shared" ref="E133" si="233">+SUM(E122:E132)</f>
        <v>100</v>
      </c>
      <c r="F133" s="81">
        <f t="shared" ref="F133" si="234">+SUM(F122:F132)</f>
        <v>100</v>
      </c>
      <c r="G133" s="81">
        <f t="shared" ref="G133" si="235">+SUM(G122:G132)</f>
        <v>100</v>
      </c>
      <c r="H133" s="81">
        <f t="shared" ref="H133" si="236">+SUM(H122:H132)</f>
        <v>100</v>
      </c>
      <c r="I133" s="81">
        <f t="shared" ref="I133" si="237">+SUM(I122:I132)</f>
        <v>100</v>
      </c>
      <c r="J133" s="81">
        <f t="shared" ref="J133" si="238">+SUM(J122:J132)</f>
        <v>100</v>
      </c>
      <c r="K133" s="81">
        <f t="shared" ref="K133" si="239">+SUM(K122:K132)</f>
        <v>100</v>
      </c>
      <c r="L133" s="81">
        <f t="shared" ref="L133" si="240">+SUM(L122:L132)</f>
        <v>100</v>
      </c>
      <c r="M133" s="81">
        <f t="shared" ref="M133" si="241">+SUM(M122:M132)</f>
        <v>100</v>
      </c>
      <c r="N133" s="81">
        <f t="shared" ref="N133" si="242">+SUM(N122:N132)</f>
        <v>100</v>
      </c>
      <c r="O133" s="81">
        <f t="shared" ref="O133" si="243">+SUM(O122:O132)</f>
        <v>100</v>
      </c>
      <c r="P133" s="81">
        <f t="shared" ref="P133" si="244">+SUM(P122:P132)</f>
        <v>100</v>
      </c>
      <c r="Q133" s="81">
        <f t="shared" ref="Q133" si="245">+SUM(Q122:Q132)</f>
        <v>100</v>
      </c>
      <c r="R133" s="81">
        <f t="shared" ref="R133" si="246">+SUM(R122:R132)</f>
        <v>100</v>
      </c>
      <c r="S133" s="81">
        <f t="shared" ref="S133" si="247">+SUM(S122:S132)</f>
        <v>100</v>
      </c>
      <c r="T133" s="81">
        <f t="shared" ref="T133" si="248">+SUM(T122:T132)</f>
        <v>100</v>
      </c>
      <c r="U133" s="81">
        <f t="shared" ref="U133" si="249">+SUM(U122:U132)</f>
        <v>100</v>
      </c>
      <c r="V133" s="81">
        <f t="shared" ref="V133" si="250">+SUM(V122:V132)</f>
        <v>100</v>
      </c>
      <c r="W133" s="81">
        <f t="shared" ref="W133" si="251">+SUM(W122:W132)</f>
        <v>100</v>
      </c>
      <c r="X133" s="81">
        <f t="shared" ref="X133" si="252">+SUM(X122:X132)</f>
        <v>100</v>
      </c>
      <c r="Y133" s="81">
        <f t="shared" ref="Y133" si="253">+SUM(Y122:Y132)</f>
        <v>100</v>
      </c>
      <c r="Z133" s="81">
        <f t="shared" ref="Z133" si="254">+SUM(Z122:Z132)</f>
        <v>100</v>
      </c>
      <c r="AA133" s="81">
        <f t="shared" ref="AA133" si="255">+SUM(AA122:AA132)</f>
        <v>100</v>
      </c>
      <c r="AB133" s="81">
        <f t="shared" ref="AB133" si="256">+SUM(AB122:AB132)</f>
        <v>100</v>
      </c>
      <c r="AC133" s="81">
        <f t="shared" ref="AC133" si="257">+SUM(AC122:AC132)</f>
        <v>100</v>
      </c>
      <c r="AD133" s="81">
        <f t="shared" ref="AD133" si="258">+SUM(AD122:AD132)</f>
        <v>100</v>
      </c>
      <c r="AE133" s="81">
        <f t="shared" ref="AE133" si="259">+SUM(AE122:AE132)</f>
        <v>100</v>
      </c>
      <c r="AF133" s="81">
        <f t="shared" ref="AF133" si="260">+SUM(AF122:AF132)</f>
        <v>100</v>
      </c>
      <c r="AG133" s="81">
        <f t="shared" ref="AG133" si="261">+SUM(AG122:AG132)</f>
        <v>100</v>
      </c>
      <c r="AH133" s="81">
        <f t="shared" ref="AH133" si="262">+SUM(AH122:AH132)</f>
        <v>100</v>
      </c>
      <c r="AI133" s="81">
        <f t="shared" ref="AI133" si="263">+SUM(AI122:AI132)</f>
        <v>100</v>
      </c>
      <c r="AJ133" s="81">
        <f t="shared" ref="AJ133" si="264">+SUM(AJ122:AJ132)</f>
        <v>100</v>
      </c>
    </row>
    <row r="134" spans="1:36" s="78" customFormat="1" ht="15.75" x14ac:dyDescent="0.25">
      <c r="A134" s="76" t="s">
        <v>784</v>
      </c>
      <c r="B134" s="77"/>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row>
    <row r="135" spans="1:36" x14ac:dyDescent="0.25">
      <c r="A135" t="s">
        <v>555</v>
      </c>
      <c r="B135" t="s">
        <v>305</v>
      </c>
      <c r="C135" s="25">
        <v>0</v>
      </c>
      <c r="D135" s="25">
        <v>0</v>
      </c>
      <c r="E135" s="25">
        <v>0</v>
      </c>
      <c r="F135" s="25">
        <v>0</v>
      </c>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c r="Z135" s="25">
        <v>0</v>
      </c>
      <c r="AA135" s="25">
        <v>0</v>
      </c>
      <c r="AB135" s="25">
        <v>0</v>
      </c>
      <c r="AC135" s="25">
        <v>0</v>
      </c>
      <c r="AD135" s="25">
        <v>0</v>
      </c>
      <c r="AE135" s="25">
        <v>0</v>
      </c>
      <c r="AF135" s="25">
        <v>0</v>
      </c>
      <c r="AG135" s="25">
        <v>0</v>
      </c>
      <c r="AH135" s="25">
        <v>0</v>
      </c>
      <c r="AI135" s="25">
        <v>0</v>
      </c>
      <c r="AJ135" s="25">
        <v>0</v>
      </c>
    </row>
    <row r="136" spans="1:36" x14ac:dyDescent="0.25">
      <c r="A136" t="s">
        <v>556</v>
      </c>
      <c r="B136" t="s">
        <v>305</v>
      </c>
      <c r="C136" s="25">
        <v>0</v>
      </c>
      <c r="D136" s="25">
        <v>0</v>
      </c>
      <c r="E136" s="25">
        <v>0</v>
      </c>
      <c r="F136" s="25">
        <v>0</v>
      </c>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c r="Y136" s="25">
        <v>0</v>
      </c>
      <c r="Z136" s="25">
        <v>0</v>
      </c>
      <c r="AA136" s="25">
        <v>0</v>
      </c>
      <c r="AB136" s="25">
        <v>0</v>
      </c>
      <c r="AC136" s="25">
        <v>0</v>
      </c>
      <c r="AD136" s="25">
        <v>0</v>
      </c>
      <c r="AE136" s="25">
        <v>0</v>
      </c>
      <c r="AF136" s="25">
        <v>0</v>
      </c>
      <c r="AG136" s="25">
        <v>0</v>
      </c>
      <c r="AH136" s="25">
        <v>0</v>
      </c>
      <c r="AI136" s="25">
        <v>0</v>
      </c>
      <c r="AJ136" s="25">
        <v>0</v>
      </c>
    </row>
    <row r="137" spans="1:36" x14ac:dyDescent="0.25">
      <c r="A137" t="s">
        <v>557</v>
      </c>
      <c r="B137" t="s">
        <v>305</v>
      </c>
      <c r="C137" s="25">
        <v>0</v>
      </c>
      <c r="D137" s="25">
        <v>0</v>
      </c>
      <c r="E137" s="25">
        <v>0</v>
      </c>
      <c r="F137" s="25">
        <v>0</v>
      </c>
      <c r="G137" s="25">
        <v>0</v>
      </c>
      <c r="H137" s="25">
        <v>0</v>
      </c>
      <c r="I137" s="25">
        <v>0</v>
      </c>
      <c r="J137" s="25">
        <v>0</v>
      </c>
      <c r="K137" s="25">
        <v>0</v>
      </c>
      <c r="L137" s="25">
        <v>0</v>
      </c>
      <c r="M137" s="25">
        <v>0</v>
      </c>
      <c r="N137" s="25">
        <v>0</v>
      </c>
      <c r="O137" s="25">
        <v>0</v>
      </c>
      <c r="P137" s="25">
        <v>0</v>
      </c>
      <c r="Q137" s="25">
        <v>0</v>
      </c>
      <c r="R137" s="25">
        <v>0</v>
      </c>
      <c r="S137" s="25">
        <v>0</v>
      </c>
      <c r="T137" s="25">
        <v>0</v>
      </c>
      <c r="U137" s="25">
        <v>0</v>
      </c>
      <c r="V137" s="25">
        <v>0</v>
      </c>
      <c r="W137" s="25">
        <v>0</v>
      </c>
      <c r="X137" s="25">
        <v>0</v>
      </c>
      <c r="Y137" s="25">
        <v>0</v>
      </c>
      <c r="Z137" s="25">
        <v>0</v>
      </c>
      <c r="AA137" s="25">
        <v>0</v>
      </c>
      <c r="AB137" s="25">
        <v>0</v>
      </c>
      <c r="AC137" s="25">
        <v>0</v>
      </c>
      <c r="AD137" s="25">
        <v>0</v>
      </c>
      <c r="AE137" s="25">
        <v>0</v>
      </c>
      <c r="AF137" s="25">
        <v>0</v>
      </c>
      <c r="AG137" s="25">
        <v>0</v>
      </c>
      <c r="AH137" s="25">
        <v>0</v>
      </c>
      <c r="AI137" s="25">
        <v>0</v>
      </c>
      <c r="AJ137" s="25">
        <v>0</v>
      </c>
    </row>
    <row r="138" spans="1:36" x14ac:dyDescent="0.25">
      <c r="A138" t="s">
        <v>558</v>
      </c>
      <c r="B138" t="s">
        <v>305</v>
      </c>
      <c r="C138" s="25">
        <v>0</v>
      </c>
      <c r="D138" s="25">
        <v>0</v>
      </c>
      <c r="E138" s="25">
        <v>0</v>
      </c>
      <c r="F138" s="25">
        <v>0</v>
      </c>
      <c r="G138" s="25">
        <v>0</v>
      </c>
      <c r="H138" s="25">
        <v>0</v>
      </c>
      <c r="I138" s="25">
        <v>0</v>
      </c>
      <c r="J138" s="25">
        <v>0</v>
      </c>
      <c r="K138" s="25">
        <v>0</v>
      </c>
      <c r="L138" s="25">
        <v>0</v>
      </c>
      <c r="M138" s="25">
        <v>0</v>
      </c>
      <c r="N138" s="25">
        <v>0</v>
      </c>
      <c r="O138" s="25">
        <v>0</v>
      </c>
      <c r="P138" s="25">
        <v>0</v>
      </c>
      <c r="Q138" s="25">
        <v>0</v>
      </c>
      <c r="R138" s="25">
        <v>0</v>
      </c>
      <c r="S138" s="25">
        <v>0</v>
      </c>
      <c r="T138" s="25">
        <v>0</v>
      </c>
      <c r="U138" s="25">
        <v>0</v>
      </c>
      <c r="V138" s="25">
        <v>0</v>
      </c>
      <c r="W138" s="25">
        <v>0</v>
      </c>
      <c r="X138" s="25">
        <v>0</v>
      </c>
      <c r="Y138" s="25">
        <v>0</v>
      </c>
      <c r="Z138" s="25">
        <v>0</v>
      </c>
      <c r="AA138" s="25">
        <v>0</v>
      </c>
      <c r="AB138" s="25">
        <v>0</v>
      </c>
      <c r="AC138" s="25">
        <v>0</v>
      </c>
      <c r="AD138" s="25">
        <v>0</v>
      </c>
      <c r="AE138" s="25">
        <v>0</v>
      </c>
      <c r="AF138" s="25">
        <v>0</v>
      </c>
      <c r="AG138" s="25">
        <v>0</v>
      </c>
      <c r="AH138" s="25">
        <v>0</v>
      </c>
      <c r="AI138" s="25">
        <v>0</v>
      </c>
      <c r="AJ138" s="25">
        <v>0</v>
      </c>
    </row>
    <row r="139" spans="1:36" x14ac:dyDescent="0.25">
      <c r="A139" t="s">
        <v>559</v>
      </c>
      <c r="B139" t="s">
        <v>305</v>
      </c>
      <c r="C139" s="25">
        <v>0</v>
      </c>
      <c r="D139" s="25">
        <v>0</v>
      </c>
      <c r="E139" s="25">
        <v>0</v>
      </c>
      <c r="F139" s="25">
        <v>0</v>
      </c>
      <c r="G139" s="25">
        <v>0</v>
      </c>
      <c r="H139" s="25">
        <v>0</v>
      </c>
      <c r="I139" s="25">
        <v>0</v>
      </c>
      <c r="J139" s="25">
        <v>0</v>
      </c>
      <c r="K139" s="25">
        <v>0</v>
      </c>
      <c r="L139" s="25">
        <v>0</v>
      </c>
      <c r="M139" s="25">
        <v>0</v>
      </c>
      <c r="N139" s="25">
        <v>0</v>
      </c>
      <c r="O139" s="25">
        <v>0</v>
      </c>
      <c r="P139" s="25">
        <v>0</v>
      </c>
      <c r="Q139" s="25">
        <v>0</v>
      </c>
      <c r="R139" s="25">
        <v>0</v>
      </c>
      <c r="S139" s="25">
        <v>0</v>
      </c>
      <c r="T139" s="25">
        <v>0</v>
      </c>
      <c r="U139" s="25">
        <v>0</v>
      </c>
      <c r="V139" s="25">
        <v>0</v>
      </c>
      <c r="W139" s="25">
        <v>0</v>
      </c>
      <c r="X139" s="25">
        <v>0</v>
      </c>
      <c r="Y139" s="25">
        <v>0</v>
      </c>
      <c r="Z139" s="25">
        <v>0</v>
      </c>
      <c r="AA139" s="25">
        <v>0</v>
      </c>
      <c r="AB139" s="25">
        <v>0</v>
      </c>
      <c r="AC139" s="25">
        <v>0</v>
      </c>
      <c r="AD139" s="25">
        <v>0</v>
      </c>
      <c r="AE139" s="25">
        <v>0</v>
      </c>
      <c r="AF139" s="25">
        <v>0</v>
      </c>
      <c r="AG139" s="25">
        <v>0</v>
      </c>
      <c r="AH139" s="25">
        <v>0</v>
      </c>
      <c r="AI139" s="25">
        <v>0</v>
      </c>
      <c r="AJ139" s="25">
        <v>0</v>
      </c>
    </row>
    <row r="140" spans="1:36" x14ac:dyDescent="0.25">
      <c r="A140" t="s">
        <v>560</v>
      </c>
      <c r="B140" t="s">
        <v>305</v>
      </c>
      <c r="C140" s="25">
        <v>0</v>
      </c>
      <c r="D140" s="25">
        <v>0</v>
      </c>
      <c r="E140" s="25">
        <v>0</v>
      </c>
      <c r="F140" s="25">
        <v>0</v>
      </c>
      <c r="G140" s="25">
        <v>0</v>
      </c>
      <c r="H140" s="25">
        <v>0</v>
      </c>
      <c r="I140" s="25">
        <v>0</v>
      </c>
      <c r="J140" s="25">
        <v>0</v>
      </c>
      <c r="K140" s="25">
        <v>0</v>
      </c>
      <c r="L140" s="25">
        <v>0</v>
      </c>
      <c r="M140" s="25">
        <v>0</v>
      </c>
      <c r="N140" s="25">
        <v>0</v>
      </c>
      <c r="O140" s="25">
        <v>0</v>
      </c>
      <c r="P140" s="25">
        <v>0</v>
      </c>
      <c r="Q140" s="25">
        <v>0</v>
      </c>
      <c r="R140" s="25">
        <v>0</v>
      </c>
      <c r="S140" s="25">
        <v>0</v>
      </c>
      <c r="T140" s="25">
        <v>0</v>
      </c>
      <c r="U140" s="25">
        <v>0</v>
      </c>
      <c r="V140" s="25">
        <v>0</v>
      </c>
      <c r="W140" s="25">
        <v>0</v>
      </c>
      <c r="X140" s="25">
        <v>0</v>
      </c>
      <c r="Y140" s="25">
        <v>0</v>
      </c>
      <c r="Z140" s="25">
        <v>0</v>
      </c>
      <c r="AA140" s="25">
        <v>0</v>
      </c>
      <c r="AB140" s="25">
        <v>0</v>
      </c>
      <c r="AC140" s="25">
        <v>0</v>
      </c>
      <c r="AD140" s="25">
        <v>0</v>
      </c>
      <c r="AE140" s="25">
        <v>0</v>
      </c>
      <c r="AF140" s="25">
        <v>0</v>
      </c>
      <c r="AG140" s="25">
        <v>0</v>
      </c>
      <c r="AH140" s="25">
        <v>0</v>
      </c>
      <c r="AI140" s="25">
        <v>0</v>
      </c>
      <c r="AJ140" s="25">
        <v>0</v>
      </c>
    </row>
    <row r="141" spans="1:36" x14ac:dyDescent="0.25">
      <c r="A141" t="s">
        <v>561</v>
      </c>
      <c r="B141" t="s">
        <v>305</v>
      </c>
      <c r="C141" s="25">
        <v>0</v>
      </c>
      <c r="D141" s="25">
        <v>0</v>
      </c>
      <c r="E141" s="25">
        <v>0</v>
      </c>
      <c r="F141" s="25">
        <v>0</v>
      </c>
      <c r="G141" s="25">
        <v>0</v>
      </c>
      <c r="H141" s="25">
        <v>0</v>
      </c>
      <c r="I141" s="25">
        <v>0</v>
      </c>
      <c r="J141" s="25">
        <v>0</v>
      </c>
      <c r="K141" s="25">
        <v>0</v>
      </c>
      <c r="L141" s="25">
        <v>0</v>
      </c>
      <c r="M141" s="25">
        <v>0</v>
      </c>
      <c r="N141" s="25">
        <v>0</v>
      </c>
      <c r="O141" s="25">
        <v>0</v>
      </c>
      <c r="P141" s="25">
        <v>0</v>
      </c>
      <c r="Q141" s="25">
        <v>0</v>
      </c>
      <c r="R141" s="25">
        <v>0</v>
      </c>
      <c r="S141" s="25">
        <v>0</v>
      </c>
      <c r="T141" s="25">
        <v>0</v>
      </c>
      <c r="U141" s="25">
        <v>0</v>
      </c>
      <c r="V141" s="25">
        <v>0</v>
      </c>
      <c r="W141" s="25">
        <v>0</v>
      </c>
      <c r="X141" s="25">
        <v>0</v>
      </c>
      <c r="Y141" s="25">
        <v>0</v>
      </c>
      <c r="Z141" s="25">
        <v>0</v>
      </c>
      <c r="AA141" s="25">
        <v>0</v>
      </c>
      <c r="AB141" s="25">
        <v>0</v>
      </c>
      <c r="AC141" s="25">
        <v>0</v>
      </c>
      <c r="AD141" s="25">
        <v>0</v>
      </c>
      <c r="AE141" s="25">
        <v>0</v>
      </c>
      <c r="AF141" s="25">
        <v>0</v>
      </c>
      <c r="AG141" s="25">
        <v>0</v>
      </c>
      <c r="AH141" s="25">
        <v>0</v>
      </c>
      <c r="AI141" s="25">
        <v>0</v>
      </c>
      <c r="AJ141" s="25">
        <v>0</v>
      </c>
    </row>
    <row r="142" spans="1:36" x14ac:dyDescent="0.25">
      <c r="A142" t="s">
        <v>562</v>
      </c>
      <c r="B142" t="s">
        <v>305</v>
      </c>
      <c r="C142" s="25">
        <v>0</v>
      </c>
      <c r="D142" s="25">
        <v>0</v>
      </c>
      <c r="E142" s="25">
        <v>0</v>
      </c>
      <c r="F142" s="25">
        <v>0</v>
      </c>
      <c r="G142" s="25">
        <v>0</v>
      </c>
      <c r="H142" s="25">
        <v>0</v>
      </c>
      <c r="I142" s="25">
        <v>0</v>
      </c>
      <c r="J142" s="25">
        <v>0</v>
      </c>
      <c r="K142" s="25">
        <v>0</v>
      </c>
      <c r="L142" s="25">
        <v>0</v>
      </c>
      <c r="M142" s="25">
        <v>0</v>
      </c>
      <c r="N142" s="25">
        <v>0</v>
      </c>
      <c r="O142" s="25">
        <v>0</v>
      </c>
      <c r="P142" s="25">
        <v>0</v>
      </c>
      <c r="Q142" s="25">
        <v>0</v>
      </c>
      <c r="R142" s="25">
        <v>0</v>
      </c>
      <c r="S142" s="25">
        <v>0</v>
      </c>
      <c r="T142" s="25">
        <v>0</v>
      </c>
      <c r="U142" s="25">
        <v>0</v>
      </c>
      <c r="V142" s="25">
        <v>0</v>
      </c>
      <c r="W142" s="25">
        <v>0</v>
      </c>
      <c r="X142" s="25">
        <v>0</v>
      </c>
      <c r="Y142" s="25">
        <v>0</v>
      </c>
      <c r="Z142" s="25">
        <v>0</v>
      </c>
      <c r="AA142" s="25">
        <v>0</v>
      </c>
      <c r="AB142" s="25">
        <v>0</v>
      </c>
      <c r="AC142" s="25">
        <v>0</v>
      </c>
      <c r="AD142" s="25">
        <v>0</v>
      </c>
      <c r="AE142" s="25">
        <v>0</v>
      </c>
      <c r="AF142" s="25">
        <v>0</v>
      </c>
      <c r="AG142" s="25">
        <v>0</v>
      </c>
      <c r="AH142" s="25">
        <v>0</v>
      </c>
      <c r="AI142" s="25">
        <v>0</v>
      </c>
      <c r="AJ142" s="25">
        <v>0</v>
      </c>
    </row>
    <row r="143" spans="1:36" x14ac:dyDescent="0.25">
      <c r="A143" t="s">
        <v>563</v>
      </c>
      <c r="B143" t="s">
        <v>305</v>
      </c>
      <c r="C143" s="25">
        <v>0</v>
      </c>
      <c r="D143" s="25">
        <v>0</v>
      </c>
      <c r="E143" s="25">
        <v>0</v>
      </c>
      <c r="F143" s="25">
        <v>0</v>
      </c>
      <c r="G143" s="25">
        <v>0</v>
      </c>
      <c r="H143" s="25">
        <v>0</v>
      </c>
      <c r="I143" s="25">
        <v>0</v>
      </c>
      <c r="J143" s="25">
        <v>0</v>
      </c>
      <c r="K143" s="25">
        <v>0</v>
      </c>
      <c r="L143" s="25">
        <v>0</v>
      </c>
      <c r="M143" s="25">
        <v>0</v>
      </c>
      <c r="N143" s="25">
        <v>0</v>
      </c>
      <c r="O143" s="25">
        <v>0</v>
      </c>
      <c r="P143" s="25">
        <v>0</v>
      </c>
      <c r="Q143" s="25">
        <v>0</v>
      </c>
      <c r="R143" s="25">
        <v>0</v>
      </c>
      <c r="S143" s="25">
        <v>0</v>
      </c>
      <c r="T143" s="25">
        <v>0</v>
      </c>
      <c r="U143" s="25">
        <v>0</v>
      </c>
      <c r="V143" s="25">
        <v>0</v>
      </c>
      <c r="W143" s="25">
        <v>0</v>
      </c>
      <c r="X143" s="25">
        <v>0</v>
      </c>
      <c r="Y143" s="25">
        <v>0</v>
      </c>
      <c r="Z143" s="25">
        <v>0</v>
      </c>
      <c r="AA143" s="25">
        <v>0</v>
      </c>
      <c r="AB143" s="25">
        <v>0</v>
      </c>
      <c r="AC143" s="25">
        <v>0</v>
      </c>
      <c r="AD143" s="25">
        <v>0</v>
      </c>
      <c r="AE143" s="25">
        <v>0</v>
      </c>
      <c r="AF143" s="25">
        <v>0</v>
      </c>
      <c r="AG143" s="25">
        <v>0</v>
      </c>
      <c r="AH143" s="25">
        <v>0</v>
      </c>
      <c r="AI143" s="25">
        <v>0</v>
      </c>
      <c r="AJ143" s="25">
        <v>0</v>
      </c>
    </row>
    <row r="144" spans="1:36" x14ac:dyDescent="0.25">
      <c r="A144" t="s">
        <v>564</v>
      </c>
      <c r="B144" t="s">
        <v>305</v>
      </c>
      <c r="C144" s="25">
        <v>100</v>
      </c>
      <c r="D144" s="25">
        <v>100</v>
      </c>
      <c r="E144" s="25">
        <v>100</v>
      </c>
      <c r="F144" s="25">
        <v>100</v>
      </c>
      <c r="G144" s="25">
        <v>100</v>
      </c>
      <c r="H144" s="25">
        <v>100</v>
      </c>
      <c r="I144" s="25">
        <v>100</v>
      </c>
      <c r="J144" s="25">
        <v>100</v>
      </c>
      <c r="K144" s="25">
        <v>100</v>
      </c>
      <c r="L144" s="25">
        <v>100</v>
      </c>
      <c r="M144" s="25">
        <v>100</v>
      </c>
      <c r="N144" s="25">
        <v>100</v>
      </c>
      <c r="O144" s="25">
        <v>100</v>
      </c>
      <c r="P144" s="25">
        <v>100</v>
      </c>
      <c r="Q144" s="25">
        <v>100</v>
      </c>
      <c r="R144" s="25">
        <v>100</v>
      </c>
      <c r="S144" s="25">
        <v>100</v>
      </c>
      <c r="T144" s="25">
        <v>100</v>
      </c>
      <c r="U144" s="25">
        <v>100</v>
      </c>
      <c r="V144" s="25">
        <v>100</v>
      </c>
      <c r="W144" s="25">
        <v>100</v>
      </c>
      <c r="X144" s="25">
        <v>100</v>
      </c>
      <c r="Y144" s="25">
        <v>100</v>
      </c>
      <c r="Z144" s="25">
        <v>100</v>
      </c>
      <c r="AA144" s="25">
        <v>100</v>
      </c>
      <c r="AB144" s="25">
        <v>100</v>
      </c>
      <c r="AC144" s="25">
        <v>100</v>
      </c>
      <c r="AD144" s="25">
        <v>100</v>
      </c>
      <c r="AE144" s="25">
        <v>100</v>
      </c>
      <c r="AF144" s="25">
        <v>100</v>
      </c>
      <c r="AG144" s="25">
        <v>100</v>
      </c>
      <c r="AH144" s="25">
        <v>100</v>
      </c>
      <c r="AI144" s="25">
        <v>100</v>
      </c>
      <c r="AJ144" s="25">
        <v>100</v>
      </c>
    </row>
    <row r="145" spans="1:36" x14ac:dyDescent="0.25">
      <c r="A145" t="s">
        <v>770</v>
      </c>
      <c r="B145" t="s">
        <v>305</v>
      </c>
      <c r="C145" s="25">
        <v>0</v>
      </c>
      <c r="D145" s="25">
        <v>0</v>
      </c>
      <c r="E145" s="25">
        <v>0</v>
      </c>
      <c r="F145" s="25">
        <v>0</v>
      </c>
      <c r="G145" s="25">
        <v>0</v>
      </c>
      <c r="H145" s="25">
        <v>0</v>
      </c>
      <c r="I145" s="25">
        <v>0</v>
      </c>
      <c r="J145" s="25">
        <v>0</v>
      </c>
      <c r="K145" s="25">
        <v>0</v>
      </c>
      <c r="L145" s="25">
        <v>0</v>
      </c>
      <c r="M145" s="25">
        <v>0</v>
      </c>
      <c r="N145" s="25">
        <v>0</v>
      </c>
      <c r="O145" s="25">
        <v>0</v>
      </c>
      <c r="P145" s="25">
        <v>0</v>
      </c>
      <c r="Q145" s="25">
        <v>0</v>
      </c>
      <c r="R145" s="25">
        <v>0</v>
      </c>
      <c r="S145" s="25">
        <v>0</v>
      </c>
      <c r="T145" s="25">
        <v>0</v>
      </c>
      <c r="U145" s="25">
        <v>0</v>
      </c>
      <c r="V145" s="25">
        <v>0</v>
      </c>
      <c r="W145" s="25">
        <v>0</v>
      </c>
      <c r="X145" s="25">
        <v>0</v>
      </c>
      <c r="Y145" s="25">
        <v>0</v>
      </c>
      <c r="Z145" s="25">
        <v>0</v>
      </c>
      <c r="AA145" s="25">
        <v>0</v>
      </c>
      <c r="AB145" s="25">
        <v>0</v>
      </c>
      <c r="AC145" s="25">
        <v>0</v>
      </c>
      <c r="AD145" s="25">
        <v>0</v>
      </c>
      <c r="AE145" s="25">
        <v>0</v>
      </c>
      <c r="AF145" s="25">
        <v>0</v>
      </c>
      <c r="AG145" s="25">
        <v>0</v>
      </c>
      <c r="AH145" s="25">
        <v>0</v>
      </c>
      <c r="AI145" s="25">
        <v>0</v>
      </c>
      <c r="AJ145" s="25">
        <v>0</v>
      </c>
    </row>
    <row r="146" spans="1:36" s="80" customFormat="1" x14ac:dyDescent="0.25">
      <c r="A146" s="80" t="s">
        <v>789</v>
      </c>
      <c r="C146" s="81">
        <f>+SUM(C135:C145)</f>
        <v>100</v>
      </c>
      <c r="D146" s="81">
        <f t="shared" ref="D146" si="265">+SUM(D135:D145)</f>
        <v>100</v>
      </c>
      <c r="E146" s="81">
        <f t="shared" ref="E146" si="266">+SUM(E135:E145)</f>
        <v>100</v>
      </c>
      <c r="F146" s="81">
        <f t="shared" ref="F146" si="267">+SUM(F135:F145)</f>
        <v>100</v>
      </c>
      <c r="G146" s="81">
        <f t="shared" ref="G146" si="268">+SUM(G135:G145)</f>
        <v>100</v>
      </c>
      <c r="H146" s="81">
        <f t="shared" ref="H146" si="269">+SUM(H135:H145)</f>
        <v>100</v>
      </c>
      <c r="I146" s="81">
        <f t="shared" ref="I146" si="270">+SUM(I135:I145)</f>
        <v>100</v>
      </c>
      <c r="J146" s="81">
        <f t="shared" ref="J146" si="271">+SUM(J135:J145)</f>
        <v>100</v>
      </c>
      <c r="K146" s="81">
        <f t="shared" ref="K146" si="272">+SUM(K135:K145)</f>
        <v>100</v>
      </c>
      <c r="L146" s="81">
        <f t="shared" ref="L146" si="273">+SUM(L135:L145)</f>
        <v>100</v>
      </c>
      <c r="M146" s="81">
        <f t="shared" ref="M146" si="274">+SUM(M135:M145)</f>
        <v>100</v>
      </c>
      <c r="N146" s="81">
        <f t="shared" ref="N146" si="275">+SUM(N135:N145)</f>
        <v>100</v>
      </c>
      <c r="O146" s="81">
        <f t="shared" ref="O146" si="276">+SUM(O135:O145)</f>
        <v>100</v>
      </c>
      <c r="P146" s="81">
        <f t="shared" ref="P146" si="277">+SUM(P135:P145)</f>
        <v>100</v>
      </c>
      <c r="Q146" s="81">
        <f t="shared" ref="Q146" si="278">+SUM(Q135:Q145)</f>
        <v>100</v>
      </c>
      <c r="R146" s="81">
        <f t="shared" ref="R146" si="279">+SUM(R135:R145)</f>
        <v>100</v>
      </c>
      <c r="S146" s="81">
        <f t="shared" ref="S146" si="280">+SUM(S135:S145)</f>
        <v>100</v>
      </c>
      <c r="T146" s="81">
        <f t="shared" ref="T146" si="281">+SUM(T135:T145)</f>
        <v>100</v>
      </c>
      <c r="U146" s="81">
        <f t="shared" ref="U146" si="282">+SUM(U135:U145)</f>
        <v>100</v>
      </c>
      <c r="V146" s="81">
        <f t="shared" ref="V146" si="283">+SUM(V135:V145)</f>
        <v>100</v>
      </c>
      <c r="W146" s="81">
        <f t="shared" ref="W146" si="284">+SUM(W135:W145)</f>
        <v>100</v>
      </c>
      <c r="X146" s="81">
        <f t="shared" ref="X146" si="285">+SUM(X135:X145)</f>
        <v>100</v>
      </c>
      <c r="Y146" s="81">
        <f t="shared" ref="Y146" si="286">+SUM(Y135:Y145)</f>
        <v>100</v>
      </c>
      <c r="Z146" s="81">
        <f t="shared" ref="Z146" si="287">+SUM(Z135:Z145)</f>
        <v>100</v>
      </c>
      <c r="AA146" s="81">
        <f t="shared" ref="AA146" si="288">+SUM(AA135:AA145)</f>
        <v>100</v>
      </c>
      <c r="AB146" s="81">
        <f t="shared" ref="AB146" si="289">+SUM(AB135:AB145)</f>
        <v>100</v>
      </c>
      <c r="AC146" s="81">
        <f t="shared" ref="AC146" si="290">+SUM(AC135:AC145)</f>
        <v>100</v>
      </c>
      <c r="AD146" s="81">
        <f t="shared" ref="AD146" si="291">+SUM(AD135:AD145)</f>
        <v>100</v>
      </c>
      <c r="AE146" s="81">
        <f t="shared" ref="AE146" si="292">+SUM(AE135:AE145)</f>
        <v>100</v>
      </c>
      <c r="AF146" s="81">
        <f t="shared" ref="AF146" si="293">+SUM(AF135:AF145)</f>
        <v>100</v>
      </c>
      <c r="AG146" s="81">
        <f t="shared" ref="AG146" si="294">+SUM(AG135:AG145)</f>
        <v>100</v>
      </c>
      <c r="AH146" s="81">
        <f t="shared" ref="AH146" si="295">+SUM(AH135:AH145)</f>
        <v>100</v>
      </c>
      <c r="AI146" s="81">
        <f t="shared" ref="AI146" si="296">+SUM(AI135:AI145)</f>
        <v>100</v>
      </c>
      <c r="AJ146" s="81">
        <f t="shared" ref="AJ146" si="297">+SUM(AJ135:AJ145)</f>
        <v>100</v>
      </c>
    </row>
    <row r="147" spans="1:36" x14ac:dyDescent="0.25">
      <c r="A147" t="s">
        <v>565</v>
      </c>
      <c r="B147" t="s">
        <v>305</v>
      </c>
      <c r="C147" s="25">
        <v>0</v>
      </c>
      <c r="D147" s="25">
        <v>0</v>
      </c>
      <c r="E147" s="25">
        <v>0</v>
      </c>
      <c r="F147" s="25">
        <v>0</v>
      </c>
      <c r="G147" s="25">
        <v>0</v>
      </c>
      <c r="H147" s="25">
        <v>0</v>
      </c>
      <c r="I147" s="25">
        <v>0</v>
      </c>
      <c r="J147" s="25">
        <v>0</v>
      </c>
      <c r="K147" s="25">
        <v>0</v>
      </c>
      <c r="L147" s="25">
        <v>0</v>
      </c>
      <c r="M147" s="25">
        <v>0</v>
      </c>
      <c r="N147" s="25">
        <v>0</v>
      </c>
      <c r="O147" s="25">
        <v>0</v>
      </c>
      <c r="P147" s="25">
        <v>0</v>
      </c>
      <c r="Q147" s="25">
        <v>0</v>
      </c>
      <c r="R147" s="25">
        <v>0</v>
      </c>
      <c r="S147" s="25">
        <v>0</v>
      </c>
      <c r="T147" s="25">
        <v>0</v>
      </c>
      <c r="U147" s="25">
        <v>0</v>
      </c>
      <c r="V147" s="25">
        <v>0</v>
      </c>
      <c r="W147" s="25">
        <v>0</v>
      </c>
      <c r="X147" s="25">
        <v>0</v>
      </c>
      <c r="Y147" s="25">
        <v>0</v>
      </c>
      <c r="Z147" s="25">
        <v>0</v>
      </c>
      <c r="AA147" s="25">
        <v>0</v>
      </c>
      <c r="AB147" s="25">
        <v>0</v>
      </c>
      <c r="AC147" s="25">
        <v>0</v>
      </c>
      <c r="AD147" s="25">
        <v>0</v>
      </c>
      <c r="AE147" s="25">
        <v>0</v>
      </c>
      <c r="AF147" s="25">
        <v>0</v>
      </c>
      <c r="AG147" s="25">
        <v>0</v>
      </c>
      <c r="AH147" s="25">
        <v>0</v>
      </c>
      <c r="AI147" s="25">
        <v>0</v>
      </c>
      <c r="AJ147" s="25">
        <v>0</v>
      </c>
    </row>
    <row r="148" spans="1:36" x14ac:dyDescent="0.25">
      <c r="A148" t="s">
        <v>566</v>
      </c>
      <c r="B148" t="s">
        <v>305</v>
      </c>
      <c r="C148" s="25">
        <v>0</v>
      </c>
      <c r="D148" s="25">
        <v>0</v>
      </c>
      <c r="E148" s="25">
        <v>0</v>
      </c>
      <c r="F148" s="25">
        <v>0</v>
      </c>
      <c r="G148" s="25">
        <v>0</v>
      </c>
      <c r="H148" s="25">
        <v>0</v>
      </c>
      <c r="I148" s="25">
        <v>0</v>
      </c>
      <c r="J148" s="25">
        <v>0</v>
      </c>
      <c r="K148" s="25">
        <v>0</v>
      </c>
      <c r="L148" s="25">
        <v>0</v>
      </c>
      <c r="M148" s="25">
        <v>0</v>
      </c>
      <c r="N148" s="25">
        <v>0</v>
      </c>
      <c r="O148" s="25">
        <v>0</v>
      </c>
      <c r="P148" s="25">
        <v>0</v>
      </c>
      <c r="Q148" s="25">
        <v>0</v>
      </c>
      <c r="R148" s="25">
        <v>0</v>
      </c>
      <c r="S148" s="25">
        <v>0</v>
      </c>
      <c r="T148" s="25">
        <v>0</v>
      </c>
      <c r="U148" s="25">
        <v>0</v>
      </c>
      <c r="V148" s="25">
        <v>0</v>
      </c>
      <c r="W148" s="25">
        <v>0</v>
      </c>
      <c r="X148" s="25">
        <v>0</v>
      </c>
      <c r="Y148" s="25">
        <v>0</v>
      </c>
      <c r="Z148" s="25">
        <v>0</v>
      </c>
      <c r="AA148" s="25">
        <v>0</v>
      </c>
      <c r="AB148" s="25">
        <v>0</v>
      </c>
      <c r="AC148" s="25">
        <v>0</v>
      </c>
      <c r="AD148" s="25">
        <v>0</v>
      </c>
      <c r="AE148" s="25">
        <v>0</v>
      </c>
      <c r="AF148" s="25">
        <v>0</v>
      </c>
      <c r="AG148" s="25">
        <v>0</v>
      </c>
      <c r="AH148" s="25">
        <v>0</v>
      </c>
      <c r="AI148" s="25">
        <v>0</v>
      </c>
      <c r="AJ148" s="25">
        <v>0</v>
      </c>
    </row>
    <row r="149" spans="1:36" x14ac:dyDescent="0.25">
      <c r="A149" t="s">
        <v>567</v>
      </c>
      <c r="B149" t="s">
        <v>305</v>
      </c>
      <c r="C149" s="25">
        <v>0</v>
      </c>
      <c r="D149" s="25">
        <v>0</v>
      </c>
      <c r="E149" s="25">
        <v>0</v>
      </c>
      <c r="F149" s="25">
        <v>0</v>
      </c>
      <c r="G149" s="25">
        <v>0</v>
      </c>
      <c r="H149" s="25">
        <v>0</v>
      </c>
      <c r="I149" s="25">
        <v>0</v>
      </c>
      <c r="J149" s="25">
        <v>0</v>
      </c>
      <c r="K149" s="25">
        <v>0</v>
      </c>
      <c r="L149" s="25">
        <v>0</v>
      </c>
      <c r="M149" s="25">
        <v>0</v>
      </c>
      <c r="N149" s="25">
        <v>0</v>
      </c>
      <c r="O149" s="25">
        <v>0</v>
      </c>
      <c r="P149" s="25">
        <v>0</v>
      </c>
      <c r="Q149" s="25">
        <v>0</v>
      </c>
      <c r="R149" s="25">
        <v>0</v>
      </c>
      <c r="S149" s="25">
        <v>0</v>
      </c>
      <c r="T149" s="25">
        <v>0</v>
      </c>
      <c r="U149" s="25">
        <v>0</v>
      </c>
      <c r="V149" s="25">
        <v>0</v>
      </c>
      <c r="W149" s="25">
        <v>0</v>
      </c>
      <c r="X149" s="25">
        <v>0</v>
      </c>
      <c r="Y149" s="25">
        <v>0</v>
      </c>
      <c r="Z149" s="25">
        <v>0</v>
      </c>
      <c r="AA149" s="25">
        <v>0</v>
      </c>
      <c r="AB149" s="25">
        <v>0</v>
      </c>
      <c r="AC149" s="25">
        <v>0</v>
      </c>
      <c r="AD149" s="25">
        <v>0</v>
      </c>
      <c r="AE149" s="25">
        <v>0</v>
      </c>
      <c r="AF149" s="25">
        <v>0</v>
      </c>
      <c r="AG149" s="25">
        <v>0</v>
      </c>
      <c r="AH149" s="25">
        <v>0</v>
      </c>
      <c r="AI149" s="25">
        <v>0</v>
      </c>
      <c r="AJ149" s="25">
        <v>0</v>
      </c>
    </row>
    <row r="150" spans="1:36" x14ac:dyDescent="0.25">
      <c r="A150" t="s">
        <v>568</v>
      </c>
      <c r="B150" t="s">
        <v>305</v>
      </c>
      <c r="C150" s="25">
        <v>0</v>
      </c>
      <c r="D150" s="25">
        <v>0</v>
      </c>
      <c r="E150" s="25">
        <v>0</v>
      </c>
      <c r="F150" s="25">
        <v>0</v>
      </c>
      <c r="G150" s="25">
        <v>0</v>
      </c>
      <c r="H150" s="25">
        <v>0</v>
      </c>
      <c r="I150" s="25">
        <v>0</v>
      </c>
      <c r="J150" s="25">
        <v>0</v>
      </c>
      <c r="K150" s="25">
        <v>0</v>
      </c>
      <c r="L150" s="25">
        <v>0</v>
      </c>
      <c r="M150" s="25">
        <v>0</v>
      </c>
      <c r="N150" s="25">
        <v>0</v>
      </c>
      <c r="O150" s="25">
        <v>0</v>
      </c>
      <c r="P150" s="25">
        <v>0</v>
      </c>
      <c r="Q150" s="25">
        <v>0</v>
      </c>
      <c r="R150" s="25">
        <v>0</v>
      </c>
      <c r="S150" s="25">
        <v>0</v>
      </c>
      <c r="T150" s="25">
        <v>0</v>
      </c>
      <c r="U150" s="25">
        <v>0</v>
      </c>
      <c r="V150" s="25">
        <v>0</v>
      </c>
      <c r="W150" s="25">
        <v>0</v>
      </c>
      <c r="X150" s="25">
        <v>0</v>
      </c>
      <c r="Y150" s="25">
        <v>0</v>
      </c>
      <c r="Z150" s="25">
        <v>0</v>
      </c>
      <c r="AA150" s="25">
        <v>0</v>
      </c>
      <c r="AB150" s="25">
        <v>0</v>
      </c>
      <c r="AC150" s="25">
        <v>0</v>
      </c>
      <c r="AD150" s="25">
        <v>0</v>
      </c>
      <c r="AE150" s="25">
        <v>0</v>
      </c>
      <c r="AF150" s="25">
        <v>0</v>
      </c>
      <c r="AG150" s="25">
        <v>0</v>
      </c>
      <c r="AH150" s="25">
        <v>0</v>
      </c>
      <c r="AI150" s="25">
        <v>0</v>
      </c>
      <c r="AJ150" s="25">
        <v>0</v>
      </c>
    </row>
    <row r="151" spans="1:36" x14ac:dyDescent="0.25">
      <c r="A151" t="s">
        <v>569</v>
      </c>
      <c r="B151" t="s">
        <v>305</v>
      </c>
      <c r="C151" s="25">
        <v>0</v>
      </c>
      <c r="D151" s="25">
        <v>0</v>
      </c>
      <c r="E151" s="25">
        <v>0</v>
      </c>
      <c r="F151" s="25">
        <v>0</v>
      </c>
      <c r="G151" s="25">
        <v>0</v>
      </c>
      <c r="H151" s="25">
        <v>0</v>
      </c>
      <c r="I151" s="25">
        <v>0</v>
      </c>
      <c r="J151" s="25">
        <v>0</v>
      </c>
      <c r="K151" s="25">
        <v>0</v>
      </c>
      <c r="L151" s="25">
        <v>0</v>
      </c>
      <c r="M151" s="25">
        <v>0</v>
      </c>
      <c r="N151" s="25">
        <v>0</v>
      </c>
      <c r="O151" s="25">
        <v>0</v>
      </c>
      <c r="P151" s="25">
        <v>0</v>
      </c>
      <c r="Q151" s="25">
        <v>0</v>
      </c>
      <c r="R151" s="25">
        <v>0</v>
      </c>
      <c r="S151" s="25">
        <v>0</v>
      </c>
      <c r="T151" s="25">
        <v>0</v>
      </c>
      <c r="U151" s="25">
        <v>0</v>
      </c>
      <c r="V151" s="25">
        <v>0</v>
      </c>
      <c r="W151" s="25">
        <v>0</v>
      </c>
      <c r="X151" s="25">
        <v>0</v>
      </c>
      <c r="Y151" s="25">
        <v>0</v>
      </c>
      <c r="Z151" s="25">
        <v>0</v>
      </c>
      <c r="AA151" s="25">
        <v>0</v>
      </c>
      <c r="AB151" s="25">
        <v>0</v>
      </c>
      <c r="AC151" s="25">
        <v>0</v>
      </c>
      <c r="AD151" s="25">
        <v>0</v>
      </c>
      <c r="AE151" s="25">
        <v>0</v>
      </c>
      <c r="AF151" s="25">
        <v>0</v>
      </c>
      <c r="AG151" s="25">
        <v>0</v>
      </c>
      <c r="AH151" s="25">
        <v>0</v>
      </c>
      <c r="AI151" s="25">
        <v>0</v>
      </c>
      <c r="AJ151" s="25">
        <v>0</v>
      </c>
    </row>
    <row r="152" spans="1:36" x14ac:dyDescent="0.25">
      <c r="A152" t="s">
        <v>570</v>
      </c>
      <c r="B152" t="s">
        <v>305</v>
      </c>
      <c r="C152" s="25">
        <v>0</v>
      </c>
      <c r="D152" s="25">
        <v>0</v>
      </c>
      <c r="E152" s="25">
        <v>0</v>
      </c>
      <c r="F152" s="25">
        <v>0</v>
      </c>
      <c r="G152" s="25">
        <v>0</v>
      </c>
      <c r="H152" s="25">
        <v>0</v>
      </c>
      <c r="I152" s="25">
        <v>0</v>
      </c>
      <c r="J152" s="25">
        <v>0</v>
      </c>
      <c r="K152" s="25">
        <v>0</v>
      </c>
      <c r="L152" s="25">
        <v>0</v>
      </c>
      <c r="M152" s="25">
        <v>0</v>
      </c>
      <c r="N152" s="25">
        <v>0</v>
      </c>
      <c r="O152" s="25">
        <v>0</v>
      </c>
      <c r="P152" s="25">
        <v>0</v>
      </c>
      <c r="Q152" s="25">
        <v>0</v>
      </c>
      <c r="R152" s="25">
        <v>0</v>
      </c>
      <c r="S152" s="25">
        <v>0</v>
      </c>
      <c r="T152" s="25">
        <v>0</v>
      </c>
      <c r="U152" s="25">
        <v>0</v>
      </c>
      <c r="V152" s="25">
        <v>0</v>
      </c>
      <c r="W152" s="25">
        <v>0</v>
      </c>
      <c r="X152" s="25">
        <v>0</v>
      </c>
      <c r="Y152" s="25">
        <v>0</v>
      </c>
      <c r="Z152" s="25">
        <v>0</v>
      </c>
      <c r="AA152" s="25">
        <v>0</v>
      </c>
      <c r="AB152" s="25">
        <v>0</v>
      </c>
      <c r="AC152" s="25">
        <v>0</v>
      </c>
      <c r="AD152" s="25">
        <v>0</v>
      </c>
      <c r="AE152" s="25">
        <v>0</v>
      </c>
      <c r="AF152" s="25">
        <v>0</v>
      </c>
      <c r="AG152" s="25">
        <v>0</v>
      </c>
      <c r="AH152" s="25">
        <v>0</v>
      </c>
      <c r="AI152" s="25">
        <v>0</v>
      </c>
      <c r="AJ152" s="25">
        <v>0</v>
      </c>
    </row>
    <row r="153" spans="1:36" x14ac:dyDescent="0.25">
      <c r="A153" t="s">
        <v>571</v>
      </c>
      <c r="B153" t="s">
        <v>305</v>
      </c>
      <c r="C153" s="25">
        <v>0</v>
      </c>
      <c r="D153" s="25">
        <v>0</v>
      </c>
      <c r="E153" s="25">
        <v>0</v>
      </c>
      <c r="F153" s="25">
        <v>0</v>
      </c>
      <c r="G153" s="25">
        <v>0</v>
      </c>
      <c r="H153" s="25">
        <v>0</v>
      </c>
      <c r="I153" s="25">
        <v>0</v>
      </c>
      <c r="J153" s="25">
        <v>0</v>
      </c>
      <c r="K153" s="25">
        <v>0</v>
      </c>
      <c r="L153" s="25">
        <v>0</v>
      </c>
      <c r="M153" s="25">
        <v>0</v>
      </c>
      <c r="N153" s="25">
        <v>0</v>
      </c>
      <c r="O153" s="25">
        <v>0</v>
      </c>
      <c r="P153" s="25">
        <v>0</v>
      </c>
      <c r="Q153" s="25">
        <v>0</v>
      </c>
      <c r="R153" s="25">
        <v>0</v>
      </c>
      <c r="S153" s="25">
        <v>0</v>
      </c>
      <c r="T153" s="25">
        <v>0</v>
      </c>
      <c r="U153" s="25">
        <v>0</v>
      </c>
      <c r="V153" s="25">
        <v>0</v>
      </c>
      <c r="W153" s="25">
        <v>0</v>
      </c>
      <c r="X153" s="25">
        <v>0</v>
      </c>
      <c r="Y153" s="25">
        <v>0</v>
      </c>
      <c r="Z153" s="25">
        <v>0</v>
      </c>
      <c r="AA153" s="25">
        <v>0</v>
      </c>
      <c r="AB153" s="25">
        <v>0</v>
      </c>
      <c r="AC153" s="25">
        <v>0</v>
      </c>
      <c r="AD153" s="25">
        <v>0</v>
      </c>
      <c r="AE153" s="25">
        <v>0</v>
      </c>
      <c r="AF153" s="25">
        <v>0</v>
      </c>
      <c r="AG153" s="25">
        <v>0</v>
      </c>
      <c r="AH153" s="25">
        <v>0</v>
      </c>
      <c r="AI153" s="25">
        <v>0</v>
      </c>
      <c r="AJ153" s="25">
        <v>0</v>
      </c>
    </row>
    <row r="154" spans="1:36" x14ac:dyDescent="0.25">
      <c r="A154" t="s">
        <v>572</v>
      </c>
      <c r="B154" t="s">
        <v>305</v>
      </c>
      <c r="C154" s="25">
        <v>0</v>
      </c>
      <c r="D154" s="25">
        <v>0</v>
      </c>
      <c r="E154" s="25">
        <v>0</v>
      </c>
      <c r="F154" s="25">
        <v>0</v>
      </c>
      <c r="G154" s="25">
        <v>0</v>
      </c>
      <c r="H154" s="25">
        <v>0</v>
      </c>
      <c r="I154" s="25">
        <v>0</v>
      </c>
      <c r="J154" s="25">
        <v>0</v>
      </c>
      <c r="K154" s="25">
        <v>0</v>
      </c>
      <c r="L154" s="25">
        <v>0</v>
      </c>
      <c r="M154" s="25">
        <v>0</v>
      </c>
      <c r="N154" s="25">
        <v>0</v>
      </c>
      <c r="O154" s="25">
        <v>0</v>
      </c>
      <c r="P154" s="25">
        <v>0</v>
      </c>
      <c r="Q154" s="25">
        <v>0</v>
      </c>
      <c r="R154" s="25">
        <v>0</v>
      </c>
      <c r="S154" s="25">
        <v>0</v>
      </c>
      <c r="T154" s="25">
        <v>0</v>
      </c>
      <c r="U154" s="25">
        <v>0</v>
      </c>
      <c r="V154" s="25">
        <v>0</v>
      </c>
      <c r="W154" s="25">
        <v>0</v>
      </c>
      <c r="X154" s="25">
        <v>0</v>
      </c>
      <c r="Y154" s="25">
        <v>0</v>
      </c>
      <c r="Z154" s="25">
        <v>0</v>
      </c>
      <c r="AA154" s="25">
        <v>0</v>
      </c>
      <c r="AB154" s="25">
        <v>0</v>
      </c>
      <c r="AC154" s="25">
        <v>0</v>
      </c>
      <c r="AD154" s="25">
        <v>0</v>
      </c>
      <c r="AE154" s="25">
        <v>0</v>
      </c>
      <c r="AF154" s="25">
        <v>0</v>
      </c>
      <c r="AG154" s="25">
        <v>0</v>
      </c>
      <c r="AH154" s="25">
        <v>0</v>
      </c>
      <c r="AI154" s="25">
        <v>0</v>
      </c>
      <c r="AJ154" s="25">
        <v>0</v>
      </c>
    </row>
    <row r="155" spans="1:36" x14ac:dyDescent="0.25">
      <c r="A155" t="s">
        <v>573</v>
      </c>
      <c r="B155" t="s">
        <v>305</v>
      </c>
      <c r="C155" s="25">
        <v>0</v>
      </c>
      <c r="D155" s="25">
        <v>0</v>
      </c>
      <c r="E155" s="25">
        <v>0</v>
      </c>
      <c r="F155" s="25">
        <v>0</v>
      </c>
      <c r="G155" s="25">
        <v>0</v>
      </c>
      <c r="H155" s="25">
        <v>0</v>
      </c>
      <c r="I155" s="25">
        <v>0</v>
      </c>
      <c r="J155" s="25">
        <v>0</v>
      </c>
      <c r="K155" s="25">
        <v>0</v>
      </c>
      <c r="L155" s="25">
        <v>0</v>
      </c>
      <c r="M155" s="25">
        <v>0</v>
      </c>
      <c r="N155" s="25">
        <v>0</v>
      </c>
      <c r="O155" s="25">
        <v>0</v>
      </c>
      <c r="P155" s="25">
        <v>0</v>
      </c>
      <c r="Q155" s="25">
        <v>0</v>
      </c>
      <c r="R155" s="25">
        <v>0</v>
      </c>
      <c r="S155" s="25">
        <v>0</v>
      </c>
      <c r="T155" s="25">
        <v>0</v>
      </c>
      <c r="U155" s="25">
        <v>0</v>
      </c>
      <c r="V155" s="25">
        <v>0</v>
      </c>
      <c r="W155" s="25">
        <v>0</v>
      </c>
      <c r="X155" s="25">
        <v>0</v>
      </c>
      <c r="Y155" s="25">
        <v>0</v>
      </c>
      <c r="Z155" s="25">
        <v>0</v>
      </c>
      <c r="AA155" s="25">
        <v>0</v>
      </c>
      <c r="AB155" s="25">
        <v>0</v>
      </c>
      <c r="AC155" s="25">
        <v>0</v>
      </c>
      <c r="AD155" s="25">
        <v>0</v>
      </c>
      <c r="AE155" s="25">
        <v>0</v>
      </c>
      <c r="AF155" s="25">
        <v>0</v>
      </c>
      <c r="AG155" s="25">
        <v>0</v>
      </c>
      <c r="AH155" s="25">
        <v>0</v>
      </c>
      <c r="AI155" s="25">
        <v>0</v>
      </c>
      <c r="AJ155" s="25">
        <v>0</v>
      </c>
    </row>
    <row r="156" spans="1:36" x14ac:dyDescent="0.25">
      <c r="A156" t="s">
        <v>574</v>
      </c>
      <c r="B156" t="s">
        <v>305</v>
      </c>
      <c r="C156" s="25">
        <v>100</v>
      </c>
      <c r="D156" s="25">
        <v>100</v>
      </c>
      <c r="E156" s="25">
        <v>100</v>
      </c>
      <c r="F156" s="25">
        <v>100</v>
      </c>
      <c r="G156" s="25">
        <v>100</v>
      </c>
      <c r="H156" s="25">
        <v>100</v>
      </c>
      <c r="I156" s="25">
        <v>100</v>
      </c>
      <c r="J156" s="25">
        <v>100</v>
      </c>
      <c r="K156" s="25">
        <v>100</v>
      </c>
      <c r="L156" s="25">
        <v>100</v>
      </c>
      <c r="M156" s="25">
        <v>100</v>
      </c>
      <c r="N156" s="25">
        <v>100</v>
      </c>
      <c r="O156" s="25">
        <v>100</v>
      </c>
      <c r="P156" s="25">
        <v>100</v>
      </c>
      <c r="Q156" s="25">
        <v>100</v>
      </c>
      <c r="R156" s="25">
        <v>100</v>
      </c>
      <c r="S156" s="25">
        <v>100</v>
      </c>
      <c r="T156" s="25">
        <v>100</v>
      </c>
      <c r="U156" s="25">
        <v>100</v>
      </c>
      <c r="V156" s="25">
        <v>100</v>
      </c>
      <c r="W156" s="25">
        <v>100</v>
      </c>
      <c r="X156" s="25">
        <v>100</v>
      </c>
      <c r="Y156" s="25">
        <v>100</v>
      </c>
      <c r="Z156" s="25">
        <v>100</v>
      </c>
      <c r="AA156" s="25">
        <v>100</v>
      </c>
      <c r="AB156" s="25">
        <v>100</v>
      </c>
      <c r="AC156" s="25">
        <v>100</v>
      </c>
      <c r="AD156" s="25">
        <v>100</v>
      </c>
      <c r="AE156" s="25">
        <v>100</v>
      </c>
      <c r="AF156" s="25">
        <v>100</v>
      </c>
      <c r="AG156" s="25">
        <v>100</v>
      </c>
      <c r="AH156" s="25">
        <v>100</v>
      </c>
      <c r="AI156" s="25">
        <v>100</v>
      </c>
      <c r="AJ156" s="25">
        <v>100</v>
      </c>
    </row>
    <row r="157" spans="1:36" x14ac:dyDescent="0.25">
      <c r="A157" t="s">
        <v>771</v>
      </c>
      <c r="B157" t="s">
        <v>305</v>
      </c>
      <c r="C157" s="25">
        <v>0</v>
      </c>
      <c r="D157" s="25">
        <v>0</v>
      </c>
      <c r="E157" s="25">
        <v>0</v>
      </c>
      <c r="F157" s="25">
        <v>0</v>
      </c>
      <c r="G157" s="25">
        <v>0</v>
      </c>
      <c r="H157" s="25">
        <v>0</v>
      </c>
      <c r="I157" s="25">
        <v>0</v>
      </c>
      <c r="J157" s="25">
        <v>0</v>
      </c>
      <c r="K157" s="25">
        <v>0</v>
      </c>
      <c r="L157" s="25">
        <v>0</v>
      </c>
      <c r="M157" s="25">
        <v>0</v>
      </c>
      <c r="N157" s="25">
        <v>0</v>
      </c>
      <c r="O157" s="25">
        <v>0</v>
      </c>
      <c r="P157" s="25">
        <v>0</v>
      </c>
      <c r="Q157" s="25">
        <v>0</v>
      </c>
      <c r="R157" s="25">
        <v>0</v>
      </c>
      <c r="S157" s="25">
        <v>0</v>
      </c>
      <c r="T157" s="25">
        <v>0</v>
      </c>
      <c r="U157" s="25">
        <v>0</v>
      </c>
      <c r="V157" s="25">
        <v>0</v>
      </c>
      <c r="W157" s="25">
        <v>0</v>
      </c>
      <c r="X157" s="25">
        <v>0</v>
      </c>
      <c r="Y157" s="25">
        <v>0</v>
      </c>
      <c r="Z157" s="25">
        <v>0</v>
      </c>
      <c r="AA157" s="25">
        <v>0</v>
      </c>
      <c r="AB157" s="25">
        <v>0</v>
      </c>
      <c r="AC157" s="25">
        <v>0</v>
      </c>
      <c r="AD157" s="25">
        <v>0</v>
      </c>
      <c r="AE157" s="25">
        <v>0</v>
      </c>
      <c r="AF157" s="25">
        <v>0</v>
      </c>
      <c r="AG157" s="25">
        <v>0</v>
      </c>
      <c r="AH157" s="25">
        <v>0</v>
      </c>
      <c r="AI157" s="25">
        <v>0</v>
      </c>
      <c r="AJ157" s="25">
        <v>0</v>
      </c>
    </row>
    <row r="158" spans="1:36" s="80" customFormat="1" x14ac:dyDescent="0.25">
      <c r="A158" s="80" t="s">
        <v>789</v>
      </c>
      <c r="C158" s="81">
        <f>+SUM(C147:C157)</f>
        <v>100</v>
      </c>
      <c r="D158" s="81">
        <f t="shared" ref="D158" si="298">+SUM(D147:D157)</f>
        <v>100</v>
      </c>
      <c r="E158" s="81">
        <f t="shared" ref="E158" si="299">+SUM(E147:E157)</f>
        <v>100</v>
      </c>
      <c r="F158" s="81">
        <f t="shared" ref="F158" si="300">+SUM(F147:F157)</f>
        <v>100</v>
      </c>
      <c r="G158" s="81">
        <f t="shared" ref="G158" si="301">+SUM(G147:G157)</f>
        <v>100</v>
      </c>
      <c r="H158" s="81">
        <f t="shared" ref="H158" si="302">+SUM(H147:H157)</f>
        <v>100</v>
      </c>
      <c r="I158" s="81">
        <f t="shared" ref="I158" si="303">+SUM(I147:I157)</f>
        <v>100</v>
      </c>
      <c r="J158" s="81">
        <f t="shared" ref="J158" si="304">+SUM(J147:J157)</f>
        <v>100</v>
      </c>
      <c r="K158" s="81">
        <f t="shared" ref="K158" si="305">+SUM(K147:K157)</f>
        <v>100</v>
      </c>
      <c r="L158" s="81">
        <f t="shared" ref="L158" si="306">+SUM(L147:L157)</f>
        <v>100</v>
      </c>
      <c r="M158" s="81">
        <f t="shared" ref="M158" si="307">+SUM(M147:M157)</f>
        <v>100</v>
      </c>
      <c r="N158" s="81">
        <f t="shared" ref="N158" si="308">+SUM(N147:N157)</f>
        <v>100</v>
      </c>
      <c r="O158" s="81">
        <f t="shared" ref="O158" si="309">+SUM(O147:O157)</f>
        <v>100</v>
      </c>
      <c r="P158" s="81">
        <f t="shared" ref="P158" si="310">+SUM(P147:P157)</f>
        <v>100</v>
      </c>
      <c r="Q158" s="81">
        <f t="shared" ref="Q158" si="311">+SUM(Q147:Q157)</f>
        <v>100</v>
      </c>
      <c r="R158" s="81">
        <f t="shared" ref="R158" si="312">+SUM(R147:R157)</f>
        <v>100</v>
      </c>
      <c r="S158" s="81">
        <f t="shared" ref="S158" si="313">+SUM(S147:S157)</f>
        <v>100</v>
      </c>
      <c r="T158" s="81">
        <f t="shared" ref="T158" si="314">+SUM(T147:T157)</f>
        <v>100</v>
      </c>
      <c r="U158" s="81">
        <f t="shared" ref="U158" si="315">+SUM(U147:U157)</f>
        <v>100</v>
      </c>
      <c r="V158" s="81">
        <f t="shared" ref="V158" si="316">+SUM(V147:V157)</f>
        <v>100</v>
      </c>
      <c r="W158" s="81">
        <f t="shared" ref="W158" si="317">+SUM(W147:W157)</f>
        <v>100</v>
      </c>
      <c r="X158" s="81">
        <f t="shared" ref="X158" si="318">+SUM(X147:X157)</f>
        <v>100</v>
      </c>
      <c r="Y158" s="81">
        <f t="shared" ref="Y158" si="319">+SUM(Y147:Y157)</f>
        <v>100</v>
      </c>
      <c r="Z158" s="81">
        <f t="shared" ref="Z158" si="320">+SUM(Z147:Z157)</f>
        <v>100</v>
      </c>
      <c r="AA158" s="81">
        <f t="shared" ref="AA158" si="321">+SUM(AA147:AA157)</f>
        <v>100</v>
      </c>
      <c r="AB158" s="81">
        <f t="shared" ref="AB158" si="322">+SUM(AB147:AB157)</f>
        <v>100</v>
      </c>
      <c r="AC158" s="81">
        <f t="shared" ref="AC158" si="323">+SUM(AC147:AC157)</f>
        <v>100</v>
      </c>
      <c r="AD158" s="81">
        <f t="shared" ref="AD158" si="324">+SUM(AD147:AD157)</f>
        <v>100</v>
      </c>
      <c r="AE158" s="81">
        <f t="shared" ref="AE158" si="325">+SUM(AE147:AE157)</f>
        <v>100</v>
      </c>
      <c r="AF158" s="81">
        <f t="shared" ref="AF158" si="326">+SUM(AF147:AF157)</f>
        <v>100</v>
      </c>
      <c r="AG158" s="81">
        <f t="shared" ref="AG158" si="327">+SUM(AG147:AG157)</f>
        <v>100</v>
      </c>
      <c r="AH158" s="81">
        <f t="shared" ref="AH158" si="328">+SUM(AH147:AH157)</f>
        <v>100</v>
      </c>
      <c r="AI158" s="81">
        <f t="shared" ref="AI158" si="329">+SUM(AI147:AI157)</f>
        <v>100</v>
      </c>
      <c r="AJ158" s="81">
        <f t="shared" ref="AJ158" si="330">+SUM(AJ147:AJ157)</f>
        <v>100</v>
      </c>
    </row>
    <row r="159" spans="1:36" s="78" customFormat="1" ht="15.75" x14ac:dyDescent="0.25">
      <c r="A159" s="76" t="s">
        <v>785</v>
      </c>
      <c r="B159" s="77"/>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76"/>
      <c r="AI159" s="76"/>
      <c r="AJ159" s="76"/>
    </row>
    <row r="160" spans="1:36" x14ac:dyDescent="0.25">
      <c r="A160" s="79" t="s">
        <v>575</v>
      </c>
      <c r="B160" t="s">
        <v>305</v>
      </c>
      <c r="C160" s="25">
        <v>71</v>
      </c>
      <c r="D160" s="25">
        <v>71</v>
      </c>
      <c r="E160" s="25">
        <v>71</v>
      </c>
      <c r="F160" s="25">
        <v>71</v>
      </c>
      <c r="G160" s="25">
        <v>71</v>
      </c>
      <c r="H160" s="25">
        <v>71</v>
      </c>
      <c r="I160" s="25">
        <v>71</v>
      </c>
      <c r="J160" s="25">
        <v>71</v>
      </c>
      <c r="K160" s="25">
        <v>71</v>
      </c>
      <c r="L160" s="25">
        <v>71</v>
      </c>
      <c r="M160" s="25">
        <v>71</v>
      </c>
      <c r="N160" s="25">
        <v>71</v>
      </c>
      <c r="O160" s="25">
        <v>71</v>
      </c>
      <c r="P160" s="25">
        <v>71</v>
      </c>
      <c r="Q160" s="25">
        <v>71</v>
      </c>
      <c r="R160" s="25">
        <v>71</v>
      </c>
      <c r="S160" s="25">
        <v>71</v>
      </c>
      <c r="T160" s="25">
        <v>71</v>
      </c>
      <c r="U160" s="25">
        <v>71</v>
      </c>
      <c r="V160" s="25">
        <v>71</v>
      </c>
      <c r="W160" s="25">
        <v>71</v>
      </c>
      <c r="X160" s="25">
        <v>71</v>
      </c>
      <c r="Y160" s="25">
        <v>71</v>
      </c>
      <c r="Z160" s="25">
        <v>71</v>
      </c>
      <c r="AA160" s="25">
        <v>71</v>
      </c>
      <c r="AB160" s="25">
        <v>71</v>
      </c>
      <c r="AC160" s="25">
        <v>71</v>
      </c>
      <c r="AD160" s="25">
        <v>71</v>
      </c>
      <c r="AE160" s="25">
        <v>71</v>
      </c>
      <c r="AF160" s="25">
        <v>71</v>
      </c>
      <c r="AG160" s="25">
        <v>71</v>
      </c>
      <c r="AH160" s="25">
        <v>71</v>
      </c>
      <c r="AI160" s="25">
        <v>71</v>
      </c>
      <c r="AJ160" s="25">
        <v>71</v>
      </c>
    </row>
    <row r="161" spans="1:36" x14ac:dyDescent="0.25">
      <c r="A161" s="79" t="s">
        <v>576</v>
      </c>
      <c r="B161" t="s">
        <v>305</v>
      </c>
      <c r="C161" s="25">
        <v>11</v>
      </c>
      <c r="D161" s="25">
        <v>11</v>
      </c>
      <c r="E161" s="25">
        <v>11</v>
      </c>
      <c r="F161" s="25">
        <v>11</v>
      </c>
      <c r="G161" s="25">
        <v>11</v>
      </c>
      <c r="H161" s="25">
        <v>11</v>
      </c>
      <c r="I161" s="25">
        <v>11</v>
      </c>
      <c r="J161" s="25">
        <v>11</v>
      </c>
      <c r="K161" s="25">
        <v>11</v>
      </c>
      <c r="L161" s="25">
        <v>11</v>
      </c>
      <c r="M161" s="25">
        <v>11</v>
      </c>
      <c r="N161" s="25">
        <v>11</v>
      </c>
      <c r="O161" s="25">
        <v>11</v>
      </c>
      <c r="P161" s="25">
        <v>11</v>
      </c>
      <c r="Q161" s="25">
        <v>11</v>
      </c>
      <c r="R161" s="25">
        <v>11</v>
      </c>
      <c r="S161" s="25">
        <v>11</v>
      </c>
      <c r="T161" s="25">
        <v>11</v>
      </c>
      <c r="U161" s="25">
        <v>11</v>
      </c>
      <c r="V161" s="25">
        <v>11</v>
      </c>
      <c r="W161" s="25">
        <v>11</v>
      </c>
      <c r="X161" s="25">
        <v>11</v>
      </c>
      <c r="Y161" s="25">
        <v>11</v>
      </c>
      <c r="Z161" s="25">
        <v>11</v>
      </c>
      <c r="AA161" s="25">
        <v>11</v>
      </c>
      <c r="AB161" s="25">
        <v>11</v>
      </c>
      <c r="AC161" s="25">
        <v>11</v>
      </c>
      <c r="AD161" s="25">
        <v>11</v>
      </c>
      <c r="AE161" s="25">
        <v>11</v>
      </c>
      <c r="AF161" s="25">
        <v>11</v>
      </c>
      <c r="AG161" s="25">
        <v>11</v>
      </c>
      <c r="AH161" s="25">
        <v>11</v>
      </c>
      <c r="AI161" s="25">
        <v>11</v>
      </c>
      <c r="AJ161" s="25">
        <v>11</v>
      </c>
    </row>
    <row r="162" spans="1:36" x14ac:dyDescent="0.25">
      <c r="A162" s="79" t="s">
        <v>577</v>
      </c>
      <c r="B162" t="s">
        <v>305</v>
      </c>
      <c r="C162" s="25">
        <v>13</v>
      </c>
      <c r="D162" s="25">
        <v>13</v>
      </c>
      <c r="E162" s="25">
        <v>13</v>
      </c>
      <c r="F162" s="25">
        <v>13</v>
      </c>
      <c r="G162" s="25">
        <v>13</v>
      </c>
      <c r="H162" s="25">
        <v>13</v>
      </c>
      <c r="I162" s="25">
        <v>13</v>
      </c>
      <c r="J162" s="25">
        <v>13</v>
      </c>
      <c r="K162" s="25">
        <v>13</v>
      </c>
      <c r="L162" s="25">
        <v>13</v>
      </c>
      <c r="M162" s="25">
        <v>13</v>
      </c>
      <c r="N162" s="25">
        <v>13</v>
      </c>
      <c r="O162" s="25">
        <v>13</v>
      </c>
      <c r="P162" s="25">
        <v>13</v>
      </c>
      <c r="Q162" s="25">
        <v>13</v>
      </c>
      <c r="R162" s="25">
        <v>13</v>
      </c>
      <c r="S162" s="25">
        <v>13</v>
      </c>
      <c r="T162" s="25">
        <v>13</v>
      </c>
      <c r="U162" s="25">
        <v>13</v>
      </c>
      <c r="V162" s="25">
        <v>13</v>
      </c>
      <c r="W162" s="25">
        <v>13</v>
      </c>
      <c r="X162" s="25">
        <v>13</v>
      </c>
      <c r="Y162" s="25">
        <v>13</v>
      </c>
      <c r="Z162" s="25">
        <v>13</v>
      </c>
      <c r="AA162" s="25">
        <v>13</v>
      </c>
      <c r="AB162" s="25">
        <v>13</v>
      </c>
      <c r="AC162" s="25">
        <v>13</v>
      </c>
      <c r="AD162" s="25">
        <v>13</v>
      </c>
      <c r="AE162" s="25">
        <v>13</v>
      </c>
      <c r="AF162" s="25">
        <v>13</v>
      </c>
      <c r="AG162" s="25">
        <v>13</v>
      </c>
      <c r="AH162" s="25">
        <v>13</v>
      </c>
      <c r="AI162" s="25">
        <v>13</v>
      </c>
      <c r="AJ162" s="25">
        <v>13</v>
      </c>
    </row>
    <row r="163" spans="1:36" x14ac:dyDescent="0.25">
      <c r="A163" s="79" t="s">
        <v>578</v>
      </c>
      <c r="B163" t="s">
        <v>305</v>
      </c>
      <c r="C163" s="25">
        <v>0</v>
      </c>
      <c r="D163" s="25">
        <v>0</v>
      </c>
      <c r="E163" s="25">
        <v>0</v>
      </c>
      <c r="F163" s="25">
        <v>0</v>
      </c>
      <c r="G163" s="25">
        <v>0</v>
      </c>
      <c r="H163" s="25">
        <v>0</v>
      </c>
      <c r="I163" s="25">
        <v>0</v>
      </c>
      <c r="J163" s="25">
        <v>0</v>
      </c>
      <c r="K163" s="25">
        <v>0</v>
      </c>
      <c r="L163" s="25">
        <v>0</v>
      </c>
      <c r="M163" s="25">
        <v>0</v>
      </c>
      <c r="N163" s="25">
        <v>0</v>
      </c>
      <c r="O163" s="25">
        <v>0</v>
      </c>
      <c r="P163" s="25">
        <v>0</v>
      </c>
      <c r="Q163" s="25">
        <v>0</v>
      </c>
      <c r="R163" s="25">
        <v>0</v>
      </c>
      <c r="S163" s="25">
        <v>0</v>
      </c>
      <c r="T163" s="25">
        <v>0</v>
      </c>
      <c r="U163" s="25">
        <v>0</v>
      </c>
      <c r="V163" s="25">
        <v>0</v>
      </c>
      <c r="W163" s="25">
        <v>0</v>
      </c>
      <c r="X163" s="25">
        <v>0</v>
      </c>
      <c r="Y163" s="25">
        <v>0</v>
      </c>
      <c r="Z163" s="25">
        <v>0</v>
      </c>
      <c r="AA163" s="25">
        <v>0</v>
      </c>
      <c r="AB163" s="25">
        <v>0</v>
      </c>
      <c r="AC163" s="25">
        <v>0</v>
      </c>
      <c r="AD163" s="25">
        <v>0</v>
      </c>
      <c r="AE163" s="25">
        <v>0</v>
      </c>
      <c r="AF163" s="25">
        <v>0</v>
      </c>
      <c r="AG163" s="25">
        <v>0</v>
      </c>
      <c r="AH163" s="25">
        <v>0</v>
      </c>
      <c r="AI163" s="25">
        <v>0</v>
      </c>
      <c r="AJ163" s="25">
        <v>0</v>
      </c>
    </row>
    <row r="164" spans="1:36" x14ac:dyDescent="0.25">
      <c r="A164" s="79" t="s">
        <v>579</v>
      </c>
      <c r="B164" t="s">
        <v>305</v>
      </c>
      <c r="C164" s="25">
        <v>3</v>
      </c>
      <c r="D164" s="25">
        <v>3</v>
      </c>
      <c r="E164" s="25">
        <v>3</v>
      </c>
      <c r="F164" s="25">
        <v>3</v>
      </c>
      <c r="G164" s="25">
        <v>3</v>
      </c>
      <c r="H164" s="25">
        <v>3</v>
      </c>
      <c r="I164" s="25">
        <v>3</v>
      </c>
      <c r="J164" s="25">
        <v>3</v>
      </c>
      <c r="K164" s="25">
        <v>3</v>
      </c>
      <c r="L164" s="25">
        <v>3</v>
      </c>
      <c r="M164" s="25">
        <v>3</v>
      </c>
      <c r="N164" s="25">
        <v>3</v>
      </c>
      <c r="O164" s="25">
        <v>3</v>
      </c>
      <c r="P164" s="25">
        <v>3</v>
      </c>
      <c r="Q164" s="25">
        <v>3</v>
      </c>
      <c r="R164" s="25">
        <v>3</v>
      </c>
      <c r="S164" s="25">
        <v>3</v>
      </c>
      <c r="T164" s="25">
        <v>3</v>
      </c>
      <c r="U164" s="25">
        <v>3</v>
      </c>
      <c r="V164" s="25">
        <v>3</v>
      </c>
      <c r="W164" s="25">
        <v>3</v>
      </c>
      <c r="X164" s="25">
        <v>3</v>
      </c>
      <c r="Y164" s="25">
        <v>3</v>
      </c>
      <c r="Z164" s="25">
        <v>3</v>
      </c>
      <c r="AA164" s="25">
        <v>3</v>
      </c>
      <c r="AB164" s="25">
        <v>3</v>
      </c>
      <c r="AC164" s="25">
        <v>3</v>
      </c>
      <c r="AD164" s="25">
        <v>3</v>
      </c>
      <c r="AE164" s="25">
        <v>3</v>
      </c>
      <c r="AF164" s="25">
        <v>3</v>
      </c>
      <c r="AG164" s="25">
        <v>3</v>
      </c>
      <c r="AH164" s="25">
        <v>3</v>
      </c>
      <c r="AI164" s="25">
        <v>3</v>
      </c>
      <c r="AJ164" s="25">
        <v>3</v>
      </c>
    </row>
    <row r="165" spans="1:36" x14ac:dyDescent="0.25">
      <c r="A165" s="79" t="s">
        <v>580</v>
      </c>
      <c r="B165" t="s">
        <v>305</v>
      </c>
      <c r="C165" s="25">
        <v>2</v>
      </c>
      <c r="D165" s="25">
        <v>2</v>
      </c>
      <c r="E165" s="25">
        <v>2</v>
      </c>
      <c r="F165" s="25">
        <v>2</v>
      </c>
      <c r="G165" s="25">
        <v>2</v>
      </c>
      <c r="H165" s="25">
        <v>2</v>
      </c>
      <c r="I165" s="25">
        <v>2</v>
      </c>
      <c r="J165" s="25">
        <v>2</v>
      </c>
      <c r="K165" s="25">
        <v>2</v>
      </c>
      <c r="L165" s="25">
        <v>2</v>
      </c>
      <c r="M165" s="25">
        <v>2</v>
      </c>
      <c r="N165" s="25">
        <v>2</v>
      </c>
      <c r="O165" s="25">
        <v>2</v>
      </c>
      <c r="P165" s="25">
        <v>2</v>
      </c>
      <c r="Q165" s="25">
        <v>2</v>
      </c>
      <c r="R165" s="25">
        <v>2</v>
      </c>
      <c r="S165" s="25">
        <v>2</v>
      </c>
      <c r="T165" s="25">
        <v>2</v>
      </c>
      <c r="U165" s="25">
        <v>2</v>
      </c>
      <c r="V165" s="25">
        <v>2</v>
      </c>
      <c r="W165" s="25">
        <v>2</v>
      </c>
      <c r="X165" s="25">
        <v>2</v>
      </c>
      <c r="Y165" s="25">
        <v>2</v>
      </c>
      <c r="Z165" s="25">
        <v>2</v>
      </c>
      <c r="AA165" s="25">
        <v>2</v>
      </c>
      <c r="AB165" s="25">
        <v>2</v>
      </c>
      <c r="AC165" s="25">
        <v>2</v>
      </c>
      <c r="AD165" s="25">
        <v>2</v>
      </c>
      <c r="AE165" s="25">
        <v>2</v>
      </c>
      <c r="AF165" s="25">
        <v>2</v>
      </c>
      <c r="AG165" s="25">
        <v>2</v>
      </c>
      <c r="AH165" s="25">
        <v>2</v>
      </c>
      <c r="AI165" s="25">
        <v>2</v>
      </c>
      <c r="AJ165" s="25">
        <v>2</v>
      </c>
    </row>
    <row r="166" spans="1:36" x14ac:dyDescent="0.25">
      <c r="A166" s="79" t="s">
        <v>581</v>
      </c>
      <c r="B166" t="s">
        <v>305</v>
      </c>
      <c r="C166" s="25">
        <v>0</v>
      </c>
      <c r="D166" s="25">
        <v>0</v>
      </c>
      <c r="E166" s="25">
        <v>0</v>
      </c>
      <c r="F166" s="25">
        <v>0</v>
      </c>
      <c r="G166" s="25">
        <v>0</v>
      </c>
      <c r="H166" s="25">
        <v>0</v>
      </c>
      <c r="I166" s="25">
        <v>0</v>
      </c>
      <c r="J166" s="25">
        <v>0</v>
      </c>
      <c r="K166" s="25">
        <v>0</v>
      </c>
      <c r="L166" s="25">
        <v>0</v>
      </c>
      <c r="M166" s="25">
        <v>0</v>
      </c>
      <c r="N166" s="25">
        <v>0</v>
      </c>
      <c r="O166" s="25">
        <v>0</v>
      </c>
      <c r="P166" s="25">
        <v>0</v>
      </c>
      <c r="Q166" s="25">
        <v>0</v>
      </c>
      <c r="R166" s="25">
        <v>0</v>
      </c>
      <c r="S166" s="25">
        <v>0</v>
      </c>
      <c r="T166" s="25">
        <v>0</v>
      </c>
      <c r="U166" s="25">
        <v>0</v>
      </c>
      <c r="V166" s="25">
        <v>0</v>
      </c>
      <c r="W166" s="25">
        <v>0</v>
      </c>
      <c r="X166" s="25">
        <v>0</v>
      </c>
      <c r="Y166" s="25">
        <v>0</v>
      </c>
      <c r="Z166" s="25">
        <v>0</v>
      </c>
      <c r="AA166" s="25">
        <v>0</v>
      </c>
      <c r="AB166" s="25">
        <v>0</v>
      </c>
      <c r="AC166" s="25">
        <v>0</v>
      </c>
      <c r="AD166" s="25">
        <v>0</v>
      </c>
      <c r="AE166" s="25">
        <v>0</v>
      </c>
      <c r="AF166" s="25">
        <v>0</v>
      </c>
      <c r="AG166" s="25">
        <v>0</v>
      </c>
      <c r="AH166" s="25">
        <v>0</v>
      </c>
      <c r="AI166" s="25">
        <v>0</v>
      </c>
      <c r="AJ166" s="25">
        <v>0</v>
      </c>
    </row>
    <row r="167" spans="1:36" x14ac:dyDescent="0.25">
      <c r="A167" s="79" t="s">
        <v>582</v>
      </c>
      <c r="B167" t="s">
        <v>305</v>
      </c>
      <c r="C167" s="25">
        <v>0</v>
      </c>
      <c r="D167" s="25">
        <v>0</v>
      </c>
      <c r="E167" s="25">
        <v>0</v>
      </c>
      <c r="F167" s="25">
        <v>0</v>
      </c>
      <c r="G167" s="25">
        <v>0</v>
      </c>
      <c r="H167" s="25">
        <v>0</v>
      </c>
      <c r="I167" s="25">
        <v>0</v>
      </c>
      <c r="J167" s="25">
        <v>0</v>
      </c>
      <c r="K167" s="25">
        <v>0</v>
      </c>
      <c r="L167" s="25">
        <v>0</v>
      </c>
      <c r="M167" s="25">
        <v>0</v>
      </c>
      <c r="N167" s="25">
        <v>0</v>
      </c>
      <c r="O167" s="25">
        <v>0</v>
      </c>
      <c r="P167" s="25">
        <v>0</v>
      </c>
      <c r="Q167" s="25">
        <v>0</v>
      </c>
      <c r="R167" s="25">
        <v>0</v>
      </c>
      <c r="S167" s="25">
        <v>0</v>
      </c>
      <c r="T167" s="25">
        <v>0</v>
      </c>
      <c r="U167" s="25">
        <v>0</v>
      </c>
      <c r="V167" s="25">
        <v>0</v>
      </c>
      <c r="W167" s="25">
        <v>0</v>
      </c>
      <c r="X167" s="25">
        <v>0</v>
      </c>
      <c r="Y167" s="25">
        <v>0</v>
      </c>
      <c r="Z167" s="25">
        <v>0</v>
      </c>
      <c r="AA167" s="25">
        <v>0</v>
      </c>
      <c r="AB167" s="25">
        <v>0</v>
      </c>
      <c r="AC167" s="25">
        <v>0</v>
      </c>
      <c r="AD167" s="25">
        <v>0</v>
      </c>
      <c r="AE167" s="25">
        <v>0</v>
      </c>
      <c r="AF167" s="25">
        <v>0</v>
      </c>
      <c r="AG167" s="25">
        <v>0</v>
      </c>
      <c r="AH167" s="25">
        <v>0</v>
      </c>
      <c r="AI167" s="25">
        <v>0</v>
      </c>
      <c r="AJ167" s="25">
        <v>0</v>
      </c>
    </row>
    <row r="168" spans="1:36" x14ac:dyDescent="0.25">
      <c r="A168" s="79" t="s">
        <v>583</v>
      </c>
      <c r="B168" t="s">
        <v>305</v>
      </c>
      <c r="C168" s="25">
        <v>0</v>
      </c>
      <c r="D168" s="25">
        <v>0</v>
      </c>
      <c r="E168" s="25">
        <v>0</v>
      </c>
      <c r="F168" s="25">
        <v>0</v>
      </c>
      <c r="G168" s="25">
        <v>0</v>
      </c>
      <c r="H168" s="25">
        <v>0</v>
      </c>
      <c r="I168" s="25">
        <v>0</v>
      </c>
      <c r="J168" s="25">
        <v>0</v>
      </c>
      <c r="K168" s="25">
        <v>0</v>
      </c>
      <c r="L168" s="25">
        <v>0</v>
      </c>
      <c r="M168" s="25">
        <v>0</v>
      </c>
      <c r="N168" s="25">
        <v>0</v>
      </c>
      <c r="O168" s="25">
        <v>0</v>
      </c>
      <c r="P168" s="25">
        <v>0</v>
      </c>
      <c r="Q168" s="25">
        <v>0</v>
      </c>
      <c r="R168" s="25">
        <v>0</v>
      </c>
      <c r="S168" s="25">
        <v>0</v>
      </c>
      <c r="T168" s="25">
        <v>0</v>
      </c>
      <c r="U168" s="25">
        <v>0</v>
      </c>
      <c r="V168" s="25">
        <v>0</v>
      </c>
      <c r="W168" s="25">
        <v>0</v>
      </c>
      <c r="X168" s="25">
        <v>0</v>
      </c>
      <c r="Y168" s="25">
        <v>0</v>
      </c>
      <c r="Z168" s="25">
        <v>0</v>
      </c>
      <c r="AA168" s="25">
        <v>0</v>
      </c>
      <c r="AB168" s="25">
        <v>0</v>
      </c>
      <c r="AC168" s="25">
        <v>0</v>
      </c>
      <c r="AD168" s="25">
        <v>0</v>
      </c>
      <c r="AE168" s="25">
        <v>0</v>
      </c>
      <c r="AF168" s="25">
        <v>0</v>
      </c>
      <c r="AG168" s="25">
        <v>0</v>
      </c>
      <c r="AH168" s="25">
        <v>0</v>
      </c>
      <c r="AI168" s="25">
        <v>0</v>
      </c>
      <c r="AJ168" s="25">
        <v>0</v>
      </c>
    </row>
    <row r="169" spans="1:36" x14ac:dyDescent="0.25">
      <c r="A169" s="79" t="s">
        <v>584</v>
      </c>
      <c r="B169" t="s">
        <v>305</v>
      </c>
      <c r="C169" s="25">
        <v>0</v>
      </c>
      <c r="D169" s="25">
        <v>0</v>
      </c>
      <c r="E169" s="25">
        <v>0</v>
      </c>
      <c r="F169" s="25">
        <v>0</v>
      </c>
      <c r="G169" s="25">
        <v>0</v>
      </c>
      <c r="H169" s="25">
        <v>0</v>
      </c>
      <c r="I169" s="25">
        <v>0</v>
      </c>
      <c r="J169" s="25">
        <v>0</v>
      </c>
      <c r="K169" s="25">
        <v>0</v>
      </c>
      <c r="L169" s="25">
        <v>0</v>
      </c>
      <c r="M169" s="25">
        <v>0</v>
      </c>
      <c r="N169" s="25">
        <v>0</v>
      </c>
      <c r="O169" s="25">
        <v>0</v>
      </c>
      <c r="P169" s="25">
        <v>0</v>
      </c>
      <c r="Q169" s="25">
        <v>0</v>
      </c>
      <c r="R169" s="25">
        <v>0</v>
      </c>
      <c r="S169" s="25">
        <v>0</v>
      </c>
      <c r="T169" s="25">
        <v>0</v>
      </c>
      <c r="U169" s="25">
        <v>0</v>
      </c>
      <c r="V169" s="25">
        <v>0</v>
      </c>
      <c r="W169" s="25">
        <v>0</v>
      </c>
      <c r="X169" s="25">
        <v>0</v>
      </c>
      <c r="Y169" s="25">
        <v>0</v>
      </c>
      <c r="Z169" s="25">
        <v>0</v>
      </c>
      <c r="AA169" s="25">
        <v>0</v>
      </c>
      <c r="AB169" s="25">
        <v>0</v>
      </c>
      <c r="AC169" s="25">
        <v>0</v>
      </c>
      <c r="AD169" s="25">
        <v>0</v>
      </c>
      <c r="AE169" s="25">
        <v>0</v>
      </c>
      <c r="AF169" s="25">
        <v>0</v>
      </c>
      <c r="AG169" s="25">
        <v>0</v>
      </c>
      <c r="AH169" s="25">
        <v>0</v>
      </c>
      <c r="AI169" s="25">
        <v>0</v>
      </c>
      <c r="AJ169" s="25">
        <v>0</v>
      </c>
    </row>
    <row r="170" spans="1:36" x14ac:dyDescent="0.25">
      <c r="A170" s="79" t="s">
        <v>772</v>
      </c>
      <c r="B170" t="s">
        <v>305</v>
      </c>
      <c r="C170" s="25">
        <v>0</v>
      </c>
      <c r="D170" s="25">
        <v>0</v>
      </c>
      <c r="E170" s="25">
        <v>0</v>
      </c>
      <c r="F170" s="25">
        <v>0</v>
      </c>
      <c r="G170" s="25">
        <v>0</v>
      </c>
      <c r="H170" s="25">
        <v>0</v>
      </c>
      <c r="I170" s="25">
        <v>0</v>
      </c>
      <c r="J170" s="25">
        <v>0</v>
      </c>
      <c r="K170" s="25">
        <v>0</v>
      </c>
      <c r="L170" s="25">
        <v>0</v>
      </c>
      <c r="M170" s="25">
        <v>0</v>
      </c>
      <c r="N170" s="25">
        <v>0</v>
      </c>
      <c r="O170" s="25">
        <v>0</v>
      </c>
      <c r="P170" s="25">
        <v>0</v>
      </c>
      <c r="Q170" s="25">
        <v>0</v>
      </c>
      <c r="R170" s="25">
        <v>0</v>
      </c>
      <c r="S170" s="25">
        <v>0</v>
      </c>
      <c r="T170" s="25">
        <v>0</v>
      </c>
      <c r="U170" s="25">
        <v>0</v>
      </c>
      <c r="V170" s="25">
        <v>0</v>
      </c>
      <c r="W170" s="25">
        <v>0</v>
      </c>
      <c r="X170" s="25">
        <v>0</v>
      </c>
      <c r="Y170" s="25">
        <v>0</v>
      </c>
      <c r="Z170" s="25">
        <v>0</v>
      </c>
      <c r="AA170" s="25">
        <v>0</v>
      </c>
      <c r="AB170" s="25">
        <v>0</v>
      </c>
      <c r="AC170" s="25">
        <v>0</v>
      </c>
      <c r="AD170" s="25">
        <v>0</v>
      </c>
      <c r="AE170" s="25">
        <v>0</v>
      </c>
      <c r="AF170" s="25">
        <v>0</v>
      </c>
      <c r="AG170" s="25">
        <v>0</v>
      </c>
      <c r="AH170" s="25">
        <v>0</v>
      </c>
      <c r="AI170" s="25">
        <v>0</v>
      </c>
      <c r="AJ170" s="25">
        <v>0</v>
      </c>
    </row>
    <row r="171" spans="1:36" s="80" customFormat="1" x14ac:dyDescent="0.25">
      <c r="A171" s="80" t="s">
        <v>789</v>
      </c>
      <c r="C171" s="81">
        <f>+SUM(C160:C170)</f>
        <v>100</v>
      </c>
      <c r="D171" s="81">
        <f t="shared" ref="D171" si="331">+SUM(D160:D170)</f>
        <v>100</v>
      </c>
      <c r="E171" s="81">
        <f t="shared" ref="E171" si="332">+SUM(E160:E170)</f>
        <v>100</v>
      </c>
      <c r="F171" s="81">
        <f t="shared" ref="F171" si="333">+SUM(F160:F170)</f>
        <v>100</v>
      </c>
      <c r="G171" s="81">
        <f t="shared" ref="G171" si="334">+SUM(G160:G170)</f>
        <v>100</v>
      </c>
      <c r="H171" s="81">
        <f t="shared" ref="H171" si="335">+SUM(H160:H170)</f>
        <v>100</v>
      </c>
      <c r="I171" s="81">
        <f t="shared" ref="I171" si="336">+SUM(I160:I170)</f>
        <v>100</v>
      </c>
      <c r="J171" s="81">
        <f t="shared" ref="J171" si="337">+SUM(J160:J170)</f>
        <v>100</v>
      </c>
      <c r="K171" s="81">
        <f t="shared" ref="K171" si="338">+SUM(K160:K170)</f>
        <v>100</v>
      </c>
      <c r="L171" s="81">
        <f t="shared" ref="L171" si="339">+SUM(L160:L170)</f>
        <v>100</v>
      </c>
      <c r="M171" s="81">
        <f t="shared" ref="M171" si="340">+SUM(M160:M170)</f>
        <v>100</v>
      </c>
      <c r="N171" s="81">
        <f t="shared" ref="N171" si="341">+SUM(N160:N170)</f>
        <v>100</v>
      </c>
      <c r="O171" s="81">
        <f t="shared" ref="O171" si="342">+SUM(O160:O170)</f>
        <v>100</v>
      </c>
      <c r="P171" s="81">
        <f t="shared" ref="P171" si="343">+SUM(P160:P170)</f>
        <v>100</v>
      </c>
      <c r="Q171" s="81">
        <f t="shared" ref="Q171" si="344">+SUM(Q160:Q170)</f>
        <v>100</v>
      </c>
      <c r="R171" s="81">
        <f t="shared" ref="R171" si="345">+SUM(R160:R170)</f>
        <v>100</v>
      </c>
      <c r="S171" s="81">
        <f t="shared" ref="S171" si="346">+SUM(S160:S170)</f>
        <v>100</v>
      </c>
      <c r="T171" s="81">
        <f t="shared" ref="T171" si="347">+SUM(T160:T170)</f>
        <v>100</v>
      </c>
      <c r="U171" s="81">
        <f t="shared" ref="U171" si="348">+SUM(U160:U170)</f>
        <v>100</v>
      </c>
      <c r="V171" s="81">
        <f t="shared" ref="V171" si="349">+SUM(V160:V170)</f>
        <v>100</v>
      </c>
      <c r="W171" s="81">
        <f t="shared" ref="W171" si="350">+SUM(W160:W170)</f>
        <v>100</v>
      </c>
      <c r="X171" s="81">
        <f t="shared" ref="X171" si="351">+SUM(X160:X170)</f>
        <v>100</v>
      </c>
      <c r="Y171" s="81">
        <f t="shared" ref="Y171" si="352">+SUM(Y160:Y170)</f>
        <v>100</v>
      </c>
      <c r="Z171" s="81">
        <f t="shared" ref="Z171" si="353">+SUM(Z160:Z170)</f>
        <v>100</v>
      </c>
      <c r="AA171" s="81">
        <f t="shared" ref="AA171" si="354">+SUM(AA160:AA170)</f>
        <v>100</v>
      </c>
      <c r="AB171" s="81">
        <f t="shared" ref="AB171" si="355">+SUM(AB160:AB170)</f>
        <v>100</v>
      </c>
      <c r="AC171" s="81">
        <f t="shared" ref="AC171" si="356">+SUM(AC160:AC170)</f>
        <v>100</v>
      </c>
      <c r="AD171" s="81">
        <f t="shared" ref="AD171" si="357">+SUM(AD160:AD170)</f>
        <v>100</v>
      </c>
      <c r="AE171" s="81">
        <f t="shared" ref="AE171" si="358">+SUM(AE160:AE170)</f>
        <v>100</v>
      </c>
      <c r="AF171" s="81">
        <f t="shared" ref="AF171" si="359">+SUM(AF160:AF170)</f>
        <v>100</v>
      </c>
      <c r="AG171" s="81">
        <f t="shared" ref="AG171" si="360">+SUM(AG160:AG170)</f>
        <v>100</v>
      </c>
      <c r="AH171" s="81">
        <f t="shared" ref="AH171" si="361">+SUM(AH160:AH170)</f>
        <v>100</v>
      </c>
      <c r="AI171" s="81">
        <f t="shared" ref="AI171" si="362">+SUM(AI160:AI170)</f>
        <v>100</v>
      </c>
      <c r="AJ171" s="81">
        <f t="shared" ref="AJ171" si="363">+SUM(AJ160:AJ170)</f>
        <v>100</v>
      </c>
    </row>
    <row r="172" spans="1:36" x14ac:dyDescent="0.25">
      <c r="A172" t="s">
        <v>585</v>
      </c>
      <c r="B172" t="s">
        <v>305</v>
      </c>
      <c r="C172" s="25">
        <v>25</v>
      </c>
      <c r="D172" s="25">
        <v>25</v>
      </c>
      <c r="E172" s="25">
        <v>25</v>
      </c>
      <c r="F172" s="25">
        <v>25</v>
      </c>
      <c r="G172" s="25">
        <v>25</v>
      </c>
      <c r="H172" s="25">
        <v>25</v>
      </c>
      <c r="I172" s="25">
        <v>25</v>
      </c>
      <c r="J172" s="25">
        <v>25</v>
      </c>
      <c r="K172" s="25">
        <v>25</v>
      </c>
      <c r="L172" s="25">
        <v>25</v>
      </c>
      <c r="M172" s="25">
        <v>25</v>
      </c>
      <c r="N172" s="25">
        <v>25</v>
      </c>
      <c r="O172" s="25">
        <v>25</v>
      </c>
      <c r="P172" s="25">
        <v>25</v>
      </c>
      <c r="Q172" s="25">
        <v>25</v>
      </c>
      <c r="R172" s="25">
        <v>25</v>
      </c>
      <c r="S172" s="25">
        <v>25</v>
      </c>
      <c r="T172" s="25">
        <v>25</v>
      </c>
      <c r="U172" s="25">
        <v>25</v>
      </c>
      <c r="V172" s="25">
        <v>25</v>
      </c>
      <c r="W172" s="25">
        <v>25</v>
      </c>
      <c r="X172" s="25">
        <v>25</v>
      </c>
      <c r="Y172" s="25">
        <v>25</v>
      </c>
      <c r="Z172" s="25">
        <v>25</v>
      </c>
      <c r="AA172" s="25">
        <v>25</v>
      </c>
      <c r="AB172" s="25">
        <v>25</v>
      </c>
      <c r="AC172" s="25">
        <v>25</v>
      </c>
      <c r="AD172" s="25">
        <v>25</v>
      </c>
      <c r="AE172" s="25">
        <v>25</v>
      </c>
      <c r="AF172" s="25">
        <v>25</v>
      </c>
      <c r="AG172" s="25">
        <v>25</v>
      </c>
      <c r="AH172" s="25">
        <v>25</v>
      </c>
      <c r="AI172" s="25">
        <v>25</v>
      </c>
      <c r="AJ172" s="25">
        <v>25</v>
      </c>
    </row>
    <row r="173" spans="1:36" x14ac:dyDescent="0.25">
      <c r="A173" t="s">
        <v>586</v>
      </c>
      <c r="B173" t="s">
        <v>305</v>
      </c>
      <c r="C173" s="25">
        <v>10</v>
      </c>
      <c r="D173" s="25">
        <v>10</v>
      </c>
      <c r="E173" s="25">
        <v>10</v>
      </c>
      <c r="F173" s="25">
        <v>10</v>
      </c>
      <c r="G173" s="25">
        <v>10</v>
      </c>
      <c r="H173" s="25">
        <v>10</v>
      </c>
      <c r="I173" s="25">
        <v>10</v>
      </c>
      <c r="J173" s="25">
        <v>10</v>
      </c>
      <c r="K173" s="25">
        <v>10</v>
      </c>
      <c r="L173" s="25">
        <v>10</v>
      </c>
      <c r="M173" s="25">
        <v>10</v>
      </c>
      <c r="N173" s="25">
        <v>10</v>
      </c>
      <c r="O173" s="25">
        <v>10</v>
      </c>
      <c r="P173" s="25">
        <v>10</v>
      </c>
      <c r="Q173" s="25">
        <v>10</v>
      </c>
      <c r="R173" s="25">
        <v>10</v>
      </c>
      <c r="S173" s="25">
        <v>10</v>
      </c>
      <c r="T173" s="25">
        <v>10</v>
      </c>
      <c r="U173" s="25">
        <v>10</v>
      </c>
      <c r="V173" s="25">
        <v>10</v>
      </c>
      <c r="W173" s="25">
        <v>10</v>
      </c>
      <c r="X173" s="25">
        <v>10</v>
      </c>
      <c r="Y173" s="25">
        <v>10</v>
      </c>
      <c r="Z173" s="25">
        <v>10</v>
      </c>
      <c r="AA173" s="25">
        <v>10</v>
      </c>
      <c r="AB173" s="25">
        <v>10</v>
      </c>
      <c r="AC173" s="25">
        <v>10</v>
      </c>
      <c r="AD173" s="25">
        <v>10</v>
      </c>
      <c r="AE173" s="25">
        <v>10</v>
      </c>
      <c r="AF173" s="25">
        <v>10</v>
      </c>
      <c r="AG173" s="25">
        <v>10</v>
      </c>
      <c r="AH173" s="25">
        <v>10</v>
      </c>
      <c r="AI173" s="25">
        <v>10</v>
      </c>
      <c r="AJ173" s="25">
        <v>10</v>
      </c>
    </row>
    <row r="174" spans="1:36" x14ac:dyDescent="0.25">
      <c r="A174" t="s">
        <v>587</v>
      </c>
      <c r="B174" t="s">
        <v>305</v>
      </c>
      <c r="C174" s="25">
        <v>35</v>
      </c>
      <c r="D174" s="25">
        <v>35</v>
      </c>
      <c r="E174" s="25">
        <v>35</v>
      </c>
      <c r="F174" s="25">
        <v>35</v>
      </c>
      <c r="G174" s="25">
        <v>35</v>
      </c>
      <c r="H174" s="25">
        <v>35</v>
      </c>
      <c r="I174" s="25">
        <v>35</v>
      </c>
      <c r="J174" s="25">
        <v>35</v>
      </c>
      <c r="K174" s="25">
        <v>35</v>
      </c>
      <c r="L174" s="25">
        <v>35</v>
      </c>
      <c r="M174" s="25">
        <v>35</v>
      </c>
      <c r="N174" s="25">
        <v>35</v>
      </c>
      <c r="O174" s="25">
        <v>35</v>
      </c>
      <c r="P174" s="25">
        <v>35</v>
      </c>
      <c r="Q174" s="25">
        <v>35</v>
      </c>
      <c r="R174" s="25">
        <v>35</v>
      </c>
      <c r="S174" s="25">
        <v>35</v>
      </c>
      <c r="T174" s="25">
        <v>35</v>
      </c>
      <c r="U174" s="25">
        <v>35</v>
      </c>
      <c r="V174" s="25">
        <v>35</v>
      </c>
      <c r="W174" s="25">
        <v>35</v>
      </c>
      <c r="X174" s="25">
        <v>35</v>
      </c>
      <c r="Y174" s="25">
        <v>35</v>
      </c>
      <c r="Z174" s="25">
        <v>35</v>
      </c>
      <c r="AA174" s="25">
        <v>35</v>
      </c>
      <c r="AB174" s="25">
        <v>35</v>
      </c>
      <c r="AC174" s="25">
        <v>35</v>
      </c>
      <c r="AD174" s="25">
        <v>35</v>
      </c>
      <c r="AE174" s="25">
        <v>35</v>
      </c>
      <c r="AF174" s="25">
        <v>35</v>
      </c>
      <c r="AG174" s="25">
        <v>35</v>
      </c>
      <c r="AH174" s="25">
        <v>35</v>
      </c>
      <c r="AI174" s="25">
        <v>35</v>
      </c>
      <c r="AJ174" s="25">
        <v>35</v>
      </c>
    </row>
    <row r="175" spans="1:36" x14ac:dyDescent="0.25">
      <c r="A175" t="s">
        <v>588</v>
      </c>
      <c r="B175" t="s">
        <v>305</v>
      </c>
      <c r="C175" s="25">
        <v>0</v>
      </c>
      <c r="D175" s="25">
        <v>0</v>
      </c>
      <c r="E175" s="25">
        <v>0</v>
      </c>
      <c r="F175" s="25">
        <v>0</v>
      </c>
      <c r="G175" s="25">
        <v>0</v>
      </c>
      <c r="H175" s="25">
        <v>0</v>
      </c>
      <c r="I175" s="25">
        <v>0</v>
      </c>
      <c r="J175" s="25">
        <v>0</v>
      </c>
      <c r="K175" s="25">
        <v>0</v>
      </c>
      <c r="L175" s="25">
        <v>0</v>
      </c>
      <c r="M175" s="25">
        <v>0</v>
      </c>
      <c r="N175" s="25">
        <v>0</v>
      </c>
      <c r="O175" s="25">
        <v>0</v>
      </c>
      <c r="P175" s="25">
        <v>0</v>
      </c>
      <c r="Q175" s="25">
        <v>0</v>
      </c>
      <c r="R175" s="25">
        <v>0</v>
      </c>
      <c r="S175" s="25">
        <v>0</v>
      </c>
      <c r="T175" s="25">
        <v>0</v>
      </c>
      <c r="U175" s="25">
        <v>0</v>
      </c>
      <c r="V175" s="25">
        <v>0</v>
      </c>
      <c r="W175" s="25">
        <v>0</v>
      </c>
      <c r="X175" s="25">
        <v>0</v>
      </c>
      <c r="Y175" s="25">
        <v>0</v>
      </c>
      <c r="Z175" s="25">
        <v>0</v>
      </c>
      <c r="AA175" s="25">
        <v>0</v>
      </c>
      <c r="AB175" s="25">
        <v>0</v>
      </c>
      <c r="AC175" s="25">
        <v>0</v>
      </c>
      <c r="AD175" s="25">
        <v>0</v>
      </c>
      <c r="AE175" s="25">
        <v>0</v>
      </c>
      <c r="AF175" s="25">
        <v>0</v>
      </c>
      <c r="AG175" s="25">
        <v>0</v>
      </c>
      <c r="AH175" s="25">
        <v>0</v>
      </c>
      <c r="AI175" s="25">
        <v>0</v>
      </c>
      <c r="AJ175" s="25">
        <v>0</v>
      </c>
    </row>
    <row r="176" spans="1:36" x14ac:dyDescent="0.25">
      <c r="A176" t="s">
        <v>589</v>
      </c>
      <c r="B176" t="s">
        <v>305</v>
      </c>
      <c r="C176" s="25">
        <v>28</v>
      </c>
      <c r="D176" s="25">
        <v>28</v>
      </c>
      <c r="E176" s="25">
        <v>28</v>
      </c>
      <c r="F176" s="25">
        <v>28</v>
      </c>
      <c r="G176" s="25">
        <v>28</v>
      </c>
      <c r="H176" s="25">
        <v>28</v>
      </c>
      <c r="I176" s="25">
        <v>28</v>
      </c>
      <c r="J176" s="25">
        <v>28</v>
      </c>
      <c r="K176" s="25">
        <v>28</v>
      </c>
      <c r="L176" s="25">
        <v>28</v>
      </c>
      <c r="M176" s="25">
        <v>28</v>
      </c>
      <c r="N176" s="25">
        <v>28</v>
      </c>
      <c r="O176" s="25">
        <v>28</v>
      </c>
      <c r="P176" s="25">
        <v>28</v>
      </c>
      <c r="Q176" s="25">
        <v>28</v>
      </c>
      <c r="R176" s="25">
        <v>28</v>
      </c>
      <c r="S176" s="25">
        <v>28</v>
      </c>
      <c r="T176" s="25">
        <v>28</v>
      </c>
      <c r="U176" s="25">
        <v>28</v>
      </c>
      <c r="V176" s="25">
        <v>28</v>
      </c>
      <c r="W176" s="25">
        <v>28</v>
      </c>
      <c r="X176" s="25">
        <v>28</v>
      </c>
      <c r="Y176" s="25">
        <v>28</v>
      </c>
      <c r="Z176" s="25">
        <v>28</v>
      </c>
      <c r="AA176" s="25">
        <v>28</v>
      </c>
      <c r="AB176" s="25">
        <v>28</v>
      </c>
      <c r="AC176" s="25">
        <v>28</v>
      </c>
      <c r="AD176" s="25">
        <v>28</v>
      </c>
      <c r="AE176" s="25">
        <v>28</v>
      </c>
      <c r="AF176" s="25">
        <v>28</v>
      </c>
      <c r="AG176" s="25">
        <v>28</v>
      </c>
      <c r="AH176" s="25">
        <v>28</v>
      </c>
      <c r="AI176" s="25">
        <v>28</v>
      </c>
      <c r="AJ176" s="25">
        <v>28</v>
      </c>
    </row>
    <row r="177" spans="1:36" x14ac:dyDescent="0.25">
      <c r="A177" t="s">
        <v>590</v>
      </c>
      <c r="B177" t="s">
        <v>305</v>
      </c>
      <c r="C177" s="25">
        <v>2</v>
      </c>
      <c r="D177" s="25">
        <v>2</v>
      </c>
      <c r="E177" s="25">
        <v>2</v>
      </c>
      <c r="F177" s="25">
        <v>2</v>
      </c>
      <c r="G177" s="25">
        <v>2</v>
      </c>
      <c r="H177" s="25">
        <v>2</v>
      </c>
      <c r="I177" s="25">
        <v>2</v>
      </c>
      <c r="J177" s="25">
        <v>2</v>
      </c>
      <c r="K177" s="25">
        <v>2</v>
      </c>
      <c r="L177" s="25">
        <v>2</v>
      </c>
      <c r="M177" s="25">
        <v>2</v>
      </c>
      <c r="N177" s="25">
        <v>2</v>
      </c>
      <c r="O177" s="25">
        <v>2</v>
      </c>
      <c r="P177" s="25">
        <v>2</v>
      </c>
      <c r="Q177" s="25">
        <v>2</v>
      </c>
      <c r="R177" s="25">
        <v>2</v>
      </c>
      <c r="S177" s="25">
        <v>2</v>
      </c>
      <c r="T177" s="25">
        <v>2</v>
      </c>
      <c r="U177" s="25">
        <v>2</v>
      </c>
      <c r="V177" s="25">
        <v>2</v>
      </c>
      <c r="W177" s="25">
        <v>2</v>
      </c>
      <c r="X177" s="25">
        <v>2</v>
      </c>
      <c r="Y177" s="25">
        <v>2</v>
      </c>
      <c r="Z177" s="25">
        <v>2</v>
      </c>
      <c r="AA177" s="25">
        <v>2</v>
      </c>
      <c r="AB177" s="25">
        <v>2</v>
      </c>
      <c r="AC177" s="25">
        <v>2</v>
      </c>
      <c r="AD177" s="25">
        <v>2</v>
      </c>
      <c r="AE177" s="25">
        <v>2</v>
      </c>
      <c r="AF177" s="25">
        <v>2</v>
      </c>
      <c r="AG177" s="25">
        <v>2</v>
      </c>
      <c r="AH177" s="25">
        <v>2</v>
      </c>
      <c r="AI177" s="25">
        <v>2</v>
      </c>
      <c r="AJ177" s="25">
        <v>2</v>
      </c>
    </row>
    <row r="178" spans="1:36" x14ac:dyDescent="0.25">
      <c r="A178" t="s">
        <v>591</v>
      </c>
      <c r="B178" t="s">
        <v>305</v>
      </c>
      <c r="C178" s="25">
        <v>0</v>
      </c>
      <c r="D178" s="25">
        <v>0</v>
      </c>
      <c r="E178" s="25">
        <v>0</v>
      </c>
      <c r="F178" s="25">
        <v>0</v>
      </c>
      <c r="G178" s="25">
        <v>0</v>
      </c>
      <c r="H178" s="25">
        <v>0</v>
      </c>
      <c r="I178" s="25">
        <v>0</v>
      </c>
      <c r="J178" s="25">
        <v>0</v>
      </c>
      <c r="K178" s="25">
        <v>0</v>
      </c>
      <c r="L178" s="25">
        <v>0</v>
      </c>
      <c r="M178" s="25">
        <v>0</v>
      </c>
      <c r="N178" s="25">
        <v>0</v>
      </c>
      <c r="O178" s="25">
        <v>0</v>
      </c>
      <c r="P178" s="25">
        <v>0</v>
      </c>
      <c r="Q178" s="25">
        <v>0</v>
      </c>
      <c r="R178" s="25">
        <v>0</v>
      </c>
      <c r="S178" s="25">
        <v>0</v>
      </c>
      <c r="T178" s="25">
        <v>0</v>
      </c>
      <c r="U178" s="25">
        <v>0</v>
      </c>
      <c r="V178" s="25">
        <v>0</v>
      </c>
      <c r="W178" s="25">
        <v>0</v>
      </c>
      <c r="X178" s="25">
        <v>0</v>
      </c>
      <c r="Y178" s="25">
        <v>0</v>
      </c>
      <c r="Z178" s="25">
        <v>0</v>
      </c>
      <c r="AA178" s="25">
        <v>0</v>
      </c>
      <c r="AB178" s="25">
        <v>0</v>
      </c>
      <c r="AC178" s="25">
        <v>0</v>
      </c>
      <c r="AD178" s="25">
        <v>0</v>
      </c>
      <c r="AE178" s="25">
        <v>0</v>
      </c>
      <c r="AF178" s="25">
        <v>0</v>
      </c>
      <c r="AG178" s="25">
        <v>0</v>
      </c>
      <c r="AH178" s="25">
        <v>0</v>
      </c>
      <c r="AI178" s="25">
        <v>0</v>
      </c>
      <c r="AJ178" s="25">
        <v>0</v>
      </c>
    </row>
    <row r="179" spans="1:36" x14ac:dyDescent="0.25">
      <c r="A179" t="s">
        <v>592</v>
      </c>
      <c r="B179" t="s">
        <v>305</v>
      </c>
      <c r="C179" s="25">
        <v>0</v>
      </c>
      <c r="D179" s="25">
        <v>0</v>
      </c>
      <c r="E179" s="25">
        <v>0</v>
      </c>
      <c r="F179" s="25">
        <v>0</v>
      </c>
      <c r="G179" s="25">
        <v>0</v>
      </c>
      <c r="H179" s="25">
        <v>0</v>
      </c>
      <c r="I179" s="25">
        <v>0</v>
      </c>
      <c r="J179" s="25">
        <v>0</v>
      </c>
      <c r="K179" s="25">
        <v>0</v>
      </c>
      <c r="L179" s="25">
        <v>0</v>
      </c>
      <c r="M179" s="25">
        <v>0</v>
      </c>
      <c r="N179" s="25">
        <v>0</v>
      </c>
      <c r="O179" s="25">
        <v>0</v>
      </c>
      <c r="P179" s="25">
        <v>0</v>
      </c>
      <c r="Q179" s="25">
        <v>0</v>
      </c>
      <c r="R179" s="25">
        <v>0</v>
      </c>
      <c r="S179" s="25">
        <v>0</v>
      </c>
      <c r="T179" s="25">
        <v>0</v>
      </c>
      <c r="U179" s="25">
        <v>0</v>
      </c>
      <c r="V179" s="25">
        <v>0</v>
      </c>
      <c r="W179" s="25">
        <v>0</v>
      </c>
      <c r="X179" s="25">
        <v>0</v>
      </c>
      <c r="Y179" s="25">
        <v>0</v>
      </c>
      <c r="Z179" s="25">
        <v>0</v>
      </c>
      <c r="AA179" s="25">
        <v>0</v>
      </c>
      <c r="AB179" s="25">
        <v>0</v>
      </c>
      <c r="AC179" s="25">
        <v>0</v>
      </c>
      <c r="AD179" s="25">
        <v>0</v>
      </c>
      <c r="AE179" s="25">
        <v>0</v>
      </c>
      <c r="AF179" s="25">
        <v>0</v>
      </c>
      <c r="AG179" s="25">
        <v>0</v>
      </c>
      <c r="AH179" s="25">
        <v>0</v>
      </c>
      <c r="AI179" s="25">
        <v>0</v>
      </c>
      <c r="AJ179" s="25">
        <v>0</v>
      </c>
    </row>
    <row r="180" spans="1:36" x14ac:dyDescent="0.25">
      <c r="A180" t="s">
        <v>593</v>
      </c>
      <c r="B180" t="s">
        <v>305</v>
      </c>
      <c r="C180" s="25">
        <v>0</v>
      </c>
      <c r="D180" s="25">
        <v>0</v>
      </c>
      <c r="E180" s="25">
        <v>0</v>
      </c>
      <c r="F180" s="25">
        <v>0</v>
      </c>
      <c r="G180" s="25">
        <v>0</v>
      </c>
      <c r="H180" s="25">
        <v>0</v>
      </c>
      <c r="I180" s="25">
        <v>0</v>
      </c>
      <c r="J180" s="25">
        <v>0</v>
      </c>
      <c r="K180" s="25">
        <v>0</v>
      </c>
      <c r="L180" s="25">
        <v>0</v>
      </c>
      <c r="M180" s="25">
        <v>0</v>
      </c>
      <c r="N180" s="25">
        <v>0</v>
      </c>
      <c r="O180" s="25">
        <v>0</v>
      </c>
      <c r="P180" s="25">
        <v>0</v>
      </c>
      <c r="Q180" s="25">
        <v>0</v>
      </c>
      <c r="R180" s="25">
        <v>0</v>
      </c>
      <c r="S180" s="25">
        <v>0</v>
      </c>
      <c r="T180" s="25">
        <v>0</v>
      </c>
      <c r="U180" s="25">
        <v>0</v>
      </c>
      <c r="V180" s="25">
        <v>0</v>
      </c>
      <c r="W180" s="25">
        <v>0</v>
      </c>
      <c r="X180" s="25">
        <v>0</v>
      </c>
      <c r="Y180" s="25">
        <v>0</v>
      </c>
      <c r="Z180" s="25">
        <v>0</v>
      </c>
      <c r="AA180" s="25">
        <v>0</v>
      </c>
      <c r="AB180" s="25">
        <v>0</v>
      </c>
      <c r="AC180" s="25">
        <v>0</v>
      </c>
      <c r="AD180" s="25">
        <v>0</v>
      </c>
      <c r="AE180" s="25">
        <v>0</v>
      </c>
      <c r="AF180" s="25">
        <v>0</v>
      </c>
      <c r="AG180" s="25">
        <v>0</v>
      </c>
      <c r="AH180" s="25">
        <v>0</v>
      </c>
      <c r="AI180" s="25">
        <v>0</v>
      </c>
      <c r="AJ180" s="25">
        <v>0</v>
      </c>
    </row>
    <row r="181" spans="1:36" x14ac:dyDescent="0.25">
      <c r="A181" t="s">
        <v>594</v>
      </c>
      <c r="B181" t="s">
        <v>305</v>
      </c>
      <c r="C181" s="25">
        <v>0</v>
      </c>
      <c r="D181" s="25">
        <v>0</v>
      </c>
      <c r="E181" s="25">
        <v>0</v>
      </c>
      <c r="F181" s="25">
        <v>0</v>
      </c>
      <c r="G181" s="25">
        <v>0</v>
      </c>
      <c r="H181" s="25">
        <v>0</v>
      </c>
      <c r="I181" s="25">
        <v>0</v>
      </c>
      <c r="J181" s="25">
        <v>0</v>
      </c>
      <c r="K181" s="25">
        <v>0</v>
      </c>
      <c r="L181" s="25">
        <v>0</v>
      </c>
      <c r="M181" s="25">
        <v>0</v>
      </c>
      <c r="N181" s="25">
        <v>0</v>
      </c>
      <c r="O181" s="25">
        <v>0</v>
      </c>
      <c r="P181" s="25">
        <v>0</v>
      </c>
      <c r="Q181" s="25">
        <v>0</v>
      </c>
      <c r="R181" s="25">
        <v>0</v>
      </c>
      <c r="S181" s="25">
        <v>0</v>
      </c>
      <c r="T181" s="25">
        <v>0</v>
      </c>
      <c r="U181" s="25">
        <v>0</v>
      </c>
      <c r="V181" s="25">
        <v>0</v>
      </c>
      <c r="W181" s="25">
        <v>0</v>
      </c>
      <c r="X181" s="25">
        <v>0</v>
      </c>
      <c r="Y181" s="25">
        <v>0</v>
      </c>
      <c r="Z181" s="25">
        <v>0</v>
      </c>
      <c r="AA181" s="25">
        <v>0</v>
      </c>
      <c r="AB181" s="25">
        <v>0</v>
      </c>
      <c r="AC181" s="25">
        <v>0</v>
      </c>
      <c r="AD181" s="25">
        <v>0</v>
      </c>
      <c r="AE181" s="25">
        <v>0</v>
      </c>
      <c r="AF181" s="25">
        <v>0</v>
      </c>
      <c r="AG181" s="25">
        <v>0</v>
      </c>
      <c r="AH181" s="25">
        <v>0</v>
      </c>
      <c r="AI181" s="25">
        <v>0</v>
      </c>
      <c r="AJ181" s="25">
        <v>0</v>
      </c>
    </row>
    <row r="182" spans="1:36" x14ac:dyDescent="0.25">
      <c r="A182" t="s">
        <v>773</v>
      </c>
      <c r="B182" t="s">
        <v>305</v>
      </c>
      <c r="C182" s="25">
        <v>0</v>
      </c>
      <c r="D182" s="25">
        <v>0</v>
      </c>
      <c r="E182" s="25">
        <v>0</v>
      </c>
      <c r="F182" s="25">
        <v>0</v>
      </c>
      <c r="G182" s="25">
        <v>0</v>
      </c>
      <c r="H182" s="25">
        <v>0</v>
      </c>
      <c r="I182" s="25">
        <v>0</v>
      </c>
      <c r="J182" s="25">
        <v>0</v>
      </c>
      <c r="K182" s="25">
        <v>0</v>
      </c>
      <c r="L182" s="25">
        <v>0</v>
      </c>
      <c r="M182" s="25">
        <v>0</v>
      </c>
      <c r="N182" s="25">
        <v>0</v>
      </c>
      <c r="O182" s="25">
        <v>0</v>
      </c>
      <c r="P182" s="25">
        <v>0</v>
      </c>
      <c r="Q182" s="25">
        <v>0</v>
      </c>
      <c r="R182" s="25">
        <v>0</v>
      </c>
      <c r="S182" s="25">
        <v>0</v>
      </c>
      <c r="T182" s="25">
        <v>0</v>
      </c>
      <c r="U182" s="25">
        <v>0</v>
      </c>
      <c r="V182" s="25">
        <v>0</v>
      </c>
      <c r="W182" s="25">
        <v>0</v>
      </c>
      <c r="X182" s="25">
        <v>0</v>
      </c>
      <c r="Y182" s="25">
        <v>0</v>
      </c>
      <c r="Z182" s="25">
        <v>0</v>
      </c>
      <c r="AA182" s="25">
        <v>0</v>
      </c>
      <c r="AB182" s="25">
        <v>0</v>
      </c>
      <c r="AC182" s="25">
        <v>0</v>
      </c>
      <c r="AD182" s="25">
        <v>0</v>
      </c>
      <c r="AE182" s="25">
        <v>0</v>
      </c>
      <c r="AF182" s="25">
        <v>0</v>
      </c>
      <c r="AG182" s="25">
        <v>0</v>
      </c>
      <c r="AH182" s="25">
        <v>0</v>
      </c>
      <c r="AI182" s="25">
        <v>0</v>
      </c>
      <c r="AJ182" s="25">
        <v>0</v>
      </c>
    </row>
    <row r="183" spans="1:36" s="80" customFormat="1" x14ac:dyDescent="0.25">
      <c r="A183" s="80" t="s">
        <v>789</v>
      </c>
      <c r="C183" s="81">
        <f>+SUM(C172:C182)</f>
        <v>100</v>
      </c>
      <c r="D183" s="81">
        <f t="shared" ref="D183" si="364">+SUM(D172:D182)</f>
        <v>100</v>
      </c>
      <c r="E183" s="81">
        <f t="shared" ref="E183" si="365">+SUM(E172:E182)</f>
        <v>100</v>
      </c>
      <c r="F183" s="81">
        <f t="shared" ref="F183" si="366">+SUM(F172:F182)</f>
        <v>100</v>
      </c>
      <c r="G183" s="81">
        <f t="shared" ref="G183" si="367">+SUM(G172:G182)</f>
        <v>100</v>
      </c>
      <c r="H183" s="81">
        <f t="shared" ref="H183" si="368">+SUM(H172:H182)</f>
        <v>100</v>
      </c>
      <c r="I183" s="81">
        <f t="shared" ref="I183" si="369">+SUM(I172:I182)</f>
        <v>100</v>
      </c>
      <c r="J183" s="81">
        <f t="shared" ref="J183" si="370">+SUM(J172:J182)</f>
        <v>100</v>
      </c>
      <c r="K183" s="81">
        <f t="shared" ref="K183" si="371">+SUM(K172:K182)</f>
        <v>100</v>
      </c>
      <c r="L183" s="81">
        <f t="shared" ref="L183" si="372">+SUM(L172:L182)</f>
        <v>100</v>
      </c>
      <c r="M183" s="81">
        <f t="shared" ref="M183" si="373">+SUM(M172:M182)</f>
        <v>100</v>
      </c>
      <c r="N183" s="81">
        <f t="shared" ref="N183" si="374">+SUM(N172:N182)</f>
        <v>100</v>
      </c>
      <c r="O183" s="81">
        <f t="shared" ref="O183" si="375">+SUM(O172:O182)</f>
        <v>100</v>
      </c>
      <c r="P183" s="81">
        <f t="shared" ref="P183" si="376">+SUM(P172:P182)</f>
        <v>100</v>
      </c>
      <c r="Q183" s="81">
        <f t="shared" ref="Q183" si="377">+SUM(Q172:Q182)</f>
        <v>100</v>
      </c>
      <c r="R183" s="81">
        <f t="shared" ref="R183" si="378">+SUM(R172:R182)</f>
        <v>100</v>
      </c>
      <c r="S183" s="81">
        <f t="shared" ref="S183" si="379">+SUM(S172:S182)</f>
        <v>100</v>
      </c>
      <c r="T183" s="81">
        <f t="shared" ref="T183" si="380">+SUM(T172:T182)</f>
        <v>100</v>
      </c>
      <c r="U183" s="81">
        <f t="shared" ref="U183" si="381">+SUM(U172:U182)</f>
        <v>100</v>
      </c>
      <c r="V183" s="81">
        <f t="shared" ref="V183" si="382">+SUM(V172:V182)</f>
        <v>100</v>
      </c>
      <c r="W183" s="81">
        <f t="shared" ref="W183" si="383">+SUM(W172:W182)</f>
        <v>100</v>
      </c>
      <c r="X183" s="81">
        <f t="shared" ref="X183" si="384">+SUM(X172:X182)</f>
        <v>100</v>
      </c>
      <c r="Y183" s="81">
        <f t="shared" ref="Y183" si="385">+SUM(Y172:Y182)</f>
        <v>100</v>
      </c>
      <c r="Z183" s="81">
        <f t="shared" ref="Z183" si="386">+SUM(Z172:Z182)</f>
        <v>100</v>
      </c>
      <c r="AA183" s="81">
        <f t="shared" ref="AA183" si="387">+SUM(AA172:AA182)</f>
        <v>100</v>
      </c>
      <c r="AB183" s="81">
        <f t="shared" ref="AB183" si="388">+SUM(AB172:AB182)</f>
        <v>100</v>
      </c>
      <c r="AC183" s="81">
        <f t="shared" ref="AC183" si="389">+SUM(AC172:AC182)</f>
        <v>100</v>
      </c>
      <c r="AD183" s="81">
        <f t="shared" ref="AD183" si="390">+SUM(AD172:AD182)</f>
        <v>100</v>
      </c>
      <c r="AE183" s="81">
        <f t="shared" ref="AE183" si="391">+SUM(AE172:AE182)</f>
        <v>100</v>
      </c>
      <c r="AF183" s="81">
        <f t="shared" ref="AF183" si="392">+SUM(AF172:AF182)</f>
        <v>100</v>
      </c>
      <c r="AG183" s="81">
        <f t="shared" ref="AG183" si="393">+SUM(AG172:AG182)</f>
        <v>100</v>
      </c>
      <c r="AH183" s="81">
        <f t="shared" ref="AH183" si="394">+SUM(AH172:AH182)</f>
        <v>100</v>
      </c>
      <c r="AI183" s="81">
        <f t="shared" ref="AI183" si="395">+SUM(AI172:AI182)</f>
        <v>100</v>
      </c>
      <c r="AJ183" s="81">
        <f t="shared" ref="AJ183" si="396">+SUM(AJ172:AJ182)</f>
        <v>100</v>
      </c>
    </row>
    <row r="184" spans="1:36" s="78" customFormat="1" ht="15.75" x14ac:dyDescent="0.25">
      <c r="A184" s="76" t="s">
        <v>786</v>
      </c>
      <c r="B184" s="77"/>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c r="AA184" s="76"/>
      <c r="AB184" s="76"/>
      <c r="AC184" s="76"/>
      <c r="AD184" s="76"/>
      <c r="AE184" s="76"/>
      <c r="AF184" s="76"/>
      <c r="AG184" s="76"/>
      <c r="AH184" s="76"/>
      <c r="AI184" s="76"/>
      <c r="AJ184" s="76"/>
    </row>
    <row r="185" spans="1:36" x14ac:dyDescent="0.25">
      <c r="A185" s="79" t="s">
        <v>595</v>
      </c>
      <c r="B185" t="s">
        <v>305</v>
      </c>
      <c r="C185" s="25">
        <v>0</v>
      </c>
      <c r="D185" s="25">
        <v>0</v>
      </c>
      <c r="E185" s="25">
        <v>0</v>
      </c>
      <c r="F185" s="25">
        <v>0</v>
      </c>
      <c r="G185" s="25">
        <v>0</v>
      </c>
      <c r="H185" s="25">
        <v>0</v>
      </c>
      <c r="I185" s="25">
        <v>0</v>
      </c>
      <c r="J185" s="25">
        <v>0</v>
      </c>
      <c r="K185" s="25">
        <v>0</v>
      </c>
      <c r="L185" s="25">
        <v>0</v>
      </c>
      <c r="M185" s="25">
        <v>0</v>
      </c>
      <c r="N185" s="25">
        <v>0</v>
      </c>
      <c r="O185" s="25">
        <v>0</v>
      </c>
      <c r="P185" s="25">
        <v>0</v>
      </c>
      <c r="Q185" s="25">
        <v>0</v>
      </c>
      <c r="R185" s="25">
        <v>0</v>
      </c>
      <c r="S185" s="25">
        <v>0</v>
      </c>
      <c r="T185" s="25">
        <v>0</v>
      </c>
      <c r="U185" s="25">
        <v>0</v>
      </c>
      <c r="V185" s="25">
        <v>0</v>
      </c>
      <c r="W185" s="25">
        <v>0</v>
      </c>
      <c r="X185" s="25">
        <v>0</v>
      </c>
      <c r="Y185" s="25">
        <v>0</v>
      </c>
      <c r="Z185" s="25">
        <v>0</v>
      </c>
      <c r="AA185" s="25">
        <v>0</v>
      </c>
      <c r="AB185" s="25">
        <v>0</v>
      </c>
      <c r="AC185" s="25">
        <v>0</v>
      </c>
      <c r="AD185" s="25">
        <v>0</v>
      </c>
      <c r="AE185" s="25">
        <v>0</v>
      </c>
      <c r="AF185" s="25">
        <v>0</v>
      </c>
      <c r="AG185" s="25">
        <v>0</v>
      </c>
      <c r="AH185" s="25">
        <v>0</v>
      </c>
      <c r="AI185" s="25">
        <v>0</v>
      </c>
      <c r="AJ185" s="25">
        <v>0</v>
      </c>
    </row>
    <row r="186" spans="1:36" x14ac:dyDescent="0.25">
      <c r="A186" s="79" t="s">
        <v>596</v>
      </c>
      <c r="B186" t="s">
        <v>305</v>
      </c>
      <c r="C186" s="25">
        <v>5</v>
      </c>
      <c r="D186" s="25">
        <v>5</v>
      </c>
      <c r="E186" s="25">
        <v>5</v>
      </c>
      <c r="F186" s="25">
        <v>5</v>
      </c>
      <c r="G186" s="25">
        <v>5</v>
      </c>
      <c r="H186" s="25">
        <v>5</v>
      </c>
      <c r="I186" s="25">
        <v>5</v>
      </c>
      <c r="J186" s="25">
        <v>5</v>
      </c>
      <c r="K186" s="25">
        <v>5</v>
      </c>
      <c r="L186" s="25">
        <v>5</v>
      </c>
      <c r="M186" s="25">
        <v>5</v>
      </c>
      <c r="N186" s="25">
        <v>5</v>
      </c>
      <c r="O186" s="25">
        <v>5</v>
      </c>
      <c r="P186" s="25">
        <v>5</v>
      </c>
      <c r="Q186" s="25">
        <v>5</v>
      </c>
      <c r="R186" s="25">
        <v>5</v>
      </c>
      <c r="S186" s="25">
        <v>5</v>
      </c>
      <c r="T186" s="25">
        <v>5</v>
      </c>
      <c r="U186" s="25">
        <v>5</v>
      </c>
      <c r="V186" s="25">
        <v>5</v>
      </c>
      <c r="W186" s="25">
        <v>5</v>
      </c>
      <c r="X186" s="25">
        <v>5</v>
      </c>
      <c r="Y186" s="25">
        <v>5</v>
      </c>
      <c r="Z186" s="25">
        <v>5</v>
      </c>
      <c r="AA186" s="25">
        <v>5</v>
      </c>
      <c r="AB186" s="25">
        <v>5</v>
      </c>
      <c r="AC186" s="25">
        <v>5</v>
      </c>
      <c r="AD186" s="25">
        <v>5</v>
      </c>
      <c r="AE186" s="25">
        <v>5</v>
      </c>
      <c r="AF186" s="25">
        <v>5</v>
      </c>
      <c r="AG186" s="25">
        <v>5</v>
      </c>
      <c r="AH186" s="25">
        <v>5</v>
      </c>
      <c r="AI186" s="25">
        <v>5</v>
      </c>
      <c r="AJ186" s="25">
        <v>5</v>
      </c>
    </row>
    <row r="187" spans="1:36" x14ac:dyDescent="0.25">
      <c r="A187" s="79" t="s">
        <v>597</v>
      </c>
      <c r="B187" t="s">
        <v>305</v>
      </c>
      <c r="C187" s="25">
        <v>70</v>
      </c>
      <c r="D187" s="25">
        <v>70</v>
      </c>
      <c r="E187" s="25">
        <v>70</v>
      </c>
      <c r="F187" s="25">
        <v>70</v>
      </c>
      <c r="G187" s="25">
        <v>70</v>
      </c>
      <c r="H187" s="25">
        <v>70</v>
      </c>
      <c r="I187" s="25">
        <v>70</v>
      </c>
      <c r="J187" s="25">
        <v>70</v>
      </c>
      <c r="K187" s="25">
        <v>70</v>
      </c>
      <c r="L187" s="25">
        <v>70</v>
      </c>
      <c r="M187" s="25">
        <v>70</v>
      </c>
      <c r="N187" s="25">
        <v>70</v>
      </c>
      <c r="O187" s="25">
        <v>70</v>
      </c>
      <c r="P187" s="25">
        <v>70</v>
      </c>
      <c r="Q187" s="25">
        <v>70</v>
      </c>
      <c r="R187" s="25">
        <v>70</v>
      </c>
      <c r="S187" s="25">
        <v>70</v>
      </c>
      <c r="T187" s="25">
        <v>70</v>
      </c>
      <c r="U187" s="25">
        <v>70</v>
      </c>
      <c r="V187" s="25">
        <v>70</v>
      </c>
      <c r="W187" s="25">
        <v>70</v>
      </c>
      <c r="X187" s="25">
        <v>70</v>
      </c>
      <c r="Y187" s="25">
        <v>70</v>
      </c>
      <c r="Z187" s="25">
        <v>70</v>
      </c>
      <c r="AA187" s="25">
        <v>70</v>
      </c>
      <c r="AB187" s="25">
        <v>70</v>
      </c>
      <c r="AC187" s="25">
        <v>70</v>
      </c>
      <c r="AD187" s="25">
        <v>70</v>
      </c>
      <c r="AE187" s="25">
        <v>70</v>
      </c>
      <c r="AF187" s="25">
        <v>70</v>
      </c>
      <c r="AG187" s="25">
        <v>70</v>
      </c>
      <c r="AH187" s="25">
        <v>70</v>
      </c>
      <c r="AI187" s="25">
        <v>70</v>
      </c>
      <c r="AJ187" s="25">
        <v>70</v>
      </c>
    </row>
    <row r="188" spans="1:36" x14ac:dyDescent="0.25">
      <c r="A188" s="79" t="s">
        <v>598</v>
      </c>
      <c r="B188" t="s">
        <v>305</v>
      </c>
      <c r="C188" s="25">
        <v>0</v>
      </c>
      <c r="D188" s="25">
        <v>0</v>
      </c>
      <c r="E188" s="25">
        <v>0</v>
      </c>
      <c r="F188" s="25">
        <v>0</v>
      </c>
      <c r="G188" s="25">
        <v>0</v>
      </c>
      <c r="H188" s="25">
        <v>0</v>
      </c>
      <c r="I188" s="25">
        <v>0</v>
      </c>
      <c r="J188" s="25">
        <v>0</v>
      </c>
      <c r="K188" s="25">
        <v>0</v>
      </c>
      <c r="L188" s="25">
        <v>0</v>
      </c>
      <c r="M188" s="25">
        <v>0</v>
      </c>
      <c r="N188" s="25">
        <v>0</v>
      </c>
      <c r="O188" s="25">
        <v>0</v>
      </c>
      <c r="P188" s="25">
        <v>0</v>
      </c>
      <c r="Q188" s="25">
        <v>0</v>
      </c>
      <c r="R188" s="25">
        <v>0</v>
      </c>
      <c r="S188" s="25">
        <v>0</v>
      </c>
      <c r="T188" s="25">
        <v>0</v>
      </c>
      <c r="U188" s="25">
        <v>0</v>
      </c>
      <c r="V188" s="25">
        <v>0</v>
      </c>
      <c r="W188" s="25">
        <v>0</v>
      </c>
      <c r="X188" s="25">
        <v>0</v>
      </c>
      <c r="Y188" s="25">
        <v>0</v>
      </c>
      <c r="Z188" s="25">
        <v>0</v>
      </c>
      <c r="AA188" s="25">
        <v>0</v>
      </c>
      <c r="AB188" s="25">
        <v>0</v>
      </c>
      <c r="AC188" s="25">
        <v>0</v>
      </c>
      <c r="AD188" s="25">
        <v>0</v>
      </c>
      <c r="AE188" s="25">
        <v>0</v>
      </c>
      <c r="AF188" s="25">
        <v>0</v>
      </c>
      <c r="AG188" s="25">
        <v>0</v>
      </c>
      <c r="AH188" s="25">
        <v>0</v>
      </c>
      <c r="AI188" s="25">
        <v>0</v>
      </c>
      <c r="AJ188" s="25">
        <v>0</v>
      </c>
    </row>
    <row r="189" spans="1:36" x14ac:dyDescent="0.25">
      <c r="A189" s="79" t="s">
        <v>599</v>
      </c>
      <c r="B189" t="s">
        <v>305</v>
      </c>
      <c r="C189" s="25">
        <v>5</v>
      </c>
      <c r="D189" s="25">
        <v>5</v>
      </c>
      <c r="E189" s="25">
        <v>5</v>
      </c>
      <c r="F189" s="25">
        <v>5</v>
      </c>
      <c r="G189" s="25">
        <v>5</v>
      </c>
      <c r="H189" s="25">
        <v>5</v>
      </c>
      <c r="I189" s="25">
        <v>5</v>
      </c>
      <c r="J189" s="25">
        <v>5</v>
      </c>
      <c r="K189" s="25">
        <v>5</v>
      </c>
      <c r="L189" s="25">
        <v>5</v>
      </c>
      <c r="M189" s="25">
        <v>5</v>
      </c>
      <c r="N189" s="25">
        <v>5</v>
      </c>
      <c r="O189" s="25">
        <v>5</v>
      </c>
      <c r="P189" s="25">
        <v>5</v>
      </c>
      <c r="Q189" s="25">
        <v>5</v>
      </c>
      <c r="R189" s="25">
        <v>5</v>
      </c>
      <c r="S189" s="25">
        <v>5</v>
      </c>
      <c r="T189" s="25">
        <v>5</v>
      </c>
      <c r="U189" s="25">
        <v>5</v>
      </c>
      <c r="V189" s="25">
        <v>5</v>
      </c>
      <c r="W189" s="25">
        <v>5</v>
      </c>
      <c r="X189" s="25">
        <v>5</v>
      </c>
      <c r="Y189" s="25">
        <v>5</v>
      </c>
      <c r="Z189" s="25">
        <v>5</v>
      </c>
      <c r="AA189" s="25">
        <v>5</v>
      </c>
      <c r="AB189" s="25">
        <v>5</v>
      </c>
      <c r="AC189" s="25">
        <v>5</v>
      </c>
      <c r="AD189" s="25">
        <v>5</v>
      </c>
      <c r="AE189" s="25">
        <v>5</v>
      </c>
      <c r="AF189" s="25">
        <v>5</v>
      </c>
      <c r="AG189" s="25">
        <v>5</v>
      </c>
      <c r="AH189" s="25">
        <v>5</v>
      </c>
      <c r="AI189" s="25">
        <v>5</v>
      </c>
      <c r="AJ189" s="25">
        <v>5</v>
      </c>
    </row>
    <row r="190" spans="1:36" x14ac:dyDescent="0.25">
      <c r="A190" s="79" t="s">
        <v>600</v>
      </c>
      <c r="B190" t="s">
        <v>305</v>
      </c>
      <c r="C190" s="25">
        <v>10</v>
      </c>
      <c r="D190" s="25">
        <v>10</v>
      </c>
      <c r="E190" s="25">
        <v>10</v>
      </c>
      <c r="F190" s="25">
        <v>10</v>
      </c>
      <c r="G190" s="25">
        <v>10</v>
      </c>
      <c r="H190" s="25">
        <v>10</v>
      </c>
      <c r="I190" s="25">
        <v>10</v>
      </c>
      <c r="J190" s="25">
        <v>10</v>
      </c>
      <c r="K190" s="25">
        <v>10</v>
      </c>
      <c r="L190" s="25">
        <v>10</v>
      </c>
      <c r="M190" s="25">
        <v>10</v>
      </c>
      <c r="N190" s="25">
        <v>10</v>
      </c>
      <c r="O190" s="25">
        <v>10</v>
      </c>
      <c r="P190" s="25">
        <v>10</v>
      </c>
      <c r="Q190" s="25">
        <v>10</v>
      </c>
      <c r="R190" s="25">
        <v>10</v>
      </c>
      <c r="S190" s="25">
        <v>10</v>
      </c>
      <c r="T190" s="25">
        <v>10</v>
      </c>
      <c r="U190" s="25">
        <v>10</v>
      </c>
      <c r="V190" s="25">
        <v>10</v>
      </c>
      <c r="W190" s="25">
        <v>10</v>
      </c>
      <c r="X190" s="25">
        <v>10</v>
      </c>
      <c r="Y190" s="25">
        <v>10</v>
      </c>
      <c r="Z190" s="25">
        <v>10</v>
      </c>
      <c r="AA190" s="25">
        <v>10</v>
      </c>
      <c r="AB190" s="25">
        <v>10</v>
      </c>
      <c r="AC190" s="25">
        <v>10</v>
      </c>
      <c r="AD190" s="25">
        <v>10</v>
      </c>
      <c r="AE190" s="25">
        <v>10</v>
      </c>
      <c r="AF190" s="25">
        <v>10</v>
      </c>
      <c r="AG190" s="25">
        <v>10</v>
      </c>
      <c r="AH190" s="25">
        <v>10</v>
      </c>
      <c r="AI190" s="25">
        <v>10</v>
      </c>
      <c r="AJ190" s="25">
        <v>10</v>
      </c>
    </row>
    <row r="191" spans="1:36" x14ac:dyDescent="0.25">
      <c r="A191" s="79" t="s">
        <v>601</v>
      </c>
      <c r="B191" t="s">
        <v>305</v>
      </c>
      <c r="C191" s="25">
        <v>0</v>
      </c>
      <c r="D191" s="25">
        <v>0</v>
      </c>
      <c r="E191" s="25">
        <v>0</v>
      </c>
      <c r="F191" s="25">
        <v>0</v>
      </c>
      <c r="G191" s="25">
        <v>0</v>
      </c>
      <c r="H191" s="25">
        <v>0</v>
      </c>
      <c r="I191" s="25">
        <v>0</v>
      </c>
      <c r="J191" s="25">
        <v>0</v>
      </c>
      <c r="K191" s="25">
        <v>0</v>
      </c>
      <c r="L191" s="25">
        <v>0</v>
      </c>
      <c r="M191" s="25">
        <v>0</v>
      </c>
      <c r="N191" s="25">
        <v>0</v>
      </c>
      <c r="O191" s="25">
        <v>0</v>
      </c>
      <c r="P191" s="25">
        <v>0</v>
      </c>
      <c r="Q191" s="25">
        <v>0</v>
      </c>
      <c r="R191" s="25">
        <v>0</v>
      </c>
      <c r="S191" s="25">
        <v>0</v>
      </c>
      <c r="T191" s="25">
        <v>0</v>
      </c>
      <c r="U191" s="25">
        <v>0</v>
      </c>
      <c r="V191" s="25">
        <v>0</v>
      </c>
      <c r="W191" s="25">
        <v>0</v>
      </c>
      <c r="X191" s="25">
        <v>0</v>
      </c>
      <c r="Y191" s="25">
        <v>0</v>
      </c>
      <c r="Z191" s="25">
        <v>0</v>
      </c>
      <c r="AA191" s="25">
        <v>0</v>
      </c>
      <c r="AB191" s="25">
        <v>0</v>
      </c>
      <c r="AC191" s="25">
        <v>0</v>
      </c>
      <c r="AD191" s="25">
        <v>0</v>
      </c>
      <c r="AE191" s="25">
        <v>0</v>
      </c>
      <c r="AF191" s="25">
        <v>0</v>
      </c>
      <c r="AG191" s="25">
        <v>0</v>
      </c>
      <c r="AH191" s="25">
        <v>0</v>
      </c>
      <c r="AI191" s="25">
        <v>0</v>
      </c>
      <c r="AJ191" s="25">
        <v>0</v>
      </c>
    </row>
    <row r="192" spans="1:36" x14ac:dyDescent="0.25">
      <c r="A192" s="79" t="s">
        <v>602</v>
      </c>
      <c r="B192" t="s">
        <v>305</v>
      </c>
      <c r="C192" s="25">
        <v>10</v>
      </c>
      <c r="D192" s="25">
        <v>10</v>
      </c>
      <c r="E192" s="25">
        <v>10</v>
      </c>
      <c r="F192" s="25">
        <v>10</v>
      </c>
      <c r="G192" s="25">
        <v>10</v>
      </c>
      <c r="H192" s="25">
        <v>10</v>
      </c>
      <c r="I192" s="25">
        <v>10</v>
      </c>
      <c r="J192" s="25">
        <v>10</v>
      </c>
      <c r="K192" s="25">
        <v>10</v>
      </c>
      <c r="L192" s="25">
        <v>10</v>
      </c>
      <c r="M192" s="25">
        <v>10</v>
      </c>
      <c r="N192" s="25">
        <v>10</v>
      </c>
      <c r="O192" s="25">
        <v>10</v>
      </c>
      <c r="P192" s="25">
        <v>10</v>
      </c>
      <c r="Q192" s="25">
        <v>10</v>
      </c>
      <c r="R192" s="25">
        <v>10</v>
      </c>
      <c r="S192" s="25">
        <v>10</v>
      </c>
      <c r="T192" s="25">
        <v>10</v>
      </c>
      <c r="U192" s="25">
        <v>10</v>
      </c>
      <c r="V192" s="25">
        <v>10</v>
      </c>
      <c r="W192" s="25">
        <v>10</v>
      </c>
      <c r="X192" s="25">
        <v>10</v>
      </c>
      <c r="Y192" s="25">
        <v>10</v>
      </c>
      <c r="Z192" s="25">
        <v>10</v>
      </c>
      <c r="AA192" s="25">
        <v>10</v>
      </c>
      <c r="AB192" s="25">
        <v>10</v>
      </c>
      <c r="AC192" s="25">
        <v>10</v>
      </c>
      <c r="AD192" s="25">
        <v>10</v>
      </c>
      <c r="AE192" s="25">
        <v>10</v>
      </c>
      <c r="AF192" s="25">
        <v>10</v>
      </c>
      <c r="AG192" s="25">
        <v>10</v>
      </c>
      <c r="AH192" s="25">
        <v>10</v>
      </c>
      <c r="AI192" s="25">
        <v>10</v>
      </c>
      <c r="AJ192" s="25">
        <v>10</v>
      </c>
    </row>
    <row r="193" spans="1:36" x14ac:dyDescent="0.25">
      <c r="A193" s="79" t="s">
        <v>603</v>
      </c>
      <c r="B193" t="s">
        <v>305</v>
      </c>
      <c r="C193" s="25">
        <v>0</v>
      </c>
      <c r="D193" s="25">
        <v>0</v>
      </c>
      <c r="E193" s="25">
        <v>0</v>
      </c>
      <c r="F193" s="25">
        <v>0</v>
      </c>
      <c r="G193" s="25">
        <v>0</v>
      </c>
      <c r="H193" s="25">
        <v>0</v>
      </c>
      <c r="I193" s="25">
        <v>0</v>
      </c>
      <c r="J193" s="25">
        <v>0</v>
      </c>
      <c r="K193" s="25">
        <v>0</v>
      </c>
      <c r="L193" s="25">
        <v>0</v>
      </c>
      <c r="M193" s="25">
        <v>0</v>
      </c>
      <c r="N193" s="25">
        <v>0</v>
      </c>
      <c r="O193" s="25">
        <v>0</v>
      </c>
      <c r="P193" s="25">
        <v>0</v>
      </c>
      <c r="Q193" s="25">
        <v>0</v>
      </c>
      <c r="R193" s="25">
        <v>0</v>
      </c>
      <c r="S193" s="25">
        <v>0</v>
      </c>
      <c r="T193" s="25">
        <v>0</v>
      </c>
      <c r="U193" s="25">
        <v>0</v>
      </c>
      <c r="V193" s="25">
        <v>0</v>
      </c>
      <c r="W193" s="25">
        <v>0</v>
      </c>
      <c r="X193" s="25">
        <v>0</v>
      </c>
      <c r="Y193" s="25">
        <v>0</v>
      </c>
      <c r="Z193" s="25">
        <v>0</v>
      </c>
      <c r="AA193" s="25">
        <v>0</v>
      </c>
      <c r="AB193" s="25">
        <v>0</v>
      </c>
      <c r="AC193" s="25">
        <v>0</v>
      </c>
      <c r="AD193" s="25">
        <v>0</v>
      </c>
      <c r="AE193" s="25">
        <v>0</v>
      </c>
      <c r="AF193" s="25">
        <v>0</v>
      </c>
      <c r="AG193" s="25">
        <v>0</v>
      </c>
      <c r="AH193" s="25">
        <v>0</v>
      </c>
      <c r="AI193" s="25">
        <v>0</v>
      </c>
      <c r="AJ193" s="25">
        <v>0</v>
      </c>
    </row>
    <row r="194" spans="1:36" x14ac:dyDescent="0.25">
      <c r="A194" s="79" t="s">
        <v>604</v>
      </c>
      <c r="B194" t="s">
        <v>305</v>
      </c>
      <c r="C194" s="25">
        <v>0</v>
      </c>
      <c r="D194" s="25">
        <v>0</v>
      </c>
      <c r="E194" s="25">
        <v>0</v>
      </c>
      <c r="F194" s="25">
        <v>0</v>
      </c>
      <c r="G194" s="25">
        <v>0</v>
      </c>
      <c r="H194" s="25">
        <v>0</v>
      </c>
      <c r="I194" s="25">
        <v>0</v>
      </c>
      <c r="J194" s="25">
        <v>0</v>
      </c>
      <c r="K194" s="25">
        <v>0</v>
      </c>
      <c r="L194" s="25">
        <v>0</v>
      </c>
      <c r="M194" s="25">
        <v>0</v>
      </c>
      <c r="N194" s="25">
        <v>0</v>
      </c>
      <c r="O194" s="25">
        <v>0</v>
      </c>
      <c r="P194" s="25">
        <v>0</v>
      </c>
      <c r="Q194" s="25">
        <v>0</v>
      </c>
      <c r="R194" s="25">
        <v>0</v>
      </c>
      <c r="S194" s="25">
        <v>0</v>
      </c>
      <c r="T194" s="25">
        <v>0</v>
      </c>
      <c r="U194" s="25">
        <v>0</v>
      </c>
      <c r="V194" s="25">
        <v>0</v>
      </c>
      <c r="W194" s="25">
        <v>0</v>
      </c>
      <c r="X194" s="25">
        <v>0</v>
      </c>
      <c r="Y194" s="25">
        <v>0</v>
      </c>
      <c r="Z194" s="25">
        <v>0</v>
      </c>
      <c r="AA194" s="25">
        <v>0</v>
      </c>
      <c r="AB194" s="25">
        <v>0</v>
      </c>
      <c r="AC194" s="25">
        <v>0</v>
      </c>
      <c r="AD194" s="25">
        <v>0</v>
      </c>
      <c r="AE194" s="25">
        <v>0</v>
      </c>
      <c r="AF194" s="25">
        <v>0</v>
      </c>
      <c r="AG194" s="25">
        <v>0</v>
      </c>
      <c r="AH194" s="25">
        <v>0</v>
      </c>
      <c r="AI194" s="25">
        <v>0</v>
      </c>
      <c r="AJ194" s="25">
        <v>0</v>
      </c>
    </row>
    <row r="195" spans="1:36" x14ac:dyDescent="0.25">
      <c r="A195" s="79" t="s">
        <v>774</v>
      </c>
      <c r="B195" t="s">
        <v>305</v>
      </c>
      <c r="C195" s="25">
        <v>0</v>
      </c>
      <c r="D195" s="25">
        <v>0</v>
      </c>
      <c r="E195" s="25">
        <v>0</v>
      </c>
      <c r="F195" s="25">
        <v>0</v>
      </c>
      <c r="G195" s="25">
        <v>0</v>
      </c>
      <c r="H195" s="25">
        <v>0</v>
      </c>
      <c r="I195" s="25">
        <v>0</v>
      </c>
      <c r="J195" s="25">
        <v>0</v>
      </c>
      <c r="K195" s="25">
        <v>0</v>
      </c>
      <c r="L195" s="25">
        <v>0</v>
      </c>
      <c r="M195" s="25">
        <v>0</v>
      </c>
      <c r="N195" s="25">
        <v>0</v>
      </c>
      <c r="O195" s="25">
        <v>0</v>
      </c>
      <c r="P195" s="25">
        <v>0</v>
      </c>
      <c r="Q195" s="25">
        <v>0</v>
      </c>
      <c r="R195" s="25">
        <v>0</v>
      </c>
      <c r="S195" s="25">
        <v>0</v>
      </c>
      <c r="T195" s="25">
        <v>0</v>
      </c>
      <c r="U195" s="25">
        <v>0</v>
      </c>
      <c r="V195" s="25">
        <v>0</v>
      </c>
      <c r="W195" s="25">
        <v>0</v>
      </c>
      <c r="X195" s="25">
        <v>0</v>
      </c>
      <c r="Y195" s="25">
        <v>0</v>
      </c>
      <c r="Z195" s="25">
        <v>0</v>
      </c>
      <c r="AA195" s="25">
        <v>0</v>
      </c>
      <c r="AB195" s="25">
        <v>0</v>
      </c>
      <c r="AC195" s="25">
        <v>0</v>
      </c>
      <c r="AD195" s="25">
        <v>0</v>
      </c>
      <c r="AE195" s="25">
        <v>0</v>
      </c>
      <c r="AF195" s="25">
        <v>0</v>
      </c>
      <c r="AG195" s="25">
        <v>0</v>
      </c>
      <c r="AH195" s="25">
        <v>0</v>
      </c>
      <c r="AI195" s="25">
        <v>0</v>
      </c>
      <c r="AJ195" s="25">
        <v>0</v>
      </c>
    </row>
    <row r="196" spans="1:36" s="80" customFormat="1" x14ac:dyDescent="0.25">
      <c r="A196" s="80" t="s">
        <v>789</v>
      </c>
      <c r="C196" s="81">
        <f>+SUM(C185:C195)</f>
        <v>100</v>
      </c>
      <c r="D196" s="81">
        <f t="shared" ref="D196" si="397">+SUM(D185:D195)</f>
        <v>100</v>
      </c>
      <c r="E196" s="81">
        <f t="shared" ref="E196" si="398">+SUM(E185:E195)</f>
        <v>100</v>
      </c>
      <c r="F196" s="81">
        <f t="shared" ref="F196" si="399">+SUM(F185:F195)</f>
        <v>100</v>
      </c>
      <c r="G196" s="81">
        <f t="shared" ref="G196" si="400">+SUM(G185:G195)</f>
        <v>100</v>
      </c>
      <c r="H196" s="81">
        <f t="shared" ref="H196" si="401">+SUM(H185:H195)</f>
        <v>100</v>
      </c>
      <c r="I196" s="81">
        <f t="shared" ref="I196" si="402">+SUM(I185:I195)</f>
        <v>100</v>
      </c>
      <c r="J196" s="81">
        <f t="shared" ref="J196" si="403">+SUM(J185:J195)</f>
        <v>100</v>
      </c>
      <c r="K196" s="81">
        <f t="shared" ref="K196" si="404">+SUM(K185:K195)</f>
        <v>100</v>
      </c>
      <c r="L196" s="81">
        <f t="shared" ref="L196" si="405">+SUM(L185:L195)</f>
        <v>100</v>
      </c>
      <c r="M196" s="81">
        <f t="shared" ref="M196" si="406">+SUM(M185:M195)</f>
        <v>100</v>
      </c>
      <c r="N196" s="81">
        <f t="shared" ref="N196" si="407">+SUM(N185:N195)</f>
        <v>100</v>
      </c>
      <c r="O196" s="81">
        <f t="shared" ref="O196" si="408">+SUM(O185:O195)</f>
        <v>100</v>
      </c>
      <c r="P196" s="81">
        <f t="shared" ref="P196" si="409">+SUM(P185:P195)</f>
        <v>100</v>
      </c>
      <c r="Q196" s="81">
        <f t="shared" ref="Q196" si="410">+SUM(Q185:Q195)</f>
        <v>100</v>
      </c>
      <c r="R196" s="81">
        <f t="shared" ref="R196" si="411">+SUM(R185:R195)</f>
        <v>100</v>
      </c>
      <c r="S196" s="81">
        <f t="shared" ref="S196" si="412">+SUM(S185:S195)</f>
        <v>100</v>
      </c>
      <c r="T196" s="81">
        <f t="shared" ref="T196" si="413">+SUM(T185:T195)</f>
        <v>100</v>
      </c>
      <c r="U196" s="81">
        <f t="shared" ref="U196" si="414">+SUM(U185:U195)</f>
        <v>100</v>
      </c>
      <c r="V196" s="81">
        <f t="shared" ref="V196" si="415">+SUM(V185:V195)</f>
        <v>100</v>
      </c>
      <c r="W196" s="81">
        <f t="shared" ref="W196" si="416">+SUM(W185:W195)</f>
        <v>100</v>
      </c>
      <c r="X196" s="81">
        <f t="shared" ref="X196" si="417">+SUM(X185:X195)</f>
        <v>100</v>
      </c>
      <c r="Y196" s="81">
        <f t="shared" ref="Y196" si="418">+SUM(Y185:Y195)</f>
        <v>100</v>
      </c>
      <c r="Z196" s="81">
        <f t="shared" ref="Z196" si="419">+SUM(Z185:Z195)</f>
        <v>100</v>
      </c>
      <c r="AA196" s="81">
        <f t="shared" ref="AA196" si="420">+SUM(AA185:AA195)</f>
        <v>100</v>
      </c>
      <c r="AB196" s="81">
        <f t="shared" ref="AB196" si="421">+SUM(AB185:AB195)</f>
        <v>100</v>
      </c>
      <c r="AC196" s="81">
        <f t="shared" ref="AC196" si="422">+SUM(AC185:AC195)</f>
        <v>100</v>
      </c>
      <c r="AD196" s="81">
        <f t="shared" ref="AD196" si="423">+SUM(AD185:AD195)</f>
        <v>100</v>
      </c>
      <c r="AE196" s="81">
        <f t="shared" ref="AE196" si="424">+SUM(AE185:AE195)</f>
        <v>100</v>
      </c>
      <c r="AF196" s="81">
        <f t="shared" ref="AF196" si="425">+SUM(AF185:AF195)</f>
        <v>100</v>
      </c>
      <c r="AG196" s="81">
        <f t="shared" ref="AG196" si="426">+SUM(AG185:AG195)</f>
        <v>100</v>
      </c>
      <c r="AH196" s="81">
        <f t="shared" ref="AH196" si="427">+SUM(AH185:AH195)</f>
        <v>100</v>
      </c>
      <c r="AI196" s="81">
        <f t="shared" ref="AI196" si="428">+SUM(AI185:AI195)</f>
        <v>100</v>
      </c>
      <c r="AJ196" s="81">
        <f t="shared" ref="AJ196" si="429">+SUM(AJ185:AJ195)</f>
        <v>100</v>
      </c>
    </row>
    <row r="197" spans="1:36" x14ac:dyDescent="0.25">
      <c r="A197" s="79" t="s">
        <v>605</v>
      </c>
      <c r="B197" t="s">
        <v>305</v>
      </c>
      <c r="C197" s="25">
        <v>0</v>
      </c>
      <c r="D197" s="25">
        <v>0</v>
      </c>
      <c r="E197" s="25">
        <v>0</v>
      </c>
      <c r="F197" s="25">
        <v>0</v>
      </c>
      <c r="G197" s="25">
        <v>0</v>
      </c>
      <c r="H197" s="25">
        <v>0</v>
      </c>
      <c r="I197" s="25">
        <v>0</v>
      </c>
      <c r="J197" s="25">
        <v>0</v>
      </c>
      <c r="K197" s="25">
        <v>0</v>
      </c>
      <c r="L197" s="25">
        <v>0</v>
      </c>
      <c r="M197" s="25">
        <v>0</v>
      </c>
      <c r="N197" s="25">
        <v>0</v>
      </c>
      <c r="O197" s="25">
        <v>0</v>
      </c>
      <c r="P197" s="25">
        <v>0</v>
      </c>
      <c r="Q197" s="25">
        <v>0</v>
      </c>
      <c r="R197" s="25">
        <v>0</v>
      </c>
      <c r="S197" s="25">
        <v>0</v>
      </c>
      <c r="T197" s="25">
        <v>0</v>
      </c>
      <c r="U197" s="25">
        <v>0</v>
      </c>
      <c r="V197" s="25">
        <v>0</v>
      </c>
      <c r="W197" s="25">
        <v>0</v>
      </c>
      <c r="X197" s="25">
        <v>0</v>
      </c>
      <c r="Y197" s="25">
        <v>0</v>
      </c>
      <c r="Z197" s="25">
        <v>0</v>
      </c>
      <c r="AA197" s="25">
        <v>0</v>
      </c>
      <c r="AB197" s="25">
        <v>0</v>
      </c>
      <c r="AC197" s="25">
        <v>0</v>
      </c>
      <c r="AD197" s="25">
        <v>0</v>
      </c>
      <c r="AE197" s="25">
        <v>0</v>
      </c>
      <c r="AF197" s="25">
        <v>0</v>
      </c>
      <c r="AG197" s="25">
        <v>0</v>
      </c>
      <c r="AH197" s="25">
        <v>0</v>
      </c>
      <c r="AI197" s="25">
        <v>0</v>
      </c>
      <c r="AJ197" s="25">
        <v>0</v>
      </c>
    </row>
    <row r="198" spans="1:36" x14ac:dyDescent="0.25">
      <c r="A198" s="79" t="s">
        <v>606</v>
      </c>
      <c r="B198" t="s">
        <v>305</v>
      </c>
      <c r="C198" s="25">
        <v>0</v>
      </c>
      <c r="D198" s="25">
        <v>0</v>
      </c>
      <c r="E198" s="25">
        <v>0</v>
      </c>
      <c r="F198" s="25">
        <v>0</v>
      </c>
      <c r="G198" s="25">
        <v>0</v>
      </c>
      <c r="H198" s="25">
        <v>0</v>
      </c>
      <c r="I198" s="25">
        <v>0</v>
      </c>
      <c r="J198" s="25">
        <v>0</v>
      </c>
      <c r="K198" s="25">
        <v>0</v>
      </c>
      <c r="L198" s="25">
        <v>0</v>
      </c>
      <c r="M198" s="25">
        <v>0</v>
      </c>
      <c r="N198" s="25">
        <v>0</v>
      </c>
      <c r="O198" s="25">
        <v>0</v>
      </c>
      <c r="P198" s="25">
        <v>0</v>
      </c>
      <c r="Q198" s="25">
        <v>0</v>
      </c>
      <c r="R198" s="25">
        <v>0</v>
      </c>
      <c r="S198" s="25">
        <v>0</v>
      </c>
      <c r="T198" s="25">
        <v>0</v>
      </c>
      <c r="U198" s="25">
        <v>0</v>
      </c>
      <c r="V198" s="25">
        <v>0</v>
      </c>
      <c r="W198" s="25">
        <v>0</v>
      </c>
      <c r="X198" s="25">
        <v>0</v>
      </c>
      <c r="Y198" s="25">
        <v>0</v>
      </c>
      <c r="Z198" s="25">
        <v>0</v>
      </c>
      <c r="AA198" s="25">
        <v>0</v>
      </c>
      <c r="AB198" s="25">
        <v>0</v>
      </c>
      <c r="AC198" s="25">
        <v>0</v>
      </c>
      <c r="AD198" s="25">
        <v>0</v>
      </c>
      <c r="AE198" s="25">
        <v>0</v>
      </c>
      <c r="AF198" s="25">
        <v>0</v>
      </c>
      <c r="AG198" s="25">
        <v>0</v>
      </c>
      <c r="AH198" s="25">
        <v>0</v>
      </c>
      <c r="AI198" s="25">
        <v>0</v>
      </c>
      <c r="AJ198" s="25">
        <v>0</v>
      </c>
    </row>
    <row r="199" spans="1:36" x14ac:dyDescent="0.25">
      <c r="A199" s="79" t="s">
        <v>607</v>
      </c>
      <c r="B199" t="s">
        <v>305</v>
      </c>
      <c r="C199" s="25">
        <v>80</v>
      </c>
      <c r="D199" s="25">
        <v>80</v>
      </c>
      <c r="E199" s="25">
        <v>80</v>
      </c>
      <c r="F199" s="25">
        <v>80</v>
      </c>
      <c r="G199" s="25">
        <v>80</v>
      </c>
      <c r="H199" s="25">
        <v>80</v>
      </c>
      <c r="I199" s="25">
        <v>80</v>
      </c>
      <c r="J199" s="25">
        <v>80</v>
      </c>
      <c r="K199" s="25">
        <v>80</v>
      </c>
      <c r="L199" s="25">
        <v>80</v>
      </c>
      <c r="M199" s="25">
        <v>80</v>
      </c>
      <c r="N199" s="25">
        <v>80</v>
      </c>
      <c r="O199" s="25">
        <v>80</v>
      </c>
      <c r="P199" s="25">
        <v>80</v>
      </c>
      <c r="Q199" s="25">
        <v>80</v>
      </c>
      <c r="R199" s="25">
        <v>80</v>
      </c>
      <c r="S199" s="25">
        <v>80</v>
      </c>
      <c r="T199" s="25">
        <v>80</v>
      </c>
      <c r="U199" s="25">
        <v>80</v>
      </c>
      <c r="V199" s="25">
        <v>80</v>
      </c>
      <c r="W199" s="25">
        <v>80</v>
      </c>
      <c r="X199" s="25">
        <v>80</v>
      </c>
      <c r="Y199" s="25">
        <v>80</v>
      </c>
      <c r="Z199" s="25">
        <v>80</v>
      </c>
      <c r="AA199" s="25">
        <v>80</v>
      </c>
      <c r="AB199" s="25">
        <v>80</v>
      </c>
      <c r="AC199" s="25">
        <v>80</v>
      </c>
      <c r="AD199" s="25">
        <v>80</v>
      </c>
      <c r="AE199" s="25">
        <v>80</v>
      </c>
      <c r="AF199" s="25">
        <v>80</v>
      </c>
      <c r="AG199" s="25">
        <v>80</v>
      </c>
      <c r="AH199" s="25">
        <v>80</v>
      </c>
      <c r="AI199" s="25">
        <v>80</v>
      </c>
      <c r="AJ199" s="25">
        <v>80</v>
      </c>
    </row>
    <row r="200" spans="1:36" x14ac:dyDescent="0.25">
      <c r="A200" s="79" t="s">
        <v>608</v>
      </c>
      <c r="B200" t="s">
        <v>305</v>
      </c>
      <c r="C200" s="25">
        <v>0</v>
      </c>
      <c r="D200" s="25">
        <v>0</v>
      </c>
      <c r="E200" s="25">
        <v>0</v>
      </c>
      <c r="F200" s="25">
        <v>0</v>
      </c>
      <c r="G200" s="25">
        <v>0</v>
      </c>
      <c r="H200" s="25">
        <v>0</v>
      </c>
      <c r="I200" s="25">
        <v>0</v>
      </c>
      <c r="J200" s="25">
        <v>0</v>
      </c>
      <c r="K200" s="25">
        <v>0</v>
      </c>
      <c r="L200" s="25">
        <v>0</v>
      </c>
      <c r="M200" s="25">
        <v>0</v>
      </c>
      <c r="N200" s="25">
        <v>0</v>
      </c>
      <c r="O200" s="25">
        <v>0</v>
      </c>
      <c r="P200" s="25">
        <v>0</v>
      </c>
      <c r="Q200" s="25">
        <v>0</v>
      </c>
      <c r="R200" s="25">
        <v>0</v>
      </c>
      <c r="S200" s="25">
        <v>0</v>
      </c>
      <c r="T200" s="25">
        <v>0</v>
      </c>
      <c r="U200" s="25">
        <v>0</v>
      </c>
      <c r="V200" s="25">
        <v>0</v>
      </c>
      <c r="W200" s="25">
        <v>0</v>
      </c>
      <c r="X200" s="25">
        <v>0</v>
      </c>
      <c r="Y200" s="25">
        <v>0</v>
      </c>
      <c r="Z200" s="25">
        <v>0</v>
      </c>
      <c r="AA200" s="25">
        <v>0</v>
      </c>
      <c r="AB200" s="25">
        <v>0</v>
      </c>
      <c r="AC200" s="25">
        <v>0</v>
      </c>
      <c r="AD200" s="25">
        <v>0</v>
      </c>
      <c r="AE200" s="25">
        <v>0</v>
      </c>
      <c r="AF200" s="25">
        <v>0</v>
      </c>
      <c r="AG200" s="25">
        <v>0</v>
      </c>
      <c r="AH200" s="25">
        <v>0</v>
      </c>
      <c r="AI200" s="25">
        <v>0</v>
      </c>
      <c r="AJ200" s="25">
        <v>0</v>
      </c>
    </row>
    <row r="201" spans="1:36" x14ac:dyDescent="0.25">
      <c r="A201" s="79" t="s">
        <v>609</v>
      </c>
      <c r="B201" t="s">
        <v>305</v>
      </c>
      <c r="C201" s="25">
        <v>0</v>
      </c>
      <c r="D201" s="25">
        <v>0</v>
      </c>
      <c r="E201" s="25">
        <v>0</v>
      </c>
      <c r="F201" s="25">
        <v>0</v>
      </c>
      <c r="G201" s="25">
        <v>0</v>
      </c>
      <c r="H201" s="25">
        <v>0</v>
      </c>
      <c r="I201" s="25">
        <v>0</v>
      </c>
      <c r="J201" s="25">
        <v>0</v>
      </c>
      <c r="K201" s="25">
        <v>0</v>
      </c>
      <c r="L201" s="25">
        <v>0</v>
      </c>
      <c r="M201" s="25">
        <v>0</v>
      </c>
      <c r="N201" s="25">
        <v>0</v>
      </c>
      <c r="O201" s="25">
        <v>0</v>
      </c>
      <c r="P201" s="25">
        <v>0</v>
      </c>
      <c r="Q201" s="25">
        <v>0</v>
      </c>
      <c r="R201" s="25">
        <v>0</v>
      </c>
      <c r="S201" s="25">
        <v>0</v>
      </c>
      <c r="T201" s="25">
        <v>0</v>
      </c>
      <c r="U201" s="25">
        <v>0</v>
      </c>
      <c r="V201" s="25">
        <v>0</v>
      </c>
      <c r="W201" s="25">
        <v>0</v>
      </c>
      <c r="X201" s="25">
        <v>0</v>
      </c>
      <c r="Y201" s="25">
        <v>0</v>
      </c>
      <c r="Z201" s="25">
        <v>0</v>
      </c>
      <c r="AA201" s="25">
        <v>0</v>
      </c>
      <c r="AB201" s="25">
        <v>0</v>
      </c>
      <c r="AC201" s="25">
        <v>0</v>
      </c>
      <c r="AD201" s="25">
        <v>0</v>
      </c>
      <c r="AE201" s="25">
        <v>0</v>
      </c>
      <c r="AF201" s="25">
        <v>0</v>
      </c>
      <c r="AG201" s="25">
        <v>0</v>
      </c>
      <c r="AH201" s="25">
        <v>0</v>
      </c>
      <c r="AI201" s="25">
        <v>0</v>
      </c>
      <c r="AJ201" s="25">
        <v>0</v>
      </c>
    </row>
    <row r="202" spans="1:36" x14ac:dyDescent="0.25">
      <c r="A202" s="79" t="s">
        <v>610</v>
      </c>
      <c r="B202" t="s">
        <v>305</v>
      </c>
      <c r="C202" s="25">
        <v>5</v>
      </c>
      <c r="D202" s="25">
        <v>5</v>
      </c>
      <c r="E202" s="25">
        <v>5</v>
      </c>
      <c r="F202" s="25">
        <v>5</v>
      </c>
      <c r="G202" s="25">
        <v>5</v>
      </c>
      <c r="H202" s="25">
        <v>5</v>
      </c>
      <c r="I202" s="25">
        <v>5</v>
      </c>
      <c r="J202" s="25">
        <v>5</v>
      </c>
      <c r="K202" s="25">
        <v>5</v>
      </c>
      <c r="L202" s="25">
        <v>5</v>
      </c>
      <c r="M202" s="25">
        <v>5</v>
      </c>
      <c r="N202" s="25">
        <v>5</v>
      </c>
      <c r="O202" s="25">
        <v>5</v>
      </c>
      <c r="P202" s="25">
        <v>5</v>
      </c>
      <c r="Q202" s="25">
        <v>5</v>
      </c>
      <c r="R202" s="25">
        <v>5</v>
      </c>
      <c r="S202" s="25">
        <v>5</v>
      </c>
      <c r="T202" s="25">
        <v>5</v>
      </c>
      <c r="U202" s="25">
        <v>5</v>
      </c>
      <c r="V202" s="25">
        <v>5</v>
      </c>
      <c r="W202" s="25">
        <v>5</v>
      </c>
      <c r="X202" s="25">
        <v>5</v>
      </c>
      <c r="Y202" s="25">
        <v>5</v>
      </c>
      <c r="Z202" s="25">
        <v>5</v>
      </c>
      <c r="AA202" s="25">
        <v>5</v>
      </c>
      <c r="AB202" s="25">
        <v>5</v>
      </c>
      <c r="AC202" s="25">
        <v>5</v>
      </c>
      <c r="AD202" s="25">
        <v>5</v>
      </c>
      <c r="AE202" s="25">
        <v>5</v>
      </c>
      <c r="AF202" s="25">
        <v>5</v>
      </c>
      <c r="AG202" s="25">
        <v>5</v>
      </c>
      <c r="AH202" s="25">
        <v>5</v>
      </c>
      <c r="AI202" s="25">
        <v>5</v>
      </c>
      <c r="AJ202" s="25">
        <v>5</v>
      </c>
    </row>
    <row r="203" spans="1:36" x14ac:dyDescent="0.25">
      <c r="A203" s="79" t="s">
        <v>611</v>
      </c>
      <c r="B203" t="s">
        <v>305</v>
      </c>
      <c r="C203" s="25">
        <v>0</v>
      </c>
      <c r="D203" s="25">
        <v>0</v>
      </c>
      <c r="E203" s="25">
        <v>0</v>
      </c>
      <c r="F203" s="25">
        <v>0</v>
      </c>
      <c r="G203" s="25">
        <v>0</v>
      </c>
      <c r="H203" s="25">
        <v>0</v>
      </c>
      <c r="I203" s="25">
        <v>0</v>
      </c>
      <c r="J203" s="25">
        <v>0</v>
      </c>
      <c r="K203" s="25">
        <v>0</v>
      </c>
      <c r="L203" s="25">
        <v>0</v>
      </c>
      <c r="M203" s="25">
        <v>0</v>
      </c>
      <c r="N203" s="25">
        <v>0</v>
      </c>
      <c r="O203" s="25">
        <v>0</v>
      </c>
      <c r="P203" s="25">
        <v>0</v>
      </c>
      <c r="Q203" s="25">
        <v>0</v>
      </c>
      <c r="R203" s="25">
        <v>0</v>
      </c>
      <c r="S203" s="25">
        <v>0</v>
      </c>
      <c r="T203" s="25">
        <v>0</v>
      </c>
      <c r="U203" s="25">
        <v>0</v>
      </c>
      <c r="V203" s="25">
        <v>0</v>
      </c>
      <c r="W203" s="25">
        <v>0</v>
      </c>
      <c r="X203" s="25">
        <v>0</v>
      </c>
      <c r="Y203" s="25">
        <v>0</v>
      </c>
      <c r="Z203" s="25">
        <v>0</v>
      </c>
      <c r="AA203" s="25">
        <v>0</v>
      </c>
      <c r="AB203" s="25">
        <v>0</v>
      </c>
      <c r="AC203" s="25">
        <v>0</v>
      </c>
      <c r="AD203" s="25">
        <v>0</v>
      </c>
      <c r="AE203" s="25">
        <v>0</v>
      </c>
      <c r="AF203" s="25">
        <v>0</v>
      </c>
      <c r="AG203" s="25">
        <v>0</v>
      </c>
      <c r="AH203" s="25">
        <v>0</v>
      </c>
      <c r="AI203" s="25">
        <v>0</v>
      </c>
      <c r="AJ203" s="25">
        <v>0</v>
      </c>
    </row>
    <row r="204" spans="1:36" x14ac:dyDescent="0.25">
      <c r="A204" s="79" t="s">
        <v>612</v>
      </c>
      <c r="B204" t="s">
        <v>305</v>
      </c>
      <c r="C204" s="25">
        <v>0</v>
      </c>
      <c r="D204" s="25">
        <v>0</v>
      </c>
      <c r="E204" s="25">
        <v>0</v>
      </c>
      <c r="F204" s="25">
        <v>0</v>
      </c>
      <c r="G204" s="25">
        <v>0</v>
      </c>
      <c r="H204" s="25">
        <v>0</v>
      </c>
      <c r="I204" s="25">
        <v>0</v>
      </c>
      <c r="J204" s="25">
        <v>0</v>
      </c>
      <c r="K204" s="25">
        <v>0</v>
      </c>
      <c r="L204" s="25">
        <v>0</v>
      </c>
      <c r="M204" s="25">
        <v>0</v>
      </c>
      <c r="N204" s="25">
        <v>0</v>
      </c>
      <c r="O204" s="25">
        <v>0</v>
      </c>
      <c r="P204" s="25">
        <v>0</v>
      </c>
      <c r="Q204" s="25">
        <v>0</v>
      </c>
      <c r="R204" s="25">
        <v>0</v>
      </c>
      <c r="S204" s="25">
        <v>0</v>
      </c>
      <c r="T204" s="25">
        <v>0</v>
      </c>
      <c r="U204" s="25">
        <v>0</v>
      </c>
      <c r="V204" s="25">
        <v>0</v>
      </c>
      <c r="W204" s="25">
        <v>0</v>
      </c>
      <c r="X204" s="25">
        <v>0</v>
      </c>
      <c r="Y204" s="25">
        <v>0</v>
      </c>
      <c r="Z204" s="25">
        <v>0</v>
      </c>
      <c r="AA204" s="25">
        <v>0</v>
      </c>
      <c r="AB204" s="25">
        <v>0</v>
      </c>
      <c r="AC204" s="25">
        <v>0</v>
      </c>
      <c r="AD204" s="25">
        <v>0</v>
      </c>
      <c r="AE204" s="25">
        <v>0</v>
      </c>
      <c r="AF204" s="25">
        <v>0</v>
      </c>
      <c r="AG204" s="25">
        <v>0</v>
      </c>
      <c r="AH204" s="25">
        <v>0</v>
      </c>
      <c r="AI204" s="25">
        <v>0</v>
      </c>
      <c r="AJ204" s="25">
        <v>0</v>
      </c>
    </row>
    <row r="205" spans="1:36" x14ac:dyDescent="0.25">
      <c r="A205" s="79" t="s">
        <v>613</v>
      </c>
      <c r="B205" t="s">
        <v>305</v>
      </c>
      <c r="C205" s="25">
        <v>15</v>
      </c>
      <c r="D205" s="25">
        <v>15</v>
      </c>
      <c r="E205" s="25">
        <v>15</v>
      </c>
      <c r="F205" s="25">
        <v>15</v>
      </c>
      <c r="G205" s="25">
        <v>15</v>
      </c>
      <c r="H205" s="25">
        <v>15</v>
      </c>
      <c r="I205" s="25">
        <v>15</v>
      </c>
      <c r="J205" s="25">
        <v>15</v>
      </c>
      <c r="K205" s="25">
        <v>15</v>
      </c>
      <c r="L205" s="25">
        <v>15</v>
      </c>
      <c r="M205" s="25">
        <v>15</v>
      </c>
      <c r="N205" s="25">
        <v>15</v>
      </c>
      <c r="O205" s="25">
        <v>15</v>
      </c>
      <c r="P205" s="25">
        <v>15</v>
      </c>
      <c r="Q205" s="25">
        <v>15</v>
      </c>
      <c r="R205" s="25">
        <v>15</v>
      </c>
      <c r="S205" s="25">
        <v>15</v>
      </c>
      <c r="T205" s="25">
        <v>15</v>
      </c>
      <c r="U205" s="25">
        <v>15</v>
      </c>
      <c r="V205" s="25">
        <v>15</v>
      </c>
      <c r="W205" s="25">
        <v>15</v>
      </c>
      <c r="X205" s="25">
        <v>15</v>
      </c>
      <c r="Y205" s="25">
        <v>15</v>
      </c>
      <c r="Z205" s="25">
        <v>15</v>
      </c>
      <c r="AA205" s="25">
        <v>15</v>
      </c>
      <c r="AB205" s="25">
        <v>15</v>
      </c>
      <c r="AC205" s="25">
        <v>15</v>
      </c>
      <c r="AD205" s="25">
        <v>15</v>
      </c>
      <c r="AE205" s="25">
        <v>15</v>
      </c>
      <c r="AF205" s="25">
        <v>15</v>
      </c>
      <c r="AG205" s="25">
        <v>15</v>
      </c>
      <c r="AH205" s="25">
        <v>15</v>
      </c>
      <c r="AI205" s="25">
        <v>15</v>
      </c>
      <c r="AJ205" s="25">
        <v>15</v>
      </c>
    </row>
    <row r="206" spans="1:36" x14ac:dyDescent="0.25">
      <c r="A206" s="79" t="s">
        <v>614</v>
      </c>
      <c r="B206" t="s">
        <v>305</v>
      </c>
      <c r="C206" s="25">
        <v>0</v>
      </c>
      <c r="D206" s="25">
        <v>0</v>
      </c>
      <c r="E206" s="25">
        <v>0</v>
      </c>
      <c r="F206" s="25">
        <v>0</v>
      </c>
      <c r="G206" s="25">
        <v>0</v>
      </c>
      <c r="H206" s="25">
        <v>0</v>
      </c>
      <c r="I206" s="25">
        <v>0</v>
      </c>
      <c r="J206" s="25">
        <v>0</v>
      </c>
      <c r="K206" s="25">
        <v>0</v>
      </c>
      <c r="L206" s="25">
        <v>0</v>
      </c>
      <c r="M206" s="25">
        <v>0</v>
      </c>
      <c r="N206" s="25">
        <v>0</v>
      </c>
      <c r="O206" s="25">
        <v>0</v>
      </c>
      <c r="P206" s="25">
        <v>0</v>
      </c>
      <c r="Q206" s="25">
        <v>0</v>
      </c>
      <c r="R206" s="25">
        <v>0</v>
      </c>
      <c r="S206" s="25">
        <v>0</v>
      </c>
      <c r="T206" s="25">
        <v>0</v>
      </c>
      <c r="U206" s="25">
        <v>0</v>
      </c>
      <c r="V206" s="25">
        <v>0</v>
      </c>
      <c r="W206" s="25">
        <v>0</v>
      </c>
      <c r="X206" s="25">
        <v>0</v>
      </c>
      <c r="Y206" s="25">
        <v>0</v>
      </c>
      <c r="Z206" s="25">
        <v>0</v>
      </c>
      <c r="AA206" s="25">
        <v>0</v>
      </c>
      <c r="AB206" s="25">
        <v>0</v>
      </c>
      <c r="AC206" s="25">
        <v>0</v>
      </c>
      <c r="AD206" s="25">
        <v>0</v>
      </c>
      <c r="AE206" s="25">
        <v>0</v>
      </c>
      <c r="AF206" s="25">
        <v>0</v>
      </c>
      <c r="AG206" s="25">
        <v>0</v>
      </c>
      <c r="AH206" s="25">
        <v>0</v>
      </c>
      <c r="AI206" s="25">
        <v>0</v>
      </c>
      <c r="AJ206" s="25">
        <v>0</v>
      </c>
    </row>
    <row r="207" spans="1:36" x14ac:dyDescent="0.25">
      <c r="A207" s="79" t="s">
        <v>775</v>
      </c>
      <c r="B207" t="s">
        <v>305</v>
      </c>
      <c r="C207" s="25">
        <v>0</v>
      </c>
      <c r="D207" s="25">
        <v>0</v>
      </c>
      <c r="E207" s="25">
        <v>0</v>
      </c>
      <c r="F207" s="25">
        <v>0</v>
      </c>
      <c r="G207" s="25">
        <v>0</v>
      </c>
      <c r="H207" s="25">
        <v>0</v>
      </c>
      <c r="I207" s="25">
        <v>0</v>
      </c>
      <c r="J207" s="25">
        <v>0</v>
      </c>
      <c r="K207" s="25">
        <v>0</v>
      </c>
      <c r="L207" s="25">
        <v>0</v>
      </c>
      <c r="M207" s="25">
        <v>0</v>
      </c>
      <c r="N207" s="25">
        <v>0</v>
      </c>
      <c r="O207" s="25">
        <v>0</v>
      </c>
      <c r="P207" s="25">
        <v>0</v>
      </c>
      <c r="Q207" s="25">
        <v>0</v>
      </c>
      <c r="R207" s="25">
        <v>0</v>
      </c>
      <c r="S207" s="25">
        <v>0</v>
      </c>
      <c r="T207" s="25">
        <v>0</v>
      </c>
      <c r="U207" s="25">
        <v>0</v>
      </c>
      <c r="V207" s="25">
        <v>0</v>
      </c>
      <c r="W207" s="25">
        <v>0</v>
      </c>
      <c r="X207" s="25">
        <v>0</v>
      </c>
      <c r="Y207" s="25">
        <v>0</v>
      </c>
      <c r="Z207" s="25">
        <v>0</v>
      </c>
      <c r="AA207" s="25">
        <v>0</v>
      </c>
      <c r="AB207" s="25">
        <v>0</v>
      </c>
      <c r="AC207" s="25">
        <v>0</v>
      </c>
      <c r="AD207" s="25">
        <v>0</v>
      </c>
      <c r="AE207" s="25">
        <v>0</v>
      </c>
      <c r="AF207" s="25">
        <v>0</v>
      </c>
      <c r="AG207" s="25">
        <v>0</v>
      </c>
      <c r="AH207" s="25">
        <v>0</v>
      </c>
      <c r="AI207" s="25">
        <v>0</v>
      </c>
      <c r="AJ207" s="25">
        <v>0</v>
      </c>
    </row>
    <row r="208" spans="1:36" s="80" customFormat="1" x14ac:dyDescent="0.25">
      <c r="A208" s="80" t="s">
        <v>789</v>
      </c>
      <c r="C208" s="81">
        <f>+SUM(C197:C207)</f>
        <v>100</v>
      </c>
      <c r="D208" s="81">
        <f t="shared" ref="D208" si="430">+SUM(D197:D207)</f>
        <v>100</v>
      </c>
      <c r="E208" s="81">
        <f t="shared" ref="E208" si="431">+SUM(E197:E207)</f>
        <v>100</v>
      </c>
      <c r="F208" s="81">
        <f t="shared" ref="F208" si="432">+SUM(F197:F207)</f>
        <v>100</v>
      </c>
      <c r="G208" s="81">
        <f t="shared" ref="G208" si="433">+SUM(G197:G207)</f>
        <v>100</v>
      </c>
      <c r="H208" s="81">
        <f t="shared" ref="H208" si="434">+SUM(H197:H207)</f>
        <v>100</v>
      </c>
      <c r="I208" s="81">
        <f t="shared" ref="I208" si="435">+SUM(I197:I207)</f>
        <v>100</v>
      </c>
      <c r="J208" s="81">
        <f t="shared" ref="J208" si="436">+SUM(J197:J207)</f>
        <v>100</v>
      </c>
      <c r="K208" s="81">
        <f t="shared" ref="K208" si="437">+SUM(K197:K207)</f>
        <v>100</v>
      </c>
      <c r="L208" s="81">
        <f t="shared" ref="L208" si="438">+SUM(L197:L207)</f>
        <v>100</v>
      </c>
      <c r="M208" s="81">
        <f t="shared" ref="M208" si="439">+SUM(M197:M207)</f>
        <v>100</v>
      </c>
      <c r="N208" s="81">
        <f t="shared" ref="N208" si="440">+SUM(N197:N207)</f>
        <v>100</v>
      </c>
      <c r="O208" s="81">
        <f t="shared" ref="O208" si="441">+SUM(O197:O207)</f>
        <v>100</v>
      </c>
      <c r="P208" s="81">
        <f t="shared" ref="P208" si="442">+SUM(P197:P207)</f>
        <v>100</v>
      </c>
      <c r="Q208" s="81">
        <f t="shared" ref="Q208" si="443">+SUM(Q197:Q207)</f>
        <v>100</v>
      </c>
      <c r="R208" s="81">
        <f t="shared" ref="R208" si="444">+SUM(R197:R207)</f>
        <v>100</v>
      </c>
      <c r="S208" s="81">
        <f t="shared" ref="S208" si="445">+SUM(S197:S207)</f>
        <v>100</v>
      </c>
      <c r="T208" s="81">
        <f t="shared" ref="T208" si="446">+SUM(T197:T207)</f>
        <v>100</v>
      </c>
      <c r="U208" s="81">
        <f t="shared" ref="U208" si="447">+SUM(U197:U207)</f>
        <v>100</v>
      </c>
      <c r="V208" s="81">
        <f t="shared" ref="V208" si="448">+SUM(V197:V207)</f>
        <v>100</v>
      </c>
      <c r="W208" s="81">
        <f t="shared" ref="W208" si="449">+SUM(W197:W207)</f>
        <v>100</v>
      </c>
      <c r="X208" s="81">
        <f t="shared" ref="X208" si="450">+SUM(X197:X207)</f>
        <v>100</v>
      </c>
      <c r="Y208" s="81">
        <f t="shared" ref="Y208" si="451">+SUM(Y197:Y207)</f>
        <v>100</v>
      </c>
      <c r="Z208" s="81">
        <f t="shared" ref="Z208" si="452">+SUM(Z197:Z207)</f>
        <v>100</v>
      </c>
      <c r="AA208" s="81">
        <f t="shared" ref="AA208" si="453">+SUM(AA197:AA207)</f>
        <v>100</v>
      </c>
      <c r="AB208" s="81">
        <f t="shared" ref="AB208" si="454">+SUM(AB197:AB207)</f>
        <v>100</v>
      </c>
      <c r="AC208" s="81">
        <f t="shared" ref="AC208" si="455">+SUM(AC197:AC207)</f>
        <v>100</v>
      </c>
      <c r="AD208" s="81">
        <f t="shared" ref="AD208" si="456">+SUM(AD197:AD207)</f>
        <v>100</v>
      </c>
      <c r="AE208" s="81">
        <f t="shared" ref="AE208" si="457">+SUM(AE197:AE207)</f>
        <v>100</v>
      </c>
      <c r="AF208" s="81">
        <f t="shared" ref="AF208" si="458">+SUM(AF197:AF207)</f>
        <v>100</v>
      </c>
      <c r="AG208" s="81">
        <f t="shared" ref="AG208" si="459">+SUM(AG197:AG207)</f>
        <v>100</v>
      </c>
      <c r="AH208" s="81">
        <f t="shared" ref="AH208" si="460">+SUM(AH197:AH207)</f>
        <v>100</v>
      </c>
      <c r="AI208" s="81">
        <f t="shared" ref="AI208" si="461">+SUM(AI197:AI207)</f>
        <v>100</v>
      </c>
      <c r="AJ208" s="81">
        <f t="shared" ref="AJ208" si="462">+SUM(AJ197:AJ207)</f>
        <v>100</v>
      </c>
    </row>
    <row r="209" spans="1:36" x14ac:dyDescent="0.25">
      <c r="A209" t="s">
        <v>615</v>
      </c>
      <c r="B209" t="s">
        <v>305</v>
      </c>
      <c r="C209" s="25">
        <v>0</v>
      </c>
      <c r="D209" s="25">
        <v>0</v>
      </c>
      <c r="E209" s="25">
        <v>0</v>
      </c>
      <c r="F209" s="25">
        <v>0</v>
      </c>
      <c r="G209" s="25">
        <v>0</v>
      </c>
      <c r="H209" s="25">
        <v>0</v>
      </c>
      <c r="I209" s="25">
        <v>0</v>
      </c>
      <c r="J209" s="25">
        <v>0</v>
      </c>
      <c r="K209" s="25">
        <v>0</v>
      </c>
      <c r="L209" s="25">
        <v>0</v>
      </c>
      <c r="M209" s="25">
        <v>0</v>
      </c>
      <c r="N209" s="25">
        <v>0</v>
      </c>
      <c r="O209" s="25">
        <v>0</v>
      </c>
      <c r="P209" s="25">
        <v>0</v>
      </c>
      <c r="Q209" s="25">
        <v>0</v>
      </c>
      <c r="R209" s="25">
        <v>0</v>
      </c>
      <c r="S209" s="25">
        <v>0</v>
      </c>
      <c r="T209" s="25">
        <v>0</v>
      </c>
      <c r="U209" s="25">
        <v>0</v>
      </c>
      <c r="V209" s="25">
        <v>0</v>
      </c>
      <c r="W209" s="25">
        <v>0</v>
      </c>
      <c r="X209" s="25">
        <v>0</v>
      </c>
      <c r="Y209" s="25">
        <v>0</v>
      </c>
      <c r="Z209" s="25">
        <v>0</v>
      </c>
      <c r="AA209" s="25">
        <v>0</v>
      </c>
      <c r="AB209" s="25">
        <v>0</v>
      </c>
      <c r="AC209" s="25">
        <v>0</v>
      </c>
      <c r="AD209" s="25">
        <v>0</v>
      </c>
      <c r="AE209" s="25">
        <v>0</v>
      </c>
      <c r="AF209" s="25">
        <v>0</v>
      </c>
      <c r="AG209" s="25">
        <v>0</v>
      </c>
      <c r="AH209" s="25">
        <v>0</v>
      </c>
      <c r="AI209" s="25">
        <v>0</v>
      </c>
      <c r="AJ209" s="25">
        <v>0</v>
      </c>
    </row>
    <row r="210" spans="1:36" x14ac:dyDescent="0.25">
      <c r="A210" t="s">
        <v>616</v>
      </c>
      <c r="B210" t="s">
        <v>305</v>
      </c>
      <c r="C210" s="25">
        <v>5</v>
      </c>
      <c r="D210" s="25">
        <v>5</v>
      </c>
      <c r="E210" s="25">
        <v>5</v>
      </c>
      <c r="F210" s="25">
        <v>5</v>
      </c>
      <c r="G210" s="25">
        <v>5</v>
      </c>
      <c r="H210" s="25">
        <v>5</v>
      </c>
      <c r="I210" s="25">
        <v>5</v>
      </c>
      <c r="J210" s="25">
        <v>5</v>
      </c>
      <c r="K210" s="25">
        <v>5</v>
      </c>
      <c r="L210" s="25">
        <v>5</v>
      </c>
      <c r="M210" s="25">
        <v>5</v>
      </c>
      <c r="N210" s="25">
        <v>5</v>
      </c>
      <c r="O210" s="25">
        <v>5</v>
      </c>
      <c r="P210" s="25">
        <v>5</v>
      </c>
      <c r="Q210" s="25">
        <v>5</v>
      </c>
      <c r="R210" s="25">
        <v>5</v>
      </c>
      <c r="S210" s="25">
        <v>5</v>
      </c>
      <c r="T210" s="25">
        <v>5</v>
      </c>
      <c r="U210" s="25">
        <v>5</v>
      </c>
      <c r="V210" s="25">
        <v>5</v>
      </c>
      <c r="W210" s="25">
        <v>5</v>
      </c>
      <c r="X210" s="25">
        <v>5</v>
      </c>
      <c r="Y210" s="25">
        <v>5</v>
      </c>
      <c r="Z210" s="25">
        <v>5</v>
      </c>
      <c r="AA210" s="25">
        <v>5</v>
      </c>
      <c r="AB210" s="25">
        <v>5</v>
      </c>
      <c r="AC210" s="25">
        <v>5</v>
      </c>
      <c r="AD210" s="25">
        <v>5</v>
      </c>
      <c r="AE210" s="25">
        <v>5</v>
      </c>
      <c r="AF210" s="25">
        <v>5</v>
      </c>
      <c r="AG210" s="25">
        <v>5</v>
      </c>
      <c r="AH210" s="25">
        <v>5</v>
      </c>
      <c r="AI210" s="25">
        <v>5</v>
      </c>
      <c r="AJ210" s="25">
        <v>5</v>
      </c>
    </row>
    <row r="211" spans="1:36" x14ac:dyDescent="0.25">
      <c r="A211" t="s">
        <v>617</v>
      </c>
      <c r="B211" t="s">
        <v>305</v>
      </c>
      <c r="C211" s="25">
        <v>70</v>
      </c>
      <c r="D211" s="25">
        <v>70</v>
      </c>
      <c r="E211" s="25">
        <v>70</v>
      </c>
      <c r="F211" s="25">
        <v>70</v>
      </c>
      <c r="G211" s="25">
        <v>70</v>
      </c>
      <c r="H211" s="25">
        <v>70</v>
      </c>
      <c r="I211" s="25">
        <v>70</v>
      </c>
      <c r="J211" s="25">
        <v>70</v>
      </c>
      <c r="K211" s="25">
        <v>70</v>
      </c>
      <c r="L211" s="25">
        <v>70</v>
      </c>
      <c r="M211" s="25">
        <v>70</v>
      </c>
      <c r="N211" s="25">
        <v>70</v>
      </c>
      <c r="O211" s="25">
        <v>70</v>
      </c>
      <c r="P211" s="25">
        <v>70</v>
      </c>
      <c r="Q211" s="25">
        <v>70</v>
      </c>
      <c r="R211" s="25">
        <v>70</v>
      </c>
      <c r="S211" s="25">
        <v>70</v>
      </c>
      <c r="T211" s="25">
        <v>70</v>
      </c>
      <c r="U211" s="25">
        <v>70</v>
      </c>
      <c r="V211" s="25">
        <v>70</v>
      </c>
      <c r="W211" s="25">
        <v>70</v>
      </c>
      <c r="X211" s="25">
        <v>70</v>
      </c>
      <c r="Y211" s="25">
        <v>70</v>
      </c>
      <c r="Z211" s="25">
        <v>70</v>
      </c>
      <c r="AA211" s="25">
        <v>70</v>
      </c>
      <c r="AB211" s="25">
        <v>70</v>
      </c>
      <c r="AC211" s="25">
        <v>70</v>
      </c>
      <c r="AD211" s="25">
        <v>70</v>
      </c>
      <c r="AE211" s="25">
        <v>70</v>
      </c>
      <c r="AF211" s="25">
        <v>70</v>
      </c>
      <c r="AG211" s="25">
        <v>70</v>
      </c>
      <c r="AH211" s="25">
        <v>70</v>
      </c>
      <c r="AI211" s="25">
        <v>70</v>
      </c>
      <c r="AJ211" s="25">
        <v>70</v>
      </c>
    </row>
    <row r="212" spans="1:36" x14ac:dyDescent="0.25">
      <c r="A212" t="s">
        <v>618</v>
      </c>
      <c r="B212" t="s">
        <v>305</v>
      </c>
      <c r="C212" s="25">
        <v>0</v>
      </c>
      <c r="D212" s="25">
        <v>0</v>
      </c>
      <c r="E212" s="25">
        <v>0</v>
      </c>
      <c r="F212" s="25">
        <v>0</v>
      </c>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c r="Z212" s="25">
        <v>0</v>
      </c>
      <c r="AA212" s="25">
        <v>0</v>
      </c>
      <c r="AB212" s="25">
        <v>0</v>
      </c>
      <c r="AC212" s="25">
        <v>0</v>
      </c>
      <c r="AD212" s="25">
        <v>0</v>
      </c>
      <c r="AE212" s="25">
        <v>0</v>
      </c>
      <c r="AF212" s="25">
        <v>0</v>
      </c>
      <c r="AG212" s="25">
        <v>0</v>
      </c>
      <c r="AH212" s="25">
        <v>0</v>
      </c>
      <c r="AI212" s="25">
        <v>0</v>
      </c>
      <c r="AJ212" s="25">
        <v>0</v>
      </c>
    </row>
    <row r="213" spans="1:36" x14ac:dyDescent="0.25">
      <c r="A213" t="s">
        <v>619</v>
      </c>
      <c r="B213" t="s">
        <v>305</v>
      </c>
      <c r="C213" s="25">
        <v>5</v>
      </c>
      <c r="D213" s="25">
        <v>5</v>
      </c>
      <c r="E213" s="25">
        <v>5</v>
      </c>
      <c r="F213" s="25">
        <v>5</v>
      </c>
      <c r="G213" s="25">
        <v>5</v>
      </c>
      <c r="H213" s="25">
        <v>5</v>
      </c>
      <c r="I213" s="25">
        <v>5</v>
      </c>
      <c r="J213" s="25">
        <v>5</v>
      </c>
      <c r="K213" s="25">
        <v>5</v>
      </c>
      <c r="L213" s="25">
        <v>5</v>
      </c>
      <c r="M213" s="25">
        <v>5</v>
      </c>
      <c r="N213" s="25">
        <v>5</v>
      </c>
      <c r="O213" s="25">
        <v>5</v>
      </c>
      <c r="P213" s="25">
        <v>5</v>
      </c>
      <c r="Q213" s="25">
        <v>5</v>
      </c>
      <c r="R213" s="25">
        <v>5</v>
      </c>
      <c r="S213" s="25">
        <v>5</v>
      </c>
      <c r="T213" s="25">
        <v>5</v>
      </c>
      <c r="U213" s="25">
        <v>5</v>
      </c>
      <c r="V213" s="25">
        <v>5</v>
      </c>
      <c r="W213" s="25">
        <v>5</v>
      </c>
      <c r="X213" s="25">
        <v>5</v>
      </c>
      <c r="Y213" s="25">
        <v>5</v>
      </c>
      <c r="Z213" s="25">
        <v>5</v>
      </c>
      <c r="AA213" s="25">
        <v>5</v>
      </c>
      <c r="AB213" s="25">
        <v>5</v>
      </c>
      <c r="AC213" s="25">
        <v>5</v>
      </c>
      <c r="AD213" s="25">
        <v>5</v>
      </c>
      <c r="AE213" s="25">
        <v>5</v>
      </c>
      <c r="AF213" s="25">
        <v>5</v>
      </c>
      <c r="AG213" s="25">
        <v>5</v>
      </c>
      <c r="AH213" s="25">
        <v>5</v>
      </c>
      <c r="AI213" s="25">
        <v>5</v>
      </c>
      <c r="AJ213" s="25">
        <v>5</v>
      </c>
    </row>
    <row r="214" spans="1:36" x14ac:dyDescent="0.25">
      <c r="A214" t="s">
        <v>620</v>
      </c>
      <c r="B214" t="s">
        <v>305</v>
      </c>
      <c r="C214" s="25">
        <v>10</v>
      </c>
      <c r="D214" s="25">
        <v>10</v>
      </c>
      <c r="E214" s="25">
        <v>10</v>
      </c>
      <c r="F214" s="25">
        <v>10</v>
      </c>
      <c r="G214" s="25">
        <v>10</v>
      </c>
      <c r="H214" s="25">
        <v>10</v>
      </c>
      <c r="I214" s="25">
        <v>10</v>
      </c>
      <c r="J214" s="25">
        <v>10</v>
      </c>
      <c r="K214" s="25">
        <v>10</v>
      </c>
      <c r="L214" s="25">
        <v>10</v>
      </c>
      <c r="M214" s="25">
        <v>10</v>
      </c>
      <c r="N214" s="25">
        <v>10</v>
      </c>
      <c r="O214" s="25">
        <v>10</v>
      </c>
      <c r="P214" s="25">
        <v>10</v>
      </c>
      <c r="Q214" s="25">
        <v>10</v>
      </c>
      <c r="R214" s="25">
        <v>10</v>
      </c>
      <c r="S214" s="25">
        <v>10</v>
      </c>
      <c r="T214" s="25">
        <v>10</v>
      </c>
      <c r="U214" s="25">
        <v>10</v>
      </c>
      <c r="V214" s="25">
        <v>10</v>
      </c>
      <c r="W214" s="25">
        <v>10</v>
      </c>
      <c r="X214" s="25">
        <v>10</v>
      </c>
      <c r="Y214" s="25">
        <v>10</v>
      </c>
      <c r="Z214" s="25">
        <v>10</v>
      </c>
      <c r="AA214" s="25">
        <v>10</v>
      </c>
      <c r="AB214" s="25">
        <v>10</v>
      </c>
      <c r="AC214" s="25">
        <v>10</v>
      </c>
      <c r="AD214" s="25">
        <v>10</v>
      </c>
      <c r="AE214" s="25">
        <v>10</v>
      </c>
      <c r="AF214" s="25">
        <v>10</v>
      </c>
      <c r="AG214" s="25">
        <v>10</v>
      </c>
      <c r="AH214" s="25">
        <v>10</v>
      </c>
      <c r="AI214" s="25">
        <v>10</v>
      </c>
      <c r="AJ214" s="25">
        <v>10</v>
      </c>
    </row>
    <row r="215" spans="1:36" x14ac:dyDescent="0.25">
      <c r="A215" t="s">
        <v>621</v>
      </c>
      <c r="B215" t="s">
        <v>305</v>
      </c>
      <c r="C215" s="25">
        <v>0</v>
      </c>
      <c r="D215" s="25">
        <v>0</v>
      </c>
      <c r="E215" s="25">
        <v>0</v>
      </c>
      <c r="F215" s="25">
        <v>0</v>
      </c>
      <c r="G215" s="25">
        <v>0</v>
      </c>
      <c r="H215" s="25">
        <v>0</v>
      </c>
      <c r="I215" s="25">
        <v>0</v>
      </c>
      <c r="J215" s="25">
        <v>0</v>
      </c>
      <c r="K215" s="25">
        <v>0</v>
      </c>
      <c r="L215" s="25">
        <v>0</v>
      </c>
      <c r="M215" s="25">
        <v>0</v>
      </c>
      <c r="N215" s="25">
        <v>0</v>
      </c>
      <c r="O215" s="25">
        <v>0</v>
      </c>
      <c r="P215" s="25">
        <v>0</v>
      </c>
      <c r="Q215" s="25">
        <v>0</v>
      </c>
      <c r="R215" s="25">
        <v>0</v>
      </c>
      <c r="S215" s="25">
        <v>0</v>
      </c>
      <c r="T215" s="25">
        <v>0</v>
      </c>
      <c r="U215" s="25">
        <v>0</v>
      </c>
      <c r="V215" s="25">
        <v>0</v>
      </c>
      <c r="W215" s="25">
        <v>0</v>
      </c>
      <c r="X215" s="25">
        <v>0</v>
      </c>
      <c r="Y215" s="25">
        <v>0</v>
      </c>
      <c r="Z215" s="25">
        <v>0</v>
      </c>
      <c r="AA215" s="25">
        <v>0</v>
      </c>
      <c r="AB215" s="25">
        <v>0</v>
      </c>
      <c r="AC215" s="25">
        <v>0</v>
      </c>
      <c r="AD215" s="25">
        <v>0</v>
      </c>
      <c r="AE215" s="25">
        <v>0</v>
      </c>
      <c r="AF215" s="25">
        <v>0</v>
      </c>
      <c r="AG215" s="25">
        <v>0</v>
      </c>
      <c r="AH215" s="25">
        <v>0</v>
      </c>
      <c r="AI215" s="25">
        <v>0</v>
      </c>
      <c r="AJ215" s="25">
        <v>0</v>
      </c>
    </row>
    <row r="216" spans="1:36" x14ac:dyDescent="0.25">
      <c r="A216" t="s">
        <v>622</v>
      </c>
      <c r="B216" t="s">
        <v>305</v>
      </c>
      <c r="C216" s="25">
        <v>10</v>
      </c>
      <c r="D216" s="25">
        <v>10</v>
      </c>
      <c r="E216" s="25">
        <v>10</v>
      </c>
      <c r="F216" s="25">
        <v>10</v>
      </c>
      <c r="G216" s="25">
        <v>10</v>
      </c>
      <c r="H216" s="25">
        <v>10</v>
      </c>
      <c r="I216" s="25">
        <v>10</v>
      </c>
      <c r="J216" s="25">
        <v>10</v>
      </c>
      <c r="K216" s="25">
        <v>10</v>
      </c>
      <c r="L216" s="25">
        <v>10</v>
      </c>
      <c r="M216" s="25">
        <v>10</v>
      </c>
      <c r="N216" s="25">
        <v>10</v>
      </c>
      <c r="O216" s="25">
        <v>10</v>
      </c>
      <c r="P216" s="25">
        <v>10</v>
      </c>
      <c r="Q216" s="25">
        <v>10</v>
      </c>
      <c r="R216" s="25">
        <v>10</v>
      </c>
      <c r="S216" s="25">
        <v>10</v>
      </c>
      <c r="T216" s="25">
        <v>10</v>
      </c>
      <c r="U216" s="25">
        <v>10</v>
      </c>
      <c r="V216" s="25">
        <v>10</v>
      </c>
      <c r="W216" s="25">
        <v>10</v>
      </c>
      <c r="X216" s="25">
        <v>10</v>
      </c>
      <c r="Y216" s="25">
        <v>10</v>
      </c>
      <c r="Z216" s="25">
        <v>10</v>
      </c>
      <c r="AA216" s="25">
        <v>10</v>
      </c>
      <c r="AB216" s="25">
        <v>10</v>
      </c>
      <c r="AC216" s="25">
        <v>10</v>
      </c>
      <c r="AD216" s="25">
        <v>10</v>
      </c>
      <c r="AE216" s="25">
        <v>10</v>
      </c>
      <c r="AF216" s="25">
        <v>10</v>
      </c>
      <c r="AG216" s="25">
        <v>10</v>
      </c>
      <c r="AH216" s="25">
        <v>10</v>
      </c>
      <c r="AI216" s="25">
        <v>10</v>
      </c>
      <c r="AJ216" s="25">
        <v>10</v>
      </c>
    </row>
    <row r="217" spans="1:36" x14ac:dyDescent="0.25">
      <c r="A217" t="s">
        <v>623</v>
      </c>
      <c r="B217" t="s">
        <v>305</v>
      </c>
      <c r="C217" s="25">
        <v>0</v>
      </c>
      <c r="D217" s="25">
        <v>0</v>
      </c>
      <c r="E217" s="25">
        <v>0</v>
      </c>
      <c r="F217" s="25">
        <v>0</v>
      </c>
      <c r="G217" s="25">
        <v>0</v>
      </c>
      <c r="H217" s="25">
        <v>0</v>
      </c>
      <c r="I217" s="25">
        <v>0</v>
      </c>
      <c r="J217" s="25">
        <v>0</v>
      </c>
      <c r="K217" s="25">
        <v>0</v>
      </c>
      <c r="L217" s="25">
        <v>0</v>
      </c>
      <c r="M217" s="25">
        <v>0</v>
      </c>
      <c r="N217" s="25">
        <v>0</v>
      </c>
      <c r="O217" s="25">
        <v>0</v>
      </c>
      <c r="P217" s="25">
        <v>0</v>
      </c>
      <c r="Q217" s="25">
        <v>0</v>
      </c>
      <c r="R217" s="25">
        <v>0</v>
      </c>
      <c r="S217" s="25">
        <v>0</v>
      </c>
      <c r="T217" s="25">
        <v>0</v>
      </c>
      <c r="U217" s="25">
        <v>0</v>
      </c>
      <c r="V217" s="25">
        <v>0</v>
      </c>
      <c r="W217" s="25">
        <v>0</v>
      </c>
      <c r="X217" s="25">
        <v>0</v>
      </c>
      <c r="Y217" s="25">
        <v>0</v>
      </c>
      <c r="Z217" s="25">
        <v>0</v>
      </c>
      <c r="AA217" s="25">
        <v>0</v>
      </c>
      <c r="AB217" s="25">
        <v>0</v>
      </c>
      <c r="AC217" s="25">
        <v>0</v>
      </c>
      <c r="AD217" s="25">
        <v>0</v>
      </c>
      <c r="AE217" s="25">
        <v>0</v>
      </c>
      <c r="AF217" s="25">
        <v>0</v>
      </c>
      <c r="AG217" s="25">
        <v>0</v>
      </c>
      <c r="AH217" s="25">
        <v>0</v>
      </c>
      <c r="AI217" s="25">
        <v>0</v>
      </c>
      <c r="AJ217" s="25">
        <v>0</v>
      </c>
    </row>
    <row r="218" spans="1:36" x14ac:dyDescent="0.25">
      <c r="A218" t="s">
        <v>624</v>
      </c>
      <c r="B218" t="s">
        <v>305</v>
      </c>
      <c r="C218" s="25">
        <v>0</v>
      </c>
      <c r="D218" s="25">
        <v>0</v>
      </c>
      <c r="E218" s="25">
        <v>0</v>
      </c>
      <c r="F218" s="25">
        <v>0</v>
      </c>
      <c r="G218" s="25">
        <v>0</v>
      </c>
      <c r="H218" s="25">
        <v>0</v>
      </c>
      <c r="I218" s="25">
        <v>0</v>
      </c>
      <c r="J218" s="25">
        <v>0</v>
      </c>
      <c r="K218" s="25">
        <v>0</v>
      </c>
      <c r="L218" s="25">
        <v>0</v>
      </c>
      <c r="M218" s="25">
        <v>0</v>
      </c>
      <c r="N218" s="25">
        <v>0</v>
      </c>
      <c r="O218" s="25">
        <v>0</v>
      </c>
      <c r="P218" s="25">
        <v>0</v>
      </c>
      <c r="Q218" s="25">
        <v>0</v>
      </c>
      <c r="R218" s="25">
        <v>0</v>
      </c>
      <c r="S218" s="25">
        <v>0</v>
      </c>
      <c r="T218" s="25">
        <v>0</v>
      </c>
      <c r="U218" s="25">
        <v>0</v>
      </c>
      <c r="V218" s="25">
        <v>0</v>
      </c>
      <c r="W218" s="25">
        <v>0</v>
      </c>
      <c r="X218" s="25">
        <v>0</v>
      </c>
      <c r="Y218" s="25">
        <v>0</v>
      </c>
      <c r="Z218" s="25">
        <v>0</v>
      </c>
      <c r="AA218" s="25">
        <v>0</v>
      </c>
      <c r="AB218" s="25">
        <v>0</v>
      </c>
      <c r="AC218" s="25">
        <v>0</v>
      </c>
      <c r="AD218" s="25">
        <v>0</v>
      </c>
      <c r="AE218" s="25">
        <v>0</v>
      </c>
      <c r="AF218" s="25">
        <v>0</v>
      </c>
      <c r="AG218" s="25">
        <v>0</v>
      </c>
      <c r="AH218" s="25">
        <v>0</v>
      </c>
      <c r="AI218" s="25">
        <v>0</v>
      </c>
      <c r="AJ218" s="25">
        <v>0</v>
      </c>
    </row>
    <row r="219" spans="1:36" x14ac:dyDescent="0.25">
      <c r="A219" t="s">
        <v>776</v>
      </c>
      <c r="B219" t="s">
        <v>305</v>
      </c>
      <c r="C219" s="25">
        <v>0</v>
      </c>
      <c r="D219" s="25">
        <v>0</v>
      </c>
      <c r="E219" s="25">
        <v>0</v>
      </c>
      <c r="F219" s="25">
        <v>0</v>
      </c>
      <c r="G219" s="25">
        <v>0</v>
      </c>
      <c r="H219" s="25">
        <v>0</v>
      </c>
      <c r="I219" s="25">
        <v>0</v>
      </c>
      <c r="J219" s="25">
        <v>0</v>
      </c>
      <c r="K219" s="25">
        <v>0</v>
      </c>
      <c r="L219" s="25">
        <v>0</v>
      </c>
      <c r="M219" s="25">
        <v>0</v>
      </c>
      <c r="N219" s="25">
        <v>0</v>
      </c>
      <c r="O219" s="25">
        <v>0</v>
      </c>
      <c r="P219" s="25">
        <v>0</v>
      </c>
      <c r="Q219" s="25">
        <v>0</v>
      </c>
      <c r="R219" s="25">
        <v>0</v>
      </c>
      <c r="S219" s="25">
        <v>0</v>
      </c>
      <c r="T219" s="25">
        <v>0</v>
      </c>
      <c r="U219" s="25">
        <v>0</v>
      </c>
      <c r="V219" s="25">
        <v>0</v>
      </c>
      <c r="W219" s="25">
        <v>0</v>
      </c>
      <c r="X219" s="25">
        <v>0</v>
      </c>
      <c r="Y219" s="25">
        <v>0</v>
      </c>
      <c r="Z219" s="25">
        <v>0</v>
      </c>
      <c r="AA219" s="25">
        <v>0</v>
      </c>
      <c r="AB219" s="25">
        <v>0</v>
      </c>
      <c r="AC219" s="25">
        <v>0</v>
      </c>
      <c r="AD219" s="25">
        <v>0</v>
      </c>
      <c r="AE219" s="25">
        <v>0</v>
      </c>
      <c r="AF219" s="25">
        <v>0</v>
      </c>
      <c r="AG219" s="25">
        <v>0</v>
      </c>
      <c r="AH219" s="25">
        <v>0</v>
      </c>
      <c r="AI219" s="25">
        <v>0</v>
      </c>
      <c r="AJ219" s="25">
        <v>0</v>
      </c>
    </row>
    <row r="220" spans="1:36" s="80" customFormat="1" x14ac:dyDescent="0.25">
      <c r="A220" s="80" t="s">
        <v>789</v>
      </c>
      <c r="C220" s="81">
        <f>+SUM(C209:C219)</f>
        <v>100</v>
      </c>
      <c r="D220" s="81">
        <f t="shared" ref="D220" si="463">+SUM(D209:D219)</f>
        <v>100</v>
      </c>
      <c r="E220" s="81">
        <f t="shared" ref="E220" si="464">+SUM(E209:E219)</f>
        <v>100</v>
      </c>
      <c r="F220" s="81">
        <f t="shared" ref="F220" si="465">+SUM(F209:F219)</f>
        <v>100</v>
      </c>
      <c r="G220" s="81">
        <f t="shared" ref="G220" si="466">+SUM(G209:G219)</f>
        <v>100</v>
      </c>
      <c r="H220" s="81">
        <f t="shared" ref="H220" si="467">+SUM(H209:H219)</f>
        <v>100</v>
      </c>
      <c r="I220" s="81">
        <f t="shared" ref="I220" si="468">+SUM(I209:I219)</f>
        <v>100</v>
      </c>
      <c r="J220" s="81">
        <f t="shared" ref="J220" si="469">+SUM(J209:J219)</f>
        <v>100</v>
      </c>
      <c r="K220" s="81">
        <f t="shared" ref="K220" si="470">+SUM(K209:K219)</f>
        <v>100</v>
      </c>
      <c r="L220" s="81">
        <f t="shared" ref="L220" si="471">+SUM(L209:L219)</f>
        <v>100</v>
      </c>
      <c r="M220" s="81">
        <f t="shared" ref="M220" si="472">+SUM(M209:M219)</f>
        <v>100</v>
      </c>
      <c r="N220" s="81">
        <f t="shared" ref="N220" si="473">+SUM(N209:N219)</f>
        <v>100</v>
      </c>
      <c r="O220" s="81">
        <f t="shared" ref="O220" si="474">+SUM(O209:O219)</f>
        <v>100</v>
      </c>
      <c r="P220" s="81">
        <f t="shared" ref="P220" si="475">+SUM(P209:P219)</f>
        <v>100</v>
      </c>
      <c r="Q220" s="81">
        <f t="shared" ref="Q220" si="476">+SUM(Q209:Q219)</f>
        <v>100</v>
      </c>
      <c r="R220" s="81">
        <f t="shared" ref="R220" si="477">+SUM(R209:R219)</f>
        <v>100</v>
      </c>
      <c r="S220" s="81">
        <f t="shared" ref="S220" si="478">+SUM(S209:S219)</f>
        <v>100</v>
      </c>
      <c r="T220" s="81">
        <f t="shared" ref="T220" si="479">+SUM(T209:T219)</f>
        <v>100</v>
      </c>
      <c r="U220" s="81">
        <f t="shared" ref="U220" si="480">+SUM(U209:U219)</f>
        <v>100</v>
      </c>
      <c r="V220" s="81">
        <f t="shared" ref="V220" si="481">+SUM(V209:V219)</f>
        <v>100</v>
      </c>
      <c r="W220" s="81">
        <f t="shared" ref="W220" si="482">+SUM(W209:W219)</f>
        <v>100</v>
      </c>
      <c r="X220" s="81">
        <f t="shared" ref="X220" si="483">+SUM(X209:X219)</f>
        <v>100</v>
      </c>
      <c r="Y220" s="81">
        <f t="shared" ref="Y220" si="484">+SUM(Y209:Y219)</f>
        <v>100</v>
      </c>
      <c r="Z220" s="81">
        <f t="shared" ref="Z220" si="485">+SUM(Z209:Z219)</f>
        <v>100</v>
      </c>
      <c r="AA220" s="81">
        <f t="shared" ref="AA220" si="486">+SUM(AA209:AA219)</f>
        <v>100</v>
      </c>
      <c r="AB220" s="81">
        <f t="shared" ref="AB220" si="487">+SUM(AB209:AB219)</f>
        <v>100</v>
      </c>
      <c r="AC220" s="81">
        <f t="shared" ref="AC220" si="488">+SUM(AC209:AC219)</f>
        <v>100</v>
      </c>
      <c r="AD220" s="81">
        <f t="shared" ref="AD220" si="489">+SUM(AD209:AD219)</f>
        <v>100</v>
      </c>
      <c r="AE220" s="81">
        <f t="shared" ref="AE220" si="490">+SUM(AE209:AE219)</f>
        <v>100</v>
      </c>
      <c r="AF220" s="81">
        <f t="shared" ref="AF220" si="491">+SUM(AF209:AF219)</f>
        <v>100</v>
      </c>
      <c r="AG220" s="81">
        <f t="shared" ref="AG220" si="492">+SUM(AG209:AG219)</f>
        <v>100</v>
      </c>
      <c r="AH220" s="81">
        <f t="shared" ref="AH220" si="493">+SUM(AH209:AH219)</f>
        <v>100</v>
      </c>
      <c r="AI220" s="81">
        <f t="shared" ref="AI220" si="494">+SUM(AI209:AI219)</f>
        <v>100</v>
      </c>
      <c r="AJ220" s="81">
        <f t="shared" ref="AJ220" si="495">+SUM(AJ209:AJ219)</f>
        <v>100</v>
      </c>
    </row>
    <row r="221" spans="1:36" x14ac:dyDescent="0.25">
      <c r="A221" t="s">
        <v>625</v>
      </c>
      <c r="B221" t="s">
        <v>305</v>
      </c>
      <c r="C221" s="25">
        <v>0</v>
      </c>
      <c r="D221" s="25">
        <v>0</v>
      </c>
      <c r="E221" s="25">
        <v>0</v>
      </c>
      <c r="F221" s="25">
        <v>0</v>
      </c>
      <c r="G221" s="25">
        <v>0</v>
      </c>
      <c r="H221" s="25">
        <v>0</v>
      </c>
      <c r="I221" s="25">
        <v>0</v>
      </c>
      <c r="J221" s="25">
        <v>0</v>
      </c>
      <c r="K221" s="25">
        <v>0</v>
      </c>
      <c r="L221" s="25">
        <v>0</v>
      </c>
      <c r="M221" s="25">
        <v>0</v>
      </c>
      <c r="N221" s="25">
        <v>0</v>
      </c>
      <c r="O221" s="25">
        <v>0</v>
      </c>
      <c r="P221" s="25">
        <v>0</v>
      </c>
      <c r="Q221" s="25">
        <v>0</v>
      </c>
      <c r="R221" s="25">
        <v>0</v>
      </c>
      <c r="S221" s="25">
        <v>0</v>
      </c>
      <c r="T221" s="25">
        <v>0</v>
      </c>
      <c r="U221" s="25">
        <v>0</v>
      </c>
      <c r="V221" s="25">
        <v>0</v>
      </c>
      <c r="W221" s="25">
        <v>0</v>
      </c>
      <c r="X221" s="25">
        <v>0</v>
      </c>
      <c r="Y221" s="25">
        <v>0</v>
      </c>
      <c r="Z221" s="25">
        <v>0</v>
      </c>
      <c r="AA221" s="25">
        <v>0</v>
      </c>
      <c r="AB221" s="25">
        <v>0</v>
      </c>
      <c r="AC221" s="25">
        <v>0</v>
      </c>
      <c r="AD221" s="25">
        <v>0</v>
      </c>
      <c r="AE221" s="25">
        <v>0</v>
      </c>
      <c r="AF221" s="25">
        <v>0</v>
      </c>
      <c r="AG221" s="25">
        <v>0</v>
      </c>
      <c r="AH221" s="25">
        <v>0</v>
      </c>
      <c r="AI221" s="25">
        <v>0</v>
      </c>
      <c r="AJ221" s="25">
        <v>0</v>
      </c>
    </row>
    <row r="222" spans="1:36" x14ac:dyDescent="0.25">
      <c r="A222" t="s">
        <v>626</v>
      </c>
      <c r="B222" t="s">
        <v>305</v>
      </c>
      <c r="C222" s="25">
        <v>0</v>
      </c>
      <c r="D222" s="25">
        <v>0</v>
      </c>
      <c r="E222" s="25">
        <v>0</v>
      </c>
      <c r="F222" s="25">
        <v>0</v>
      </c>
      <c r="G222" s="25">
        <v>0</v>
      </c>
      <c r="H222" s="25">
        <v>0</v>
      </c>
      <c r="I222" s="25">
        <v>0</v>
      </c>
      <c r="J222" s="25">
        <v>0</v>
      </c>
      <c r="K222" s="25">
        <v>0</v>
      </c>
      <c r="L222" s="25">
        <v>0</v>
      </c>
      <c r="M222" s="25">
        <v>0</v>
      </c>
      <c r="N222" s="25">
        <v>0</v>
      </c>
      <c r="O222" s="25">
        <v>0</v>
      </c>
      <c r="P222" s="25">
        <v>0</v>
      </c>
      <c r="Q222" s="25">
        <v>0</v>
      </c>
      <c r="R222" s="25">
        <v>0</v>
      </c>
      <c r="S222" s="25">
        <v>0</v>
      </c>
      <c r="T222" s="25">
        <v>0</v>
      </c>
      <c r="U222" s="25">
        <v>0</v>
      </c>
      <c r="V222" s="25">
        <v>0</v>
      </c>
      <c r="W222" s="25">
        <v>0</v>
      </c>
      <c r="X222" s="25">
        <v>0</v>
      </c>
      <c r="Y222" s="25">
        <v>0</v>
      </c>
      <c r="Z222" s="25">
        <v>0</v>
      </c>
      <c r="AA222" s="25">
        <v>0</v>
      </c>
      <c r="AB222" s="25">
        <v>0</v>
      </c>
      <c r="AC222" s="25">
        <v>0</v>
      </c>
      <c r="AD222" s="25">
        <v>0</v>
      </c>
      <c r="AE222" s="25">
        <v>0</v>
      </c>
      <c r="AF222" s="25">
        <v>0</v>
      </c>
      <c r="AG222" s="25">
        <v>0</v>
      </c>
      <c r="AH222" s="25">
        <v>0</v>
      </c>
      <c r="AI222" s="25">
        <v>0</v>
      </c>
      <c r="AJ222" s="25">
        <v>0</v>
      </c>
    </row>
    <row r="223" spans="1:36" x14ac:dyDescent="0.25">
      <c r="A223" t="s">
        <v>627</v>
      </c>
      <c r="B223" t="s">
        <v>305</v>
      </c>
      <c r="C223" s="25">
        <v>80</v>
      </c>
      <c r="D223" s="25">
        <v>80</v>
      </c>
      <c r="E223" s="25">
        <v>80</v>
      </c>
      <c r="F223" s="25">
        <v>80</v>
      </c>
      <c r="G223" s="25">
        <v>80</v>
      </c>
      <c r="H223" s="25">
        <v>80</v>
      </c>
      <c r="I223" s="25">
        <v>80</v>
      </c>
      <c r="J223" s="25">
        <v>80</v>
      </c>
      <c r="K223" s="25">
        <v>80</v>
      </c>
      <c r="L223" s="25">
        <v>80</v>
      </c>
      <c r="M223" s="25">
        <v>80</v>
      </c>
      <c r="N223" s="25">
        <v>80</v>
      </c>
      <c r="O223" s="25">
        <v>80</v>
      </c>
      <c r="P223" s="25">
        <v>80</v>
      </c>
      <c r="Q223" s="25">
        <v>80</v>
      </c>
      <c r="R223" s="25">
        <v>80</v>
      </c>
      <c r="S223" s="25">
        <v>80</v>
      </c>
      <c r="T223" s="25">
        <v>80</v>
      </c>
      <c r="U223" s="25">
        <v>80</v>
      </c>
      <c r="V223" s="25">
        <v>80</v>
      </c>
      <c r="W223" s="25">
        <v>80</v>
      </c>
      <c r="X223" s="25">
        <v>80</v>
      </c>
      <c r="Y223" s="25">
        <v>80</v>
      </c>
      <c r="Z223" s="25">
        <v>80</v>
      </c>
      <c r="AA223" s="25">
        <v>80</v>
      </c>
      <c r="AB223" s="25">
        <v>80</v>
      </c>
      <c r="AC223" s="25">
        <v>80</v>
      </c>
      <c r="AD223" s="25">
        <v>80</v>
      </c>
      <c r="AE223" s="25">
        <v>80</v>
      </c>
      <c r="AF223" s="25">
        <v>80</v>
      </c>
      <c r="AG223" s="25">
        <v>80</v>
      </c>
      <c r="AH223" s="25">
        <v>80</v>
      </c>
      <c r="AI223" s="25">
        <v>80</v>
      </c>
      <c r="AJ223" s="25">
        <v>80</v>
      </c>
    </row>
    <row r="224" spans="1:36" x14ac:dyDescent="0.25">
      <c r="A224" t="s">
        <v>628</v>
      </c>
      <c r="B224" t="s">
        <v>305</v>
      </c>
      <c r="C224" s="25">
        <v>0</v>
      </c>
      <c r="D224" s="25">
        <v>0</v>
      </c>
      <c r="E224" s="25">
        <v>0</v>
      </c>
      <c r="F224" s="25">
        <v>0</v>
      </c>
      <c r="G224" s="25">
        <v>0</v>
      </c>
      <c r="H224" s="25">
        <v>0</v>
      </c>
      <c r="I224" s="25">
        <v>0</v>
      </c>
      <c r="J224" s="25">
        <v>0</v>
      </c>
      <c r="K224" s="25">
        <v>0</v>
      </c>
      <c r="L224" s="25">
        <v>0</v>
      </c>
      <c r="M224" s="25">
        <v>0</v>
      </c>
      <c r="N224" s="25">
        <v>0</v>
      </c>
      <c r="O224" s="25">
        <v>0</v>
      </c>
      <c r="P224" s="25">
        <v>0</v>
      </c>
      <c r="Q224" s="25">
        <v>0</v>
      </c>
      <c r="R224" s="25">
        <v>0</v>
      </c>
      <c r="S224" s="25">
        <v>0</v>
      </c>
      <c r="T224" s="25">
        <v>0</v>
      </c>
      <c r="U224" s="25">
        <v>0</v>
      </c>
      <c r="V224" s="25">
        <v>0</v>
      </c>
      <c r="W224" s="25">
        <v>0</v>
      </c>
      <c r="X224" s="25">
        <v>0</v>
      </c>
      <c r="Y224" s="25">
        <v>0</v>
      </c>
      <c r="Z224" s="25">
        <v>0</v>
      </c>
      <c r="AA224" s="25">
        <v>0</v>
      </c>
      <c r="AB224" s="25">
        <v>0</v>
      </c>
      <c r="AC224" s="25">
        <v>0</v>
      </c>
      <c r="AD224" s="25">
        <v>0</v>
      </c>
      <c r="AE224" s="25">
        <v>0</v>
      </c>
      <c r="AF224" s="25">
        <v>0</v>
      </c>
      <c r="AG224" s="25">
        <v>0</v>
      </c>
      <c r="AH224" s="25">
        <v>0</v>
      </c>
      <c r="AI224" s="25">
        <v>0</v>
      </c>
      <c r="AJ224" s="25">
        <v>0</v>
      </c>
    </row>
    <row r="225" spans="1:36" x14ac:dyDescent="0.25">
      <c r="A225" t="s">
        <v>629</v>
      </c>
      <c r="B225" t="s">
        <v>305</v>
      </c>
      <c r="C225" s="25">
        <v>0</v>
      </c>
      <c r="D225" s="25">
        <v>0</v>
      </c>
      <c r="E225" s="25">
        <v>0</v>
      </c>
      <c r="F225" s="25">
        <v>0</v>
      </c>
      <c r="G225" s="25">
        <v>0</v>
      </c>
      <c r="H225" s="25">
        <v>0</v>
      </c>
      <c r="I225" s="25">
        <v>0</v>
      </c>
      <c r="J225" s="25">
        <v>0</v>
      </c>
      <c r="K225" s="25">
        <v>0</v>
      </c>
      <c r="L225" s="25">
        <v>0</v>
      </c>
      <c r="M225" s="25">
        <v>0</v>
      </c>
      <c r="N225" s="25">
        <v>0</v>
      </c>
      <c r="O225" s="25">
        <v>0</v>
      </c>
      <c r="P225" s="25">
        <v>0</v>
      </c>
      <c r="Q225" s="25">
        <v>0</v>
      </c>
      <c r="R225" s="25">
        <v>0</v>
      </c>
      <c r="S225" s="25">
        <v>0</v>
      </c>
      <c r="T225" s="25">
        <v>0</v>
      </c>
      <c r="U225" s="25">
        <v>0</v>
      </c>
      <c r="V225" s="25">
        <v>0</v>
      </c>
      <c r="W225" s="25">
        <v>0</v>
      </c>
      <c r="X225" s="25">
        <v>0</v>
      </c>
      <c r="Y225" s="25">
        <v>0</v>
      </c>
      <c r="Z225" s="25">
        <v>0</v>
      </c>
      <c r="AA225" s="25">
        <v>0</v>
      </c>
      <c r="AB225" s="25">
        <v>0</v>
      </c>
      <c r="AC225" s="25">
        <v>0</v>
      </c>
      <c r="AD225" s="25">
        <v>0</v>
      </c>
      <c r="AE225" s="25">
        <v>0</v>
      </c>
      <c r="AF225" s="25">
        <v>0</v>
      </c>
      <c r="AG225" s="25">
        <v>0</v>
      </c>
      <c r="AH225" s="25">
        <v>0</v>
      </c>
      <c r="AI225" s="25">
        <v>0</v>
      </c>
      <c r="AJ225" s="25">
        <v>0</v>
      </c>
    </row>
    <row r="226" spans="1:36" x14ac:dyDescent="0.25">
      <c r="A226" t="s">
        <v>630</v>
      </c>
      <c r="B226" t="s">
        <v>305</v>
      </c>
      <c r="C226" s="25">
        <v>5</v>
      </c>
      <c r="D226" s="25">
        <v>5</v>
      </c>
      <c r="E226" s="25">
        <v>5</v>
      </c>
      <c r="F226" s="25">
        <v>5</v>
      </c>
      <c r="G226" s="25">
        <v>5</v>
      </c>
      <c r="H226" s="25">
        <v>5</v>
      </c>
      <c r="I226" s="25">
        <v>5</v>
      </c>
      <c r="J226" s="25">
        <v>5</v>
      </c>
      <c r="K226" s="25">
        <v>5</v>
      </c>
      <c r="L226" s="25">
        <v>5</v>
      </c>
      <c r="M226" s="25">
        <v>5</v>
      </c>
      <c r="N226" s="25">
        <v>5</v>
      </c>
      <c r="O226" s="25">
        <v>5</v>
      </c>
      <c r="P226" s="25">
        <v>5</v>
      </c>
      <c r="Q226" s="25">
        <v>5</v>
      </c>
      <c r="R226" s="25">
        <v>5</v>
      </c>
      <c r="S226" s="25">
        <v>5</v>
      </c>
      <c r="T226" s="25">
        <v>5</v>
      </c>
      <c r="U226" s="25">
        <v>5</v>
      </c>
      <c r="V226" s="25">
        <v>5</v>
      </c>
      <c r="W226" s="25">
        <v>5</v>
      </c>
      <c r="X226" s="25">
        <v>5</v>
      </c>
      <c r="Y226" s="25">
        <v>5</v>
      </c>
      <c r="Z226" s="25">
        <v>5</v>
      </c>
      <c r="AA226" s="25">
        <v>5</v>
      </c>
      <c r="AB226" s="25">
        <v>5</v>
      </c>
      <c r="AC226" s="25">
        <v>5</v>
      </c>
      <c r="AD226" s="25">
        <v>5</v>
      </c>
      <c r="AE226" s="25">
        <v>5</v>
      </c>
      <c r="AF226" s="25">
        <v>5</v>
      </c>
      <c r="AG226" s="25">
        <v>5</v>
      </c>
      <c r="AH226" s="25">
        <v>5</v>
      </c>
      <c r="AI226" s="25">
        <v>5</v>
      </c>
      <c r="AJ226" s="25">
        <v>5</v>
      </c>
    </row>
    <row r="227" spans="1:36" x14ac:dyDescent="0.25">
      <c r="A227" t="s">
        <v>631</v>
      </c>
      <c r="B227" t="s">
        <v>305</v>
      </c>
      <c r="C227" s="25">
        <v>0</v>
      </c>
      <c r="D227" s="25">
        <v>0</v>
      </c>
      <c r="E227" s="25">
        <v>0</v>
      </c>
      <c r="F227" s="25">
        <v>0</v>
      </c>
      <c r="G227" s="25">
        <v>0</v>
      </c>
      <c r="H227" s="25">
        <v>0</v>
      </c>
      <c r="I227" s="25">
        <v>0</v>
      </c>
      <c r="J227" s="25">
        <v>0</v>
      </c>
      <c r="K227" s="25">
        <v>0</v>
      </c>
      <c r="L227" s="25">
        <v>0</v>
      </c>
      <c r="M227" s="25">
        <v>0</v>
      </c>
      <c r="N227" s="25">
        <v>0</v>
      </c>
      <c r="O227" s="25">
        <v>0</v>
      </c>
      <c r="P227" s="25">
        <v>0</v>
      </c>
      <c r="Q227" s="25">
        <v>0</v>
      </c>
      <c r="R227" s="25">
        <v>0</v>
      </c>
      <c r="S227" s="25">
        <v>0</v>
      </c>
      <c r="T227" s="25">
        <v>0</v>
      </c>
      <c r="U227" s="25">
        <v>0</v>
      </c>
      <c r="V227" s="25">
        <v>0</v>
      </c>
      <c r="W227" s="25">
        <v>0</v>
      </c>
      <c r="X227" s="25">
        <v>0</v>
      </c>
      <c r="Y227" s="25">
        <v>0</v>
      </c>
      <c r="Z227" s="25">
        <v>0</v>
      </c>
      <c r="AA227" s="25">
        <v>0</v>
      </c>
      <c r="AB227" s="25">
        <v>0</v>
      </c>
      <c r="AC227" s="25">
        <v>0</v>
      </c>
      <c r="AD227" s="25">
        <v>0</v>
      </c>
      <c r="AE227" s="25">
        <v>0</v>
      </c>
      <c r="AF227" s="25">
        <v>0</v>
      </c>
      <c r="AG227" s="25">
        <v>0</v>
      </c>
      <c r="AH227" s="25">
        <v>0</v>
      </c>
      <c r="AI227" s="25">
        <v>0</v>
      </c>
      <c r="AJ227" s="25">
        <v>0</v>
      </c>
    </row>
    <row r="228" spans="1:36" x14ac:dyDescent="0.25">
      <c r="A228" t="s">
        <v>632</v>
      </c>
      <c r="B228" t="s">
        <v>305</v>
      </c>
      <c r="C228" s="25">
        <v>0</v>
      </c>
      <c r="D228" s="25">
        <v>0</v>
      </c>
      <c r="E228" s="25">
        <v>0</v>
      </c>
      <c r="F228" s="25">
        <v>0</v>
      </c>
      <c r="G228" s="25">
        <v>0</v>
      </c>
      <c r="H228" s="25">
        <v>0</v>
      </c>
      <c r="I228" s="25">
        <v>0</v>
      </c>
      <c r="J228" s="25">
        <v>0</v>
      </c>
      <c r="K228" s="25">
        <v>0</v>
      </c>
      <c r="L228" s="25">
        <v>0</v>
      </c>
      <c r="M228" s="25">
        <v>0</v>
      </c>
      <c r="N228" s="25">
        <v>0</v>
      </c>
      <c r="O228" s="25">
        <v>0</v>
      </c>
      <c r="P228" s="25">
        <v>0</v>
      </c>
      <c r="Q228" s="25">
        <v>0</v>
      </c>
      <c r="R228" s="25">
        <v>0</v>
      </c>
      <c r="S228" s="25">
        <v>0</v>
      </c>
      <c r="T228" s="25">
        <v>0</v>
      </c>
      <c r="U228" s="25">
        <v>0</v>
      </c>
      <c r="V228" s="25">
        <v>0</v>
      </c>
      <c r="W228" s="25">
        <v>0</v>
      </c>
      <c r="X228" s="25">
        <v>0</v>
      </c>
      <c r="Y228" s="25">
        <v>0</v>
      </c>
      <c r="Z228" s="25">
        <v>0</v>
      </c>
      <c r="AA228" s="25">
        <v>0</v>
      </c>
      <c r="AB228" s="25">
        <v>0</v>
      </c>
      <c r="AC228" s="25">
        <v>0</v>
      </c>
      <c r="AD228" s="25">
        <v>0</v>
      </c>
      <c r="AE228" s="25">
        <v>0</v>
      </c>
      <c r="AF228" s="25">
        <v>0</v>
      </c>
      <c r="AG228" s="25">
        <v>0</v>
      </c>
      <c r="AH228" s="25">
        <v>0</v>
      </c>
      <c r="AI228" s="25">
        <v>0</v>
      </c>
      <c r="AJ228" s="25">
        <v>0</v>
      </c>
    </row>
    <row r="229" spans="1:36" x14ac:dyDescent="0.25">
      <c r="A229" t="s">
        <v>633</v>
      </c>
      <c r="B229" t="s">
        <v>305</v>
      </c>
      <c r="C229" s="25">
        <v>15</v>
      </c>
      <c r="D229" s="25">
        <v>15</v>
      </c>
      <c r="E229" s="25">
        <v>15</v>
      </c>
      <c r="F229" s="25">
        <v>15</v>
      </c>
      <c r="G229" s="25">
        <v>15</v>
      </c>
      <c r="H229" s="25">
        <v>15</v>
      </c>
      <c r="I229" s="25">
        <v>15</v>
      </c>
      <c r="J229" s="25">
        <v>15</v>
      </c>
      <c r="K229" s="25">
        <v>15</v>
      </c>
      <c r="L229" s="25">
        <v>15</v>
      </c>
      <c r="M229" s="25">
        <v>15</v>
      </c>
      <c r="N229" s="25">
        <v>15</v>
      </c>
      <c r="O229" s="25">
        <v>15</v>
      </c>
      <c r="P229" s="25">
        <v>15</v>
      </c>
      <c r="Q229" s="25">
        <v>15</v>
      </c>
      <c r="R229" s="25">
        <v>15</v>
      </c>
      <c r="S229" s="25">
        <v>15</v>
      </c>
      <c r="T229" s="25">
        <v>15</v>
      </c>
      <c r="U229" s="25">
        <v>15</v>
      </c>
      <c r="V229" s="25">
        <v>15</v>
      </c>
      <c r="W229" s="25">
        <v>15</v>
      </c>
      <c r="X229" s="25">
        <v>15</v>
      </c>
      <c r="Y229" s="25">
        <v>15</v>
      </c>
      <c r="Z229" s="25">
        <v>15</v>
      </c>
      <c r="AA229" s="25">
        <v>15</v>
      </c>
      <c r="AB229" s="25">
        <v>15</v>
      </c>
      <c r="AC229" s="25">
        <v>15</v>
      </c>
      <c r="AD229" s="25">
        <v>15</v>
      </c>
      <c r="AE229" s="25">
        <v>15</v>
      </c>
      <c r="AF229" s="25">
        <v>15</v>
      </c>
      <c r="AG229" s="25">
        <v>15</v>
      </c>
      <c r="AH229" s="25">
        <v>15</v>
      </c>
      <c r="AI229" s="25">
        <v>15</v>
      </c>
      <c r="AJ229" s="25">
        <v>15</v>
      </c>
    </row>
    <row r="230" spans="1:36" x14ac:dyDescent="0.25">
      <c r="A230" t="s">
        <v>634</v>
      </c>
      <c r="B230" t="s">
        <v>305</v>
      </c>
      <c r="C230" s="25">
        <v>0</v>
      </c>
      <c r="D230" s="25">
        <v>0</v>
      </c>
      <c r="E230" s="25">
        <v>0</v>
      </c>
      <c r="F230" s="25">
        <v>0</v>
      </c>
      <c r="G230" s="25">
        <v>0</v>
      </c>
      <c r="H230" s="25">
        <v>0</v>
      </c>
      <c r="I230" s="25">
        <v>0</v>
      </c>
      <c r="J230" s="25">
        <v>0</v>
      </c>
      <c r="K230" s="25">
        <v>0</v>
      </c>
      <c r="L230" s="25">
        <v>0</v>
      </c>
      <c r="M230" s="25">
        <v>0</v>
      </c>
      <c r="N230" s="25">
        <v>0</v>
      </c>
      <c r="O230" s="25">
        <v>0</v>
      </c>
      <c r="P230" s="25">
        <v>0</v>
      </c>
      <c r="Q230" s="25">
        <v>0</v>
      </c>
      <c r="R230" s="25">
        <v>0</v>
      </c>
      <c r="S230" s="25">
        <v>0</v>
      </c>
      <c r="T230" s="25">
        <v>0</v>
      </c>
      <c r="U230" s="25">
        <v>0</v>
      </c>
      <c r="V230" s="25">
        <v>0</v>
      </c>
      <c r="W230" s="25">
        <v>0</v>
      </c>
      <c r="X230" s="25">
        <v>0</v>
      </c>
      <c r="Y230" s="25">
        <v>0</v>
      </c>
      <c r="Z230" s="25">
        <v>0</v>
      </c>
      <c r="AA230" s="25">
        <v>0</v>
      </c>
      <c r="AB230" s="25">
        <v>0</v>
      </c>
      <c r="AC230" s="25">
        <v>0</v>
      </c>
      <c r="AD230" s="25">
        <v>0</v>
      </c>
      <c r="AE230" s="25">
        <v>0</v>
      </c>
      <c r="AF230" s="25">
        <v>0</v>
      </c>
      <c r="AG230" s="25">
        <v>0</v>
      </c>
      <c r="AH230" s="25">
        <v>0</v>
      </c>
      <c r="AI230" s="25">
        <v>0</v>
      </c>
      <c r="AJ230" s="25">
        <v>0</v>
      </c>
    </row>
    <row r="231" spans="1:36" x14ac:dyDescent="0.25">
      <c r="A231" t="s">
        <v>777</v>
      </c>
      <c r="B231" t="s">
        <v>305</v>
      </c>
      <c r="C231" s="25">
        <v>0</v>
      </c>
      <c r="D231" s="25">
        <v>0</v>
      </c>
      <c r="E231" s="25">
        <v>0</v>
      </c>
      <c r="F231" s="25">
        <v>0</v>
      </c>
      <c r="G231" s="25">
        <v>0</v>
      </c>
      <c r="H231" s="25">
        <v>0</v>
      </c>
      <c r="I231" s="25">
        <v>0</v>
      </c>
      <c r="J231" s="25">
        <v>0</v>
      </c>
      <c r="K231" s="25">
        <v>0</v>
      </c>
      <c r="L231" s="25">
        <v>0</v>
      </c>
      <c r="M231" s="25">
        <v>0</v>
      </c>
      <c r="N231" s="25">
        <v>0</v>
      </c>
      <c r="O231" s="25">
        <v>0</v>
      </c>
      <c r="P231" s="25">
        <v>0</v>
      </c>
      <c r="Q231" s="25">
        <v>0</v>
      </c>
      <c r="R231" s="25">
        <v>0</v>
      </c>
      <c r="S231" s="25">
        <v>0</v>
      </c>
      <c r="T231" s="25">
        <v>0</v>
      </c>
      <c r="U231" s="25">
        <v>0</v>
      </c>
      <c r="V231" s="25">
        <v>0</v>
      </c>
      <c r="W231" s="25">
        <v>0</v>
      </c>
      <c r="X231" s="25">
        <v>0</v>
      </c>
      <c r="Y231" s="25">
        <v>0</v>
      </c>
      <c r="Z231" s="25">
        <v>0</v>
      </c>
      <c r="AA231" s="25">
        <v>0</v>
      </c>
      <c r="AB231" s="25">
        <v>0</v>
      </c>
      <c r="AC231" s="25">
        <v>0</v>
      </c>
      <c r="AD231" s="25">
        <v>0</v>
      </c>
      <c r="AE231" s="25">
        <v>0</v>
      </c>
      <c r="AF231" s="25">
        <v>0</v>
      </c>
      <c r="AG231" s="25">
        <v>0</v>
      </c>
      <c r="AH231" s="25">
        <v>0</v>
      </c>
      <c r="AI231" s="25">
        <v>0</v>
      </c>
      <c r="AJ231" s="25">
        <v>0</v>
      </c>
    </row>
    <row r="232" spans="1:36" s="80" customFormat="1" x14ac:dyDescent="0.25">
      <c r="A232" s="80" t="s">
        <v>789</v>
      </c>
      <c r="C232" s="81">
        <f>+SUM(C221:C231)</f>
        <v>100</v>
      </c>
      <c r="D232" s="81">
        <f t="shared" ref="D232" si="496">+SUM(D221:D231)</f>
        <v>100</v>
      </c>
      <c r="E232" s="81">
        <f t="shared" ref="E232" si="497">+SUM(E221:E231)</f>
        <v>100</v>
      </c>
      <c r="F232" s="81">
        <f t="shared" ref="F232" si="498">+SUM(F221:F231)</f>
        <v>100</v>
      </c>
      <c r="G232" s="81">
        <f t="shared" ref="G232" si="499">+SUM(G221:G231)</f>
        <v>100</v>
      </c>
      <c r="H232" s="81">
        <f t="shared" ref="H232" si="500">+SUM(H221:H231)</f>
        <v>100</v>
      </c>
      <c r="I232" s="81">
        <f t="shared" ref="I232" si="501">+SUM(I221:I231)</f>
        <v>100</v>
      </c>
      <c r="J232" s="81">
        <f t="shared" ref="J232" si="502">+SUM(J221:J231)</f>
        <v>100</v>
      </c>
      <c r="K232" s="81">
        <f t="shared" ref="K232" si="503">+SUM(K221:K231)</f>
        <v>100</v>
      </c>
      <c r="L232" s="81">
        <f t="shared" ref="L232" si="504">+SUM(L221:L231)</f>
        <v>100</v>
      </c>
      <c r="M232" s="81">
        <f t="shared" ref="M232" si="505">+SUM(M221:M231)</f>
        <v>100</v>
      </c>
      <c r="N232" s="81">
        <f t="shared" ref="N232" si="506">+SUM(N221:N231)</f>
        <v>100</v>
      </c>
      <c r="O232" s="81">
        <f t="shared" ref="O232" si="507">+SUM(O221:O231)</f>
        <v>100</v>
      </c>
      <c r="P232" s="81">
        <f t="shared" ref="P232" si="508">+SUM(P221:P231)</f>
        <v>100</v>
      </c>
      <c r="Q232" s="81">
        <f t="shared" ref="Q232" si="509">+SUM(Q221:Q231)</f>
        <v>100</v>
      </c>
      <c r="R232" s="81">
        <f t="shared" ref="R232" si="510">+SUM(R221:R231)</f>
        <v>100</v>
      </c>
      <c r="S232" s="81">
        <f t="shared" ref="S232" si="511">+SUM(S221:S231)</f>
        <v>100</v>
      </c>
      <c r="T232" s="81">
        <f t="shared" ref="T232" si="512">+SUM(T221:T231)</f>
        <v>100</v>
      </c>
      <c r="U232" s="81">
        <f t="shared" ref="U232" si="513">+SUM(U221:U231)</f>
        <v>100</v>
      </c>
      <c r="V232" s="81">
        <f t="shared" ref="V232" si="514">+SUM(V221:V231)</f>
        <v>100</v>
      </c>
      <c r="W232" s="81">
        <f t="shared" ref="W232" si="515">+SUM(W221:W231)</f>
        <v>100</v>
      </c>
      <c r="X232" s="81">
        <f t="shared" ref="X232" si="516">+SUM(X221:X231)</f>
        <v>100</v>
      </c>
      <c r="Y232" s="81">
        <f t="shared" ref="Y232" si="517">+SUM(Y221:Y231)</f>
        <v>100</v>
      </c>
      <c r="Z232" s="81">
        <f t="shared" ref="Z232" si="518">+SUM(Z221:Z231)</f>
        <v>100</v>
      </c>
      <c r="AA232" s="81">
        <f t="shared" ref="AA232" si="519">+SUM(AA221:AA231)</f>
        <v>100</v>
      </c>
      <c r="AB232" s="81">
        <f t="shared" ref="AB232" si="520">+SUM(AB221:AB231)</f>
        <v>100</v>
      </c>
      <c r="AC232" s="81">
        <f t="shared" ref="AC232" si="521">+SUM(AC221:AC231)</f>
        <v>100</v>
      </c>
      <c r="AD232" s="81">
        <f t="shared" ref="AD232" si="522">+SUM(AD221:AD231)</f>
        <v>100</v>
      </c>
      <c r="AE232" s="81">
        <f t="shared" ref="AE232" si="523">+SUM(AE221:AE231)</f>
        <v>100</v>
      </c>
      <c r="AF232" s="81">
        <f t="shared" ref="AF232" si="524">+SUM(AF221:AF231)</f>
        <v>100</v>
      </c>
      <c r="AG232" s="81">
        <f t="shared" ref="AG232" si="525">+SUM(AG221:AG231)</f>
        <v>100</v>
      </c>
      <c r="AH232" s="81">
        <f t="shared" ref="AH232" si="526">+SUM(AH221:AH231)</f>
        <v>100</v>
      </c>
      <c r="AI232" s="81">
        <f t="shared" ref="AI232" si="527">+SUM(AI221:AI231)</f>
        <v>100</v>
      </c>
      <c r="AJ232" s="81">
        <f t="shared" ref="AJ232" si="528">+SUM(AJ221:AJ231)</f>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T98"/>
  <sheetViews>
    <sheetView topLeftCell="C1" workbookViewId="0">
      <pane xSplit="2" ySplit="4" topLeftCell="K14" activePane="bottomRight" state="frozen"/>
      <selection activeCell="C1" sqref="C1"/>
      <selection pane="topRight" activeCell="E1" sqref="E1"/>
      <selection pane="bottomLeft" activeCell="C5" sqref="C5"/>
      <selection pane="bottomRight" activeCell="BT43" sqref="BT43"/>
    </sheetView>
  </sheetViews>
  <sheetFormatPr defaultRowHeight="15" outlineLevelCol="1" x14ac:dyDescent="0.25"/>
  <cols>
    <col min="1" max="1" width="23.7109375" customWidth="1"/>
    <col min="2" max="2" width="37.140625" customWidth="1"/>
    <col min="3" max="3" width="27.7109375" customWidth="1"/>
    <col min="4" max="4" width="27.5703125" customWidth="1"/>
    <col min="5" max="5" width="48" customWidth="1"/>
    <col min="6" max="6" width="11.5703125" customWidth="1"/>
    <col min="7" max="7" width="13.28515625" customWidth="1"/>
    <col min="8" max="27" width="10.7109375" customWidth="1" outlineLevel="1"/>
    <col min="28" max="68" width="10.7109375" customWidth="1"/>
    <col min="71" max="71" width="14.140625" customWidth="1"/>
    <col min="72" max="72" width="27.7109375" customWidth="1"/>
  </cols>
  <sheetData>
    <row r="1" spans="1:72" ht="18.75" x14ac:dyDescent="0.3">
      <c r="A1" s="1" t="s">
        <v>142</v>
      </c>
      <c r="AI1" s="11"/>
      <c r="AJ1" s="11"/>
    </row>
    <row r="2" spans="1:72" x14ac:dyDescent="0.25">
      <c r="AI2" s="11"/>
      <c r="AJ2" s="11"/>
      <c r="AK2" s="11"/>
    </row>
    <row r="3" spans="1:72" s="19" customFormat="1" ht="29.25" customHeight="1" x14ac:dyDescent="0.25">
      <c r="A3" s="17" t="s">
        <v>4</v>
      </c>
      <c r="B3" s="17" t="s">
        <v>313</v>
      </c>
      <c r="C3" s="17" t="s">
        <v>315</v>
      </c>
      <c r="D3" s="17" t="s">
        <v>149</v>
      </c>
      <c r="E3" s="17" t="s">
        <v>150</v>
      </c>
      <c r="F3" s="17" t="s">
        <v>0</v>
      </c>
      <c r="G3" s="17" t="s">
        <v>283</v>
      </c>
      <c r="H3" s="17">
        <v>1990</v>
      </c>
      <c r="I3" s="17">
        <v>1991</v>
      </c>
      <c r="J3" s="17">
        <v>1992</v>
      </c>
      <c r="K3" s="17">
        <v>1993</v>
      </c>
      <c r="L3" s="17">
        <v>1994</v>
      </c>
      <c r="M3" s="17">
        <v>1995</v>
      </c>
      <c r="N3" s="17">
        <v>1996</v>
      </c>
      <c r="O3" s="17">
        <v>1997</v>
      </c>
      <c r="P3" s="17">
        <v>1998</v>
      </c>
      <c r="Q3" s="17">
        <v>1999</v>
      </c>
      <c r="R3" s="17">
        <v>2000</v>
      </c>
      <c r="S3" s="17">
        <v>2001</v>
      </c>
      <c r="T3" s="17">
        <v>2002</v>
      </c>
      <c r="U3" s="17">
        <v>2003</v>
      </c>
      <c r="V3" s="17">
        <v>2004</v>
      </c>
      <c r="W3" s="17">
        <v>2005</v>
      </c>
      <c r="X3" s="17">
        <v>2006</v>
      </c>
      <c r="Y3" s="17">
        <v>2007</v>
      </c>
      <c r="Z3" s="17">
        <v>2008</v>
      </c>
      <c r="AA3" s="17">
        <v>2009</v>
      </c>
      <c r="AB3" s="17">
        <v>2010</v>
      </c>
      <c r="AC3" s="17">
        <v>2011</v>
      </c>
      <c r="AD3" s="17">
        <v>2012</v>
      </c>
      <c r="AE3" s="17">
        <v>2013</v>
      </c>
      <c r="AF3" s="17">
        <v>2014</v>
      </c>
      <c r="AG3" s="17">
        <v>2015</v>
      </c>
      <c r="AH3" s="17">
        <v>2016</v>
      </c>
      <c r="AI3" s="17">
        <v>2017</v>
      </c>
      <c r="AJ3" s="17">
        <v>2018</v>
      </c>
      <c r="AK3" s="17">
        <v>2019</v>
      </c>
      <c r="AL3" s="17">
        <v>2020</v>
      </c>
      <c r="AM3" s="17">
        <v>2021</v>
      </c>
      <c r="AN3" s="17">
        <v>2022</v>
      </c>
      <c r="AO3" s="17">
        <v>2023</v>
      </c>
      <c r="AP3" s="17">
        <v>2024</v>
      </c>
      <c r="AQ3" s="17">
        <v>2025</v>
      </c>
      <c r="AR3" s="17">
        <v>2026</v>
      </c>
      <c r="AS3" s="17">
        <v>2027</v>
      </c>
      <c r="AT3" s="17">
        <v>2028</v>
      </c>
      <c r="AU3" s="17">
        <v>2029</v>
      </c>
      <c r="AV3" s="17">
        <v>2030</v>
      </c>
      <c r="AW3" s="17">
        <v>2031</v>
      </c>
      <c r="AX3" s="17">
        <v>2032</v>
      </c>
      <c r="AY3" s="17">
        <v>2033</v>
      </c>
      <c r="AZ3" s="17">
        <v>2034</v>
      </c>
      <c r="BA3" s="17">
        <v>2035</v>
      </c>
      <c r="BB3" s="17">
        <v>2036</v>
      </c>
      <c r="BC3" s="17">
        <v>2037</v>
      </c>
      <c r="BD3" s="17">
        <v>2038</v>
      </c>
      <c r="BE3" s="17">
        <v>2039</v>
      </c>
      <c r="BF3" s="17">
        <v>2040</v>
      </c>
      <c r="BG3" s="17">
        <v>2041</v>
      </c>
      <c r="BH3" s="17">
        <v>2042</v>
      </c>
      <c r="BI3" s="17">
        <v>2043</v>
      </c>
      <c r="BJ3" s="17">
        <v>2044</v>
      </c>
      <c r="BK3" s="17">
        <v>2045</v>
      </c>
      <c r="BL3" s="17">
        <v>2046</v>
      </c>
      <c r="BM3" s="17">
        <v>2047</v>
      </c>
      <c r="BN3" s="17">
        <v>2048</v>
      </c>
      <c r="BO3" s="17">
        <v>2049</v>
      </c>
      <c r="BP3" s="17">
        <v>2050</v>
      </c>
      <c r="BS3" s="18" t="s">
        <v>308</v>
      </c>
      <c r="BT3" s="17" t="s">
        <v>282</v>
      </c>
    </row>
    <row r="4" spans="1:72" ht="18.75" customHeight="1" x14ac:dyDescent="0.25">
      <c r="A4" s="20" t="s">
        <v>309</v>
      </c>
      <c r="B4" s="20"/>
      <c r="C4" s="20"/>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02">
        <f t="shared" ref="AT4:AZ4" si="0">AT11-AS11</f>
        <v>-71342.845487445593</v>
      </c>
      <c r="AU4" s="102">
        <f t="shared" si="0"/>
        <v>-70553.437341064215</v>
      </c>
      <c r="AV4" s="102">
        <f t="shared" si="0"/>
        <v>-69799.675875164568</v>
      </c>
      <c r="AW4" s="102">
        <f>AW11-AV11</f>
        <v>-67905.643779166043</v>
      </c>
      <c r="AX4" s="102">
        <f t="shared" si="0"/>
        <v>0</v>
      </c>
      <c r="AY4" s="102">
        <f t="shared" si="0"/>
        <v>0</v>
      </c>
      <c r="AZ4" s="102">
        <f t="shared" si="0"/>
        <v>0</v>
      </c>
      <c r="BA4" s="15">
        <f>BA8/'Intermediate calculations'!AV8</f>
        <v>3.7558262930552542</v>
      </c>
      <c r="BB4" s="15">
        <f>BB8/'Intermediate calculations'!AW8</f>
        <v>3.6227986430172701</v>
      </c>
      <c r="BC4" s="15">
        <f>BC8/'Intermediate calculations'!AX8</f>
        <v>3.4897709929792851</v>
      </c>
      <c r="BD4" s="15">
        <f>BD8/'Intermediate calculations'!AY8</f>
        <v>3.3567433429413009</v>
      </c>
      <c r="BE4" s="15">
        <f>BE8/'Intermediate calculations'!AZ8</f>
        <v>3.2237156929033164</v>
      </c>
      <c r="BF4" s="15">
        <f>BF8/'Intermediate calculations'!BA8</f>
        <v>3.0906880428653318</v>
      </c>
      <c r="BG4" s="15">
        <f>BG8/'Intermediate calculations'!BB8</f>
        <v>2.9909173053368434</v>
      </c>
      <c r="BH4" s="15">
        <f>BH8/'Intermediate calculations'!BC8</f>
        <v>2.891146567808355</v>
      </c>
      <c r="BI4" s="15">
        <f>BI8/'Intermediate calculations'!BD8</f>
        <v>2.7913758302798666</v>
      </c>
      <c r="BJ4" s="15">
        <f>BJ8/'Intermediate calculations'!BE8</f>
        <v>2.6916050927513782</v>
      </c>
      <c r="BK4" s="15">
        <f>BK8/'Intermediate calculations'!BF8</f>
        <v>2.5918343552228897</v>
      </c>
      <c r="BL4" s="15">
        <f>BL8/'Intermediate calculations'!BG8</f>
        <v>2.4920636176944013</v>
      </c>
      <c r="BM4" s="15">
        <f>BM8/'Intermediate calculations'!BH8</f>
        <v>2.3922928801659129</v>
      </c>
      <c r="BN4" s="15">
        <f>BN8/'Intermediate calculations'!BI8</f>
        <v>2.2925221426374245</v>
      </c>
      <c r="BO4" s="15">
        <f>BO8/'Intermediate calculations'!BJ8</f>
        <v>2.1927514051089361</v>
      </c>
      <c r="BP4" s="15">
        <f>BP8/'Intermediate calculations'!BK8</f>
        <v>2.0929806675804477</v>
      </c>
      <c r="BS4" s="16"/>
      <c r="BT4" s="15"/>
    </row>
    <row r="5" spans="1:72" s="23" customFormat="1" x14ac:dyDescent="0.25">
      <c r="A5" s="23" t="str">
        <f>'IPCC Categories'!A5</f>
        <v>3A Livestock</v>
      </c>
      <c r="C5" s="23" t="str">
        <f>'IPCC Categories'!$D$5</f>
        <v>3A1ai Dairy cattle</v>
      </c>
      <c r="D5" t="str">
        <f>'IPCC Categories'!$F$39</f>
        <v>TMR</v>
      </c>
      <c r="E5" s="23" t="str">
        <f>'IPCC Categories'!$F$31</f>
        <v>Population</v>
      </c>
      <c r="F5" s="23" t="s">
        <v>138</v>
      </c>
      <c r="H5" s="43">
        <v>487746.14676082286</v>
      </c>
      <c r="I5" s="43">
        <v>561522.50537304278</v>
      </c>
      <c r="J5" s="43">
        <v>485789.62235185754</v>
      </c>
      <c r="K5" s="43">
        <v>515225.4221676389</v>
      </c>
      <c r="L5" s="43">
        <v>477963.52471599629</v>
      </c>
      <c r="M5" s="43">
        <v>511312.37334970833</v>
      </c>
      <c r="N5" s="43">
        <v>513268.89775867364</v>
      </c>
      <c r="O5" s="43">
        <v>494824.80810561875</v>
      </c>
      <c r="P5" s="43">
        <v>488955.23487872281</v>
      </c>
      <c r="Q5" s="43">
        <v>480293.76727049437</v>
      </c>
      <c r="R5" s="43">
        <v>618437.58059564023</v>
      </c>
      <c r="S5" s="43">
        <v>616481.05618667486</v>
      </c>
      <c r="T5" s="43">
        <v>537582.56063862459</v>
      </c>
      <c r="U5" s="43">
        <v>488955.23487872281</v>
      </c>
      <c r="V5" s="43">
        <v>472093.95148910041</v>
      </c>
      <c r="W5" s="43">
        <v>505442.80012281239</v>
      </c>
      <c r="X5" s="43">
        <v>494451.08996008604</v>
      </c>
      <c r="Y5" s="43">
        <v>490911.75928768812</v>
      </c>
      <c r="Z5" s="43">
        <v>601202.57906048512</v>
      </c>
      <c r="AA5" s="43">
        <v>616107.33804114221</v>
      </c>
      <c r="AB5" s="43">
        <v>616107.33804114221</v>
      </c>
      <c r="AC5" s="43">
        <v>593750.19957015652</v>
      </c>
      <c r="AD5" s="24">
        <f>'Intermediate calculations'!Y14*Constants!$H$18</f>
        <v>590863.99879530224</v>
      </c>
      <c r="AE5" s="24">
        <f>'Intermediate calculations'!Z14*Constants!$H$18</f>
        <v>596456.70830226573</v>
      </c>
      <c r="AF5" s="24">
        <f>'Intermediate calculations'!AA14*Constants!$H$18</f>
        <v>600725.46831776027</v>
      </c>
      <c r="AG5" s="24">
        <f>'Intermediate calculations'!AB14*Constants!$H$18</f>
        <v>603612.06126002537</v>
      </c>
      <c r="AH5" s="24">
        <f>'Intermediate calculations'!AC14*Constants!$H$18</f>
        <v>605373.17207689781</v>
      </c>
      <c r="AI5" s="24">
        <f>'Intermediate calculations'!AD14*Constants!$H$18</f>
        <v>608096.89391427056</v>
      </c>
      <c r="AJ5" s="24">
        <f>'Intermediate calculations'!AE14*Constants!$H$18</f>
        <v>610429.98058740806</v>
      </c>
      <c r="AK5" s="24">
        <f>'Intermediate calculations'!AF14*Constants!$H$18</f>
        <v>612396.89536202978</v>
      </c>
      <c r="AL5" s="24">
        <f>'Intermediate calculations'!AG14*Constants!$H$18</f>
        <v>593099.71214200149</v>
      </c>
      <c r="AM5" s="24">
        <f>'Intermediate calculations'!AH14*Constants!$H$18</f>
        <v>598335.97473129805</v>
      </c>
      <c r="AN5" s="24">
        <f>'Intermediate calculations'!AI14*Constants!$H$18</f>
        <v>603313.22477519745</v>
      </c>
      <c r="AO5" s="24">
        <f>'Intermediate calculations'!AJ14*Constants!$H$18</f>
        <v>608307.35430540785</v>
      </c>
      <c r="AP5" s="24">
        <f>'Intermediate calculations'!AK14*Constants!$H$18</f>
        <v>613084.52560959442</v>
      </c>
      <c r="AQ5" s="24">
        <f>'Intermediate calculations'!AL14*Constants!$H$18</f>
        <v>618048.48448577721</v>
      </c>
      <c r="AR5" s="24">
        <f>'Intermediate calculations'!AM14*Constants!$H$18</f>
        <v>623927.21621085366</v>
      </c>
      <c r="AS5" s="24">
        <f>'Intermediate calculations'!AN14*Constants!$H$18</f>
        <v>629705.81713841169</v>
      </c>
      <c r="AT5" s="24">
        <f>'Intermediate calculations'!AO14*Constants!$H$18</f>
        <v>635720.40172376076</v>
      </c>
      <c r="AU5" s="24">
        <f>'Intermediate calculations'!AP14*Constants!$H$18</f>
        <v>641892.14395503572</v>
      </c>
      <c r="AV5" s="24">
        <f>'Intermediate calculations'!AQ14*Constants!$H$18</f>
        <v>648233.82888424199</v>
      </c>
      <c r="AW5" s="24">
        <f>'Intermediate calculations'!AR14*Constants!$H$18</f>
        <v>655789.03242560232</v>
      </c>
      <c r="AX5" s="24">
        <f>'Intermediate calculations'!AS14*Constants!$H$18</f>
        <v>662907.23274879844</v>
      </c>
      <c r="AY5" s="24">
        <f>'Intermediate calculations'!AT14*Constants!$H$18</f>
        <v>670721.72495070449</v>
      </c>
      <c r="AZ5" s="24">
        <f>'Intermediate calculations'!AU14*Constants!$H$18</f>
        <v>678969.05906713952</v>
      </c>
      <c r="BA5" s="24">
        <f>'Intermediate calculations'!AV14*Constants!$H$18</f>
        <v>687653.11091648589</v>
      </c>
      <c r="BB5" s="24">
        <f>'Intermediate calculations'!AW14*Constants!$H$18</f>
        <v>696468.00758680014</v>
      </c>
      <c r="BC5" s="24">
        <f>'Intermediate calculations'!AX14*Constants!$H$18</f>
        <v>705522.46287937672</v>
      </c>
      <c r="BD5" s="24">
        <f>'Intermediate calculations'!AY14*Constants!$H$18</f>
        <v>714581.66505592305</v>
      </c>
      <c r="BE5" s="24">
        <f>'Intermediate calculations'!AZ14*Constants!$H$18</f>
        <v>723865.74885645323</v>
      </c>
      <c r="BF5" s="24">
        <f>'Intermediate calculations'!BA14*Constants!$H$18</f>
        <v>733551.94185622782</v>
      </c>
      <c r="BG5" s="24">
        <f>'Intermediate calculations'!BB14*Constants!$H$18</f>
        <v>743535.73577490228</v>
      </c>
      <c r="BH5" s="24">
        <f>'Intermediate calculations'!BC14*Constants!$H$18</f>
        <v>753777.55249962898</v>
      </c>
      <c r="BI5" s="24">
        <f>'Intermediate calculations'!BD14*Constants!$H$18</f>
        <v>764240.51346809417</v>
      </c>
      <c r="BJ5" s="24">
        <f>'Intermediate calculations'!BE14*Constants!$H$18</f>
        <v>774964.08883435722</v>
      </c>
      <c r="BK5" s="24">
        <f>'Intermediate calculations'!BF14*Constants!$H$18</f>
        <v>786135.84249457403</v>
      </c>
      <c r="BL5" s="24">
        <f>'Intermediate calculations'!BG14*Constants!$H$18</f>
        <v>797606.33189125033</v>
      </c>
      <c r="BM5" s="24">
        <f>'Intermediate calculations'!BH14*Constants!$H$18</f>
        <v>809387.69373042311</v>
      </c>
      <c r="BN5" s="24">
        <f>'Intermediate calculations'!BI14*Constants!$H$18</f>
        <v>821098.84956981661</v>
      </c>
      <c r="BO5" s="24">
        <f>'Intermediate calculations'!BJ14*Constants!$H$18</f>
        <v>833138.50145553064</v>
      </c>
      <c r="BP5" s="24">
        <f>'Intermediate calculations'!BK14*Constants!$H$18</f>
        <v>845525.11723460222</v>
      </c>
    </row>
    <row r="6" spans="1:72" s="23" customFormat="1" x14ac:dyDescent="0.25">
      <c r="A6" s="23" t="str">
        <f t="shared" ref="A6:A22" si="1">A5</f>
        <v>3A Livestock</v>
      </c>
      <c r="C6" s="23" t="str">
        <f>$C$5</f>
        <v>3A1ai Dairy cattle</v>
      </c>
      <c r="D6" t="str">
        <f>'IPCC Categories'!$F$40</f>
        <v>Pasture</v>
      </c>
      <c r="E6" s="23" t="str">
        <f>E5</f>
        <v>Population</v>
      </c>
      <c r="F6" s="23" t="str">
        <f>F5</f>
        <v>Head</v>
      </c>
      <c r="H6" s="43">
        <v>399733.85323917714</v>
      </c>
      <c r="I6" s="43">
        <v>460197.49462695734</v>
      </c>
      <c r="J6" s="43">
        <v>398130.37764814246</v>
      </c>
      <c r="K6" s="43">
        <v>422254.57783236104</v>
      </c>
      <c r="L6" s="43">
        <v>391716.47528400371</v>
      </c>
      <c r="M6" s="43">
        <v>419047.62665029167</v>
      </c>
      <c r="N6" s="43">
        <v>420651.10224132636</v>
      </c>
      <c r="O6" s="43">
        <v>405535.19189438137</v>
      </c>
      <c r="P6" s="43">
        <v>400724.76512127731</v>
      </c>
      <c r="Q6" s="43">
        <v>393626.23272950563</v>
      </c>
      <c r="R6" s="43">
        <v>506842.41940435988</v>
      </c>
      <c r="S6" s="43">
        <v>505238.9438133252</v>
      </c>
      <c r="T6" s="43">
        <v>440577.43936137547</v>
      </c>
      <c r="U6" s="43">
        <v>400724.76512127731</v>
      </c>
      <c r="V6" s="43">
        <v>386906.04851089959</v>
      </c>
      <c r="W6" s="43">
        <v>414237.19987718761</v>
      </c>
      <c r="X6" s="43">
        <v>405228.91003991402</v>
      </c>
      <c r="Y6" s="43">
        <v>402328.24071231199</v>
      </c>
      <c r="Z6" s="43">
        <v>492717.42093951488</v>
      </c>
      <c r="AA6" s="43">
        <v>504932.66195885779</v>
      </c>
      <c r="AB6" s="43">
        <v>504932.66195885779</v>
      </c>
      <c r="AC6" s="43">
        <v>486609.80042984337</v>
      </c>
      <c r="AD6" s="24">
        <f>'Intermediate calculations'!Y14-'Activity data'!AD5</f>
        <v>483434.18083252001</v>
      </c>
      <c r="AE6" s="24">
        <f>'Intermediate calculations'!Z14-'Activity data'!AE5</f>
        <v>488010.03406549012</v>
      </c>
      <c r="AF6" s="24">
        <f>'Intermediate calculations'!AA14-'Activity data'!AF5</f>
        <v>491502.65589634923</v>
      </c>
      <c r="AG6" s="24">
        <f>'Intermediate calculations'!AB14-'Activity data'!AG5</f>
        <v>493864.41375820257</v>
      </c>
      <c r="AH6" s="24">
        <f>'Intermediate calculations'!AC14-'Activity data'!AH5</f>
        <v>495305.32260837092</v>
      </c>
      <c r="AI6" s="24">
        <f>'Intermediate calculations'!AD14-'Activity data'!AI5</f>
        <v>497533.82229349401</v>
      </c>
      <c r="AJ6" s="24">
        <f>'Intermediate calculations'!AE14-'Activity data'!AJ5</f>
        <v>499442.71138969751</v>
      </c>
      <c r="AK6" s="24">
        <f>'Intermediate calculations'!AF14-'Activity data'!AK5</f>
        <v>501052.0052962061</v>
      </c>
      <c r="AL6" s="24">
        <f>'Intermediate calculations'!AG14-'Activity data'!AL5</f>
        <v>485263.40084345557</v>
      </c>
      <c r="AM6" s="24">
        <f>'Intermediate calculations'!AH14-'Activity data'!AM5</f>
        <v>489547.61568924377</v>
      </c>
      <c r="AN6" s="24">
        <f>'Intermediate calculations'!AI14-'Activity data'!AN5</f>
        <v>493619.91117970692</v>
      </c>
      <c r="AO6" s="24">
        <f>'Intermediate calculations'!AJ14-'Activity data'!AO5</f>
        <v>497706.01715896989</v>
      </c>
      <c r="AP6" s="24">
        <f>'Intermediate calculations'!AK14-'Activity data'!AP5</f>
        <v>501614.61186239531</v>
      </c>
      <c r="AQ6" s="24">
        <f>'Intermediate calculations'!AL14-'Activity data'!AQ5</f>
        <v>505676.03276109032</v>
      </c>
      <c r="AR6" s="24">
        <f>'Intermediate calculations'!AM14-'Activity data'!AR5</f>
        <v>510485.90417251654</v>
      </c>
      <c r="AS6" s="24">
        <f>'Intermediate calculations'!AN14-'Activity data'!AS5</f>
        <v>515213.85038597311</v>
      </c>
      <c r="AT6" s="24">
        <f>'Intermediate calculations'!AO14-'Activity data'!AT5</f>
        <v>520134.87413762242</v>
      </c>
      <c r="AU6" s="24">
        <f>'Intermediate calculations'!AP14-'Activity data'!AU5</f>
        <v>525184.48141775641</v>
      </c>
      <c r="AV6" s="24">
        <f>'Intermediate calculations'!AQ14-'Activity data'!AV5</f>
        <v>530373.13272347057</v>
      </c>
      <c r="AW6" s="24">
        <f>'Intermediate calculations'!AR14-'Activity data'!AW5</f>
        <v>536554.66289367445</v>
      </c>
      <c r="AX6" s="24">
        <f>'Intermediate calculations'!AS14-'Activity data'!AX5</f>
        <v>542378.64497628959</v>
      </c>
      <c r="AY6" s="24">
        <f>'Intermediate calculations'!AT14-'Activity data'!AY5</f>
        <v>548772.32041421277</v>
      </c>
      <c r="AZ6" s="24">
        <f>'Intermediate calculations'!AU14-'Activity data'!AZ5</f>
        <v>555520.13923675043</v>
      </c>
      <c r="BA6" s="24">
        <f>'Intermediate calculations'!AV14-'Activity data'!BA5</f>
        <v>562625.27256803389</v>
      </c>
      <c r="BB6" s="24">
        <f>'Intermediate calculations'!AW14-'Activity data'!BB5</f>
        <v>569837.46075283631</v>
      </c>
      <c r="BC6" s="24">
        <f>'Intermediate calculations'!AX14-'Activity data'!BC5</f>
        <v>577245.65144676273</v>
      </c>
      <c r="BD6" s="24">
        <f>'Intermediate calculations'!AY14-'Activity data'!BD5</f>
        <v>584657.72595484613</v>
      </c>
      <c r="BE6" s="24">
        <f>'Intermediate calculations'!AZ14-'Activity data'!BE5</f>
        <v>592253.79451891617</v>
      </c>
      <c r="BF6" s="24">
        <f>'Intermediate calculations'!BA14-'Activity data'!BF5</f>
        <v>600178.86151873181</v>
      </c>
      <c r="BG6" s="24">
        <f>'Intermediate calculations'!BB14-'Activity data'!BG5</f>
        <v>608347.42017946544</v>
      </c>
      <c r="BH6" s="24">
        <f>'Intermediate calculations'!BC14-'Activity data'!BH5</f>
        <v>616727.08840878715</v>
      </c>
      <c r="BI6" s="24">
        <f>'Intermediate calculations'!BD14-'Activity data'!BI5</f>
        <v>625287.69283753145</v>
      </c>
      <c r="BJ6" s="24">
        <f>'Intermediate calculations'!BE14-'Activity data'!BJ5</f>
        <v>634061.52722811024</v>
      </c>
      <c r="BK6" s="24">
        <f>'Intermediate calculations'!BF14-'Activity data'!BK5</f>
        <v>643202.05295010598</v>
      </c>
      <c r="BL6" s="24">
        <f>'Intermediate calculations'!BG14-'Activity data'!BL5</f>
        <v>652586.99882011372</v>
      </c>
      <c r="BM6" s="24">
        <f>'Intermediate calculations'!BH14-'Activity data'!BM5</f>
        <v>662226.29487034597</v>
      </c>
      <c r="BN6" s="24">
        <f>'Intermediate calculations'!BI14-'Activity data'!BN5</f>
        <v>671808.14964803169</v>
      </c>
      <c r="BO6" s="24">
        <f>'Intermediate calculations'!BJ14-'Activity data'!BO5</f>
        <v>681658.77391816129</v>
      </c>
      <c r="BP6" s="24">
        <f>'Intermediate calculations'!BK14-'Activity data'!BP5</f>
        <v>691793.27773740178</v>
      </c>
    </row>
    <row r="7" spans="1:72" s="23" customFormat="1" x14ac:dyDescent="0.25">
      <c r="A7" s="23" t="str">
        <f t="shared" si="1"/>
        <v>3A Livestock</v>
      </c>
      <c r="C7" s="23" t="str">
        <f>'IPCC Categories'!D6</f>
        <v>3A1aii Other cattle</v>
      </c>
      <c r="D7" t="str">
        <f>'IPCC Categories'!F41</f>
        <v>Non-lactating</v>
      </c>
      <c r="E7" s="23" t="str">
        <f>E6</f>
        <v>Population</v>
      </c>
      <c r="F7" s="23" t="str">
        <f>F6</f>
        <v>Head</v>
      </c>
      <c r="H7" s="43">
        <v>585792.9</v>
      </c>
      <c r="I7" s="43">
        <v>665847.14000000013</v>
      </c>
      <c r="J7" s="43">
        <v>575959.50999999989</v>
      </c>
      <c r="K7" s="43">
        <v>602759.85000000009</v>
      </c>
      <c r="L7" s="43">
        <v>536625.95000000007</v>
      </c>
      <c r="M7" s="43">
        <v>583093.06999999995</v>
      </c>
      <c r="N7" s="43">
        <v>592926.46</v>
      </c>
      <c r="O7" s="43">
        <v>572912.89999999991</v>
      </c>
      <c r="P7" s="43">
        <v>543412.73</v>
      </c>
      <c r="Q7" s="43">
        <v>572566.12</v>
      </c>
      <c r="R7" s="43">
        <v>709614.43</v>
      </c>
      <c r="S7" s="43">
        <v>699781.04</v>
      </c>
      <c r="T7" s="43">
        <v>642440.19000000006</v>
      </c>
      <c r="U7" s="43">
        <v>543412.73</v>
      </c>
      <c r="V7" s="43">
        <v>507125.77999999997</v>
      </c>
      <c r="W7" s="43">
        <v>553592.9</v>
      </c>
      <c r="X7" s="43">
        <v>546806.12</v>
      </c>
      <c r="Y7" s="43">
        <v>553246.12</v>
      </c>
      <c r="Z7" s="43">
        <v>647220.70000000019</v>
      </c>
      <c r="AA7" s="43">
        <v>673674.26</v>
      </c>
      <c r="AB7" s="43">
        <v>673674.26</v>
      </c>
      <c r="AC7" s="43">
        <v>633993.92000000016</v>
      </c>
      <c r="AD7" s="24">
        <f>((Relationships!$AI$43*'Intermediate calculations'!Y14)+Relationships!$AJ$43)</f>
        <v>645063.47613489488</v>
      </c>
      <c r="AE7" s="24">
        <f>((Relationships!$AI$43*'Intermediate calculations'!Z14)+Relationships!$AJ$43)</f>
        <v>650663.36927756981</v>
      </c>
      <c r="AF7" s="24">
        <f>((Relationships!$AI$43*'Intermediate calculations'!AA14)+Relationships!$AJ$43)</f>
        <v>654937.6123629167</v>
      </c>
      <c r="AG7" s="24">
        <f>((Relationships!$AI$43*'Intermediate calculations'!AB14)+Relationships!$AJ$43)</f>
        <v>657827.91303076968</v>
      </c>
      <c r="AH7" s="24">
        <f>((Relationships!$AI$43*'Intermediate calculations'!AC14)+Relationships!$AJ$43)</f>
        <v>659591.28593161772</v>
      </c>
      <c r="AI7" s="24">
        <f>((Relationships!$AI$43*'Intermediate calculations'!AD14)+Relationships!$AJ$43)</f>
        <v>662318.50629245827</v>
      </c>
      <c r="AJ7" s="24">
        <f>((Relationships!$AI$43*'Intermediate calculations'!AE14)+Relationships!$AJ$43)</f>
        <v>664654.58973214019</v>
      </c>
      <c r="AK7" s="24">
        <f>((Relationships!$AI$43*'Intermediate calculations'!AF14)+Relationships!$AJ$43)</f>
        <v>666624.03093857435</v>
      </c>
      <c r="AL7" s="24">
        <f>((Relationships!$AI$43*'Intermediate calculations'!AG14)+Relationships!$AJ$43)</f>
        <v>647302.06117557664</v>
      </c>
      <c r="AM7" s="24">
        <f>((Relationships!$AI$43*'Intermediate calculations'!AH14)+Relationships!$AJ$43)</f>
        <v>652545.04955724347</v>
      </c>
      <c r="AN7" s="24">
        <f>((Relationships!$AI$43*'Intermediate calculations'!AI14)+Relationships!$AJ$43)</f>
        <v>657528.69270114484</v>
      </c>
      <c r="AO7" s="24">
        <f>((Relationships!$AI$43*'Intermediate calculations'!AJ14)+Relationships!$AJ$43)</f>
        <v>662529.23701245477</v>
      </c>
      <c r="AP7" s="24">
        <f>((Relationships!$AI$43*'Intermediate calculations'!AK14)+Relationships!$AJ$43)</f>
        <v>667312.54442264466</v>
      </c>
      <c r="AQ7" s="24">
        <f>((Relationships!$AI$43*'Intermediate calculations'!AL14)+Relationships!$AJ$43)</f>
        <v>672282.87932679907</v>
      </c>
      <c r="AR7" s="24">
        <f>((Relationships!$AI$43*'Intermediate calculations'!AM14)+Relationships!$AJ$43)</f>
        <v>678169.16207291558</v>
      </c>
      <c r="AS7" s="24">
        <f>((Relationships!$AI$43*'Intermediate calculations'!AN14)+Relationships!$AJ$43)</f>
        <v>683955.18540707871</v>
      </c>
      <c r="AT7" s="24">
        <f>((Relationships!$AI$43*'Intermediate calculations'!AO14)+Relationships!$AJ$43)</f>
        <v>689977.49551161728</v>
      </c>
      <c r="AU7" s="24">
        <f>((Relationships!$AI$43*'Intermediate calculations'!AP14)+Relationships!$AJ$43)</f>
        <v>696157.16512546747</v>
      </c>
      <c r="AV7" s="24">
        <f>((Relationships!$AI$43*'Intermediate calculations'!AQ14)+Relationships!$AJ$43)</f>
        <v>702506.99572257791</v>
      </c>
      <c r="AW7" s="24">
        <f>((Relationships!$AI$43*'Intermediate calculations'!AR14)+Relationships!$AJ$43)</f>
        <v>710071.90365317906</v>
      </c>
      <c r="AX7" s="24">
        <f>((Relationships!$AI$43*'Intermediate calculations'!AS14)+Relationships!$AJ$43)</f>
        <v>717199.24705058266</v>
      </c>
      <c r="AY7" s="24">
        <f>((Relationships!$AI$43*'Intermediate calculations'!AT14)+Relationships!$AJ$43)</f>
        <v>725023.77668875793</v>
      </c>
      <c r="AZ7" s="24">
        <f>((Relationships!$AI$43*'Intermediate calculations'!AU14)+Relationships!$AJ$43)</f>
        <v>733281.7042114496</v>
      </c>
      <c r="BA7" s="24">
        <f>((Relationships!$AI$43*'Intermediate calculations'!AV14)+Relationships!$AJ$43)</f>
        <v>741976.91041539051</v>
      </c>
      <c r="BB7" s="24">
        <f>((Relationships!$AI$43*'Intermediate calculations'!AW14)+Relationships!$AJ$43)</f>
        <v>750803.12950580078</v>
      </c>
      <c r="BC7" s="24">
        <f>((Relationships!$AI$43*'Intermediate calculations'!AX14)+Relationships!$AJ$43)</f>
        <v>759869.21492297202</v>
      </c>
      <c r="BD7" s="24">
        <f>((Relationships!$AI$43*'Intermediate calculations'!AY14)+Relationships!$AJ$43)</f>
        <v>768940.05332131602</v>
      </c>
      <c r="BE7" s="24">
        <f>((Relationships!$AI$43*'Intermediate calculations'!AZ14)+Relationships!$AJ$43)</f>
        <v>778236.06219606183</v>
      </c>
      <c r="BF7" s="24">
        <f>((Relationships!$AI$43*'Intermediate calculations'!BA14)+Relationships!$AJ$43)</f>
        <v>787934.69676496391</v>
      </c>
      <c r="BG7" s="24">
        <f>((Relationships!$AI$43*'Intermediate calculations'!BB14)+Relationships!$AJ$43)</f>
        <v>797931.31451052229</v>
      </c>
      <c r="BH7" s="24">
        <f>((Relationships!$AI$43*'Intermediate calculations'!BC14)+Relationships!$AJ$43)</f>
        <v>808186.28648321633</v>
      </c>
      <c r="BI7" s="24">
        <f>((Relationships!$AI$43*'Intermediate calculations'!BD14)+Relationships!$AJ$43)</f>
        <v>818662.68675153551</v>
      </c>
      <c r="BJ7" s="24">
        <f>((Relationships!$AI$43*'Intermediate calculations'!BE14)+Relationships!$AJ$43)</f>
        <v>829400.03616754303</v>
      </c>
      <c r="BK7" s="24">
        <f>((Relationships!$AI$43*'Intermediate calculations'!BF14)+Relationships!$AJ$43)</f>
        <v>840586.1395465238</v>
      </c>
      <c r="BL7" s="24">
        <f>((Relationships!$AI$43*'Intermediate calculations'!BG14)+Relationships!$AJ$43)</f>
        <v>852071.3623773529</v>
      </c>
      <c r="BM7" s="24">
        <f>((Relationships!$AI$43*'Intermediate calculations'!BH14)+Relationships!$AJ$43)</f>
        <v>863867.85695523338</v>
      </c>
      <c r="BN7" s="24">
        <f>((Relationships!$AI$43*'Intermediate calculations'!BI14)+Relationships!$AJ$43)</f>
        <v>875594.0553562342</v>
      </c>
      <c r="BO7" s="24">
        <f>((Relationships!$AI$43*'Intermediate calculations'!BJ14)+Relationships!$AJ$43)</f>
        <v>887649.17174500017</v>
      </c>
      <c r="BP7" s="24">
        <f>((Relationships!$AI$43*'Intermediate calculations'!BK14)+Relationships!$AJ$43)</f>
        <v>900051.69768985885</v>
      </c>
    </row>
    <row r="8" spans="1:72" s="23" customFormat="1" x14ac:dyDescent="0.25">
      <c r="A8" s="23" t="str">
        <f t="shared" si="1"/>
        <v>3A Livestock</v>
      </c>
      <c r="C8" s="23" t="str">
        <f>C7</f>
        <v>3A1aii Other cattle</v>
      </c>
      <c r="D8" t="str">
        <f>'IPCC Categories'!$F$36</f>
        <v>Commercial</v>
      </c>
      <c r="E8" s="23" t="str">
        <f>E6</f>
        <v>Population</v>
      </c>
      <c r="F8" s="23" t="str">
        <f>F6</f>
        <v>Head</v>
      </c>
      <c r="H8" s="43">
        <v>6817100</v>
      </c>
      <c r="I8" s="43">
        <v>6522860</v>
      </c>
      <c r="J8" s="43">
        <v>6520490</v>
      </c>
      <c r="K8" s="43">
        <v>6100150</v>
      </c>
      <c r="L8" s="43">
        <v>6284050</v>
      </c>
      <c r="M8" s="43">
        <v>6426930</v>
      </c>
      <c r="N8" s="43">
        <v>6693540</v>
      </c>
      <c r="O8" s="43">
        <v>6947100</v>
      </c>
      <c r="P8" s="43">
        <v>7007270</v>
      </c>
      <c r="Q8" s="43">
        <v>6893880</v>
      </c>
      <c r="R8" s="43">
        <v>6425570</v>
      </c>
      <c r="S8" s="43">
        <v>6458960</v>
      </c>
      <c r="T8" s="43">
        <v>6019810</v>
      </c>
      <c r="U8" s="43">
        <v>6177270</v>
      </c>
      <c r="V8" s="43">
        <v>6234220</v>
      </c>
      <c r="W8" s="43">
        <v>6287100</v>
      </c>
      <c r="X8" s="43">
        <v>6143880</v>
      </c>
      <c r="Y8" s="43">
        <v>6323880</v>
      </c>
      <c r="Z8" s="43">
        <v>6148152.25</v>
      </c>
      <c r="AA8" s="43">
        <v>6044920.583333333</v>
      </c>
      <c r="AB8" s="43">
        <v>6025917.666666667</v>
      </c>
      <c r="AC8" s="43">
        <v>6004279.833333333</v>
      </c>
      <c r="AD8" s="24">
        <f>((Relationships!$AI$44*LN('Intermediate calculations'!Y8))+Relationships!$AJ$44)</f>
        <v>5958927.5765809305</v>
      </c>
      <c r="AE8" s="24">
        <f>((Relationships!$AI$44*LN('Intermediate calculations'!Z8))+Relationships!$AJ$44)</f>
        <v>5925439.4632356483</v>
      </c>
      <c r="AF8" s="24">
        <f>((Relationships!$AI$44*LN('Intermediate calculations'!AA8))+Relationships!$AJ$44)</f>
        <v>5901768.0931458119</v>
      </c>
      <c r="AG8" s="24">
        <f>((Relationships!$AI$44*LN('Intermediate calculations'!AB8))+Relationships!$AJ$44)</f>
        <v>5887510.1286221966</v>
      </c>
      <c r="AH8" s="24">
        <f>((Relationships!$AI$44*LN('Intermediate calculations'!AC8))+Relationships!$AJ$44)</f>
        <v>5880922.9671151601</v>
      </c>
      <c r="AI8" s="24">
        <f>((Relationships!$AI$44*LN('Intermediate calculations'!AD8))+Relationships!$AJ$44)</f>
        <v>5868386.9021355677</v>
      </c>
      <c r="AJ8" s="24">
        <f>((Relationships!$AI$44*LN('Intermediate calculations'!AE8))+Relationships!$AJ$44)</f>
        <v>5858427.5375996958</v>
      </c>
      <c r="AK8" s="24">
        <f>((Relationships!$AI$44*LN('Intermediate calculations'!AF8))+Relationships!$AJ$44)</f>
        <v>5850808.2353461292</v>
      </c>
      <c r="AL8" s="24">
        <f>((Relationships!$AI$44*LN('Intermediate calculations'!AG8))+Relationships!$AJ$44)</f>
        <v>5982243.0247551333</v>
      </c>
      <c r="AM8" s="24">
        <f>((Relationships!$AI$44*LN('Intermediate calculations'!AH8))+Relationships!$AJ$44)</f>
        <v>5950830.4927136209</v>
      </c>
      <c r="AN8" s="24">
        <f>((Relationships!$AI$44*LN('Intermediate calculations'!AI8))+Relationships!$AJ$44)</f>
        <v>5922250.0182831232</v>
      </c>
      <c r="AO8" s="24">
        <f>((Relationships!$AI$44*LN('Intermediate calculations'!AJ8))+Relationships!$AJ$44)</f>
        <v>5894491.4635193255</v>
      </c>
      <c r="AP8" s="24">
        <f>((Relationships!$AI$44*LN('Intermediate calculations'!AK8))+Relationships!$AJ$44)</f>
        <v>5868958.3229566347</v>
      </c>
      <c r="AQ8" s="24">
        <f>((Relationships!$AI$44*LN('Intermediate calculations'!AL8))+Relationships!$AJ$44)</f>
        <v>5843043.2981786784</v>
      </c>
      <c r="AR8" s="24">
        <f>((Relationships!$AI$44*LN('Intermediate calculations'!AM8))+Relationships!$AJ$44)</f>
        <v>5812912.4723398313</v>
      </c>
      <c r="AS8" s="24">
        <f>((Relationships!$AI$44*LN('Intermediate calculations'!AN8))+Relationships!$AJ$44)</f>
        <v>5784376.6539384741</v>
      </c>
      <c r="AT8" s="24">
        <f>((Relationships!$AI$44*LN('Intermediate calculations'!AO8))+Relationships!$AJ$44)</f>
        <v>5755483.7647179812</v>
      </c>
      <c r="AU8" s="24">
        <f>((Relationships!$AI$44*LN('Intermediate calculations'!AP8))+Relationships!$AJ$44)</f>
        <v>5726714.4394749179</v>
      </c>
      <c r="AV8" s="24">
        <f>((Relationships!$AI$44*LN('Intermediate calculations'!AQ8))+Relationships!$AJ$44)</f>
        <v>5698023.1121740881</v>
      </c>
      <c r="AW8" s="24">
        <f>'Intermediate calculations'!AR8*'Intermediate calculations'!AR9</f>
        <v>5751043.1298438106</v>
      </c>
      <c r="AX8" s="24">
        <f>'Intermediate calculations'!AS8*'Intermediate calculations'!AS9</f>
        <v>5776138.8762748893</v>
      </c>
      <c r="AY8" s="24">
        <f>'Intermediate calculations'!AT8*'Intermediate calculations'!AT9</f>
        <v>5809789.4207095569</v>
      </c>
      <c r="AZ8" s="24">
        <f>'Intermediate calculations'!AU8*'Intermediate calculations'!AU9</f>
        <v>5841955.3701857775</v>
      </c>
      <c r="BA8" s="24">
        <f>'Intermediate calculations'!AV8*'Intermediate calculations'!AV9</f>
        <v>5871417.3870560592</v>
      </c>
      <c r="BB8" s="24">
        <f>'Intermediate calculations'!AW8*'Intermediate calculations'!AW9</f>
        <v>5887451.5380100776</v>
      </c>
      <c r="BC8" s="24">
        <f>'Intermediate calculations'!AX8*'Intermediate calculations'!AX9</f>
        <v>5893480.0197588243</v>
      </c>
      <c r="BD8" s="24">
        <f>'Intermediate calculations'!AY8*'Intermediate calculations'!AY9</f>
        <v>5882690.0989702391</v>
      </c>
      <c r="BE8" s="24">
        <f>'Intermediate calculations'!AZ8*'Intermediate calculations'!AZ9</f>
        <v>5860537.4519128446</v>
      </c>
      <c r="BF8" s="24">
        <f>'Intermediate calculations'!BA8*'Intermediate calculations'!BA9</f>
        <v>5830552.5932285162</v>
      </c>
      <c r="BG8" s="24">
        <f>'Intermediate calculations'!BB8*'Intermediate calculations'!BB9</f>
        <v>5851620.0921096327</v>
      </c>
      <c r="BH8" s="24">
        <f>'Intermediate calculations'!BC8*'Intermediate calculations'!BC9</f>
        <v>5864475.3639023788</v>
      </c>
      <c r="BI8" s="24">
        <f>'Intermediate calculations'!BD8*'Intermediate calculations'!BD9</f>
        <v>5867729.5755842663</v>
      </c>
      <c r="BJ8" s="24">
        <f>'Intermediate calculations'!BE8*'Intermediate calculations'!BE9</f>
        <v>5861691.4249336924</v>
      </c>
      <c r="BK8" s="24">
        <f>'Intermediate calculations'!BF8*'Intermediate calculations'!BF9</f>
        <v>5849506.9370549079</v>
      </c>
      <c r="BL8" s="24">
        <f>'Intermediate calculations'!BG8*'Intermediate calculations'!BG9</f>
        <v>5827885.747497919</v>
      </c>
      <c r="BM8" s="24">
        <f>'Intermediate calculations'!BH8*'Intermediate calculations'!BH9</f>
        <v>5795698.7729721973</v>
      </c>
      <c r="BN8" s="24">
        <f>'Intermediate calculations'!BI8*'Intermediate calculations'!BI9</f>
        <v>5745494.4676447464</v>
      </c>
      <c r="BO8" s="24">
        <f>'Intermediate calculations'!BJ8*'Intermediate calculations'!BJ9</f>
        <v>5684173.9153804947</v>
      </c>
      <c r="BP8" s="24">
        <f>'Intermediate calculations'!BK8*'Intermediate calculations'!BK9</f>
        <v>5611277.1554829553</v>
      </c>
    </row>
    <row r="9" spans="1:72" s="23" customFormat="1" x14ac:dyDescent="0.25">
      <c r="A9" s="23" t="str">
        <f t="shared" si="1"/>
        <v>3A Livestock</v>
      </c>
      <c r="C9" s="23" t="str">
        <f>$C$8</f>
        <v>3A1aii Other cattle</v>
      </c>
      <c r="D9" t="str">
        <f>'IPCC Categories'!$F$37</f>
        <v>Subsistence</v>
      </c>
      <c r="E9" s="23" t="str">
        <f t="shared" ref="E9:E22" si="2">E8</f>
        <v>Population</v>
      </c>
      <c r="F9" s="23" t="str">
        <f t="shared" ref="F9:F22" si="3">F8</f>
        <v>Head</v>
      </c>
      <c r="H9" s="43">
        <v>5689999.9999999991</v>
      </c>
      <c r="I9" s="43">
        <v>6130000</v>
      </c>
      <c r="J9" s="43">
        <v>6190000</v>
      </c>
      <c r="K9" s="43">
        <v>6189999.9999999991</v>
      </c>
      <c r="L9" s="43">
        <v>5440000</v>
      </c>
      <c r="M9" s="43">
        <v>5369999.9999999991</v>
      </c>
      <c r="N9" s="43">
        <v>5500000</v>
      </c>
      <c r="O9" s="43">
        <v>5659999.9999999991</v>
      </c>
      <c r="P9" s="43">
        <v>5910000.0000000009</v>
      </c>
      <c r="Q9" s="43">
        <v>6119999.9999999991</v>
      </c>
      <c r="R9" s="43">
        <v>6290000</v>
      </c>
      <c r="S9" s="43">
        <v>6160000</v>
      </c>
      <c r="T9" s="43">
        <v>6650000</v>
      </c>
      <c r="U9" s="43">
        <v>6640000.0000000009</v>
      </c>
      <c r="V9" s="43">
        <v>6500000.0000000009</v>
      </c>
      <c r="W9" s="43">
        <v>6419999.9999999991</v>
      </c>
      <c r="X9" s="43">
        <v>6570000</v>
      </c>
      <c r="Y9" s="43">
        <v>6789999.9999999991</v>
      </c>
      <c r="Z9" s="43">
        <v>6920000</v>
      </c>
      <c r="AA9" s="43">
        <v>6900000.0000000009</v>
      </c>
      <c r="AB9" s="43">
        <v>6820000</v>
      </c>
      <c r="AC9" s="43">
        <v>6800000</v>
      </c>
      <c r="AD9" s="24">
        <f>(Relationships!$AI$45*Drivers!Z4)+Relationships!$AJ$45</f>
        <v>6747287.7602523509</v>
      </c>
      <c r="AE9" s="24">
        <f>(Relationships!$AI$45*Drivers!AA4)+Relationships!$AJ$45</f>
        <v>6764983.6536081526</v>
      </c>
      <c r="AF9" s="24">
        <f>(Relationships!$AI$45*Drivers!AB4)+Relationships!$AJ$45</f>
        <v>6782840.2538580541</v>
      </c>
      <c r="AG9" s="24">
        <f>(Relationships!$AI$45*Drivers!AC4)+Relationships!$AJ$45</f>
        <v>6800859.0204764754</v>
      </c>
      <c r="AH9" s="24">
        <f>(Relationships!$AI$45*Drivers!AD4)+Relationships!$AJ$45</f>
        <v>6820497.3641288234</v>
      </c>
      <c r="AI9" s="24">
        <f>(Relationships!$AI$45*Drivers!AE4)+Relationships!$AJ$45</f>
        <v>6840135.7077811714</v>
      </c>
      <c r="AJ9" s="24">
        <f>(Relationships!$AI$45*Drivers!AF4)+Relationships!$AJ$45</f>
        <v>6859774.0514335185</v>
      </c>
      <c r="AK9" s="24">
        <f>(Relationships!$AI$45*Drivers!AG4)+Relationships!$AJ$45</f>
        <v>6879412.3950858666</v>
      </c>
      <c r="AL9" s="24">
        <f>(Relationships!$AI$45*Drivers!AH4)+Relationships!$AJ$45</f>
        <v>6899050.7387382146</v>
      </c>
      <c r="AM9" s="24">
        <f>(Relationships!$AI$45*Drivers!AI4)+Relationships!$AJ$45</f>
        <v>6918956.3190347804</v>
      </c>
      <c r="AN9" s="24">
        <f>(Relationships!$AI$45*Drivers!AJ4)+Relationships!$AJ$45</f>
        <v>6938861.8989639208</v>
      </c>
      <c r="AO9" s="24">
        <f>(Relationships!$AI$45*Drivers!AK4)+Relationships!$AJ$45</f>
        <v>6958767.4788930602</v>
      </c>
      <c r="AP9" s="24">
        <f>(Relationships!$AI$45*Drivers!AL4)+Relationships!$AJ$45</f>
        <v>6978673.0588222016</v>
      </c>
      <c r="AQ9" s="24">
        <f>(Relationships!$AI$45*Drivers!AM4)+Relationships!$AJ$45</f>
        <v>6998578.6391187664</v>
      </c>
      <c r="AR9" s="24">
        <f>(Relationships!$AI$45*Drivers!AN4)+Relationships!$AJ$45</f>
        <v>7020144.1996587152</v>
      </c>
      <c r="AS9" s="24">
        <f>(Relationships!$AI$45*Drivers!AO4)+Relationships!$AJ$45</f>
        <v>7041709.760198663</v>
      </c>
      <c r="AT9" s="24">
        <f>(Relationships!$AI$45*Drivers!AP4)+Relationships!$AJ$45</f>
        <v>7063275.3207386108</v>
      </c>
      <c r="AU9" s="24">
        <f>(Relationships!$AI$45*Drivers!AQ4)+Relationships!$AJ$45</f>
        <v>7084840.8812785596</v>
      </c>
      <c r="AV9" s="24">
        <f>(Relationships!$AI$45*Drivers!AR4)+Relationships!$AJ$45</f>
        <v>7106406.4418185074</v>
      </c>
      <c r="AW9" s="24">
        <f>(Relationships!$AI$45*Drivers!AS4)+Relationships!$AJ$45</f>
        <v>7127239.8486435506</v>
      </c>
      <c r="AX9" s="24">
        <f>(Relationships!$AI$45*Drivers!AT4)+Relationships!$AJ$45</f>
        <v>7148073.2551011704</v>
      </c>
      <c r="AY9" s="24">
        <f>(Relationships!$AI$45*Drivers!AU4)+Relationships!$AJ$45</f>
        <v>7168906.6619262146</v>
      </c>
      <c r="AZ9" s="24">
        <f>(Relationships!$AI$45*Drivers!AV4)+Relationships!$AJ$45</f>
        <v>7189740.0683838334</v>
      </c>
      <c r="BA9" s="24">
        <f>(Relationships!$AI$45*Drivers!AW4)+Relationships!$AJ$45</f>
        <v>7210573.4748414531</v>
      </c>
      <c r="BB9" s="24">
        <f>(Relationships!$AI$45*Drivers!AX4)+Relationships!$AJ$45</f>
        <v>7232225.9403286418</v>
      </c>
      <c r="BC9" s="24">
        <f>(Relationships!$AI$45*Drivers!AY4)+Relationships!$AJ$45</f>
        <v>7253878.4058158305</v>
      </c>
      <c r="BD9" s="24">
        <f>(Relationships!$AI$45*Drivers!AZ4)+Relationships!$AJ$45</f>
        <v>7275530.8709355928</v>
      </c>
      <c r="BE9" s="24">
        <f>(Relationships!$AI$45*Drivers!BA4)+Relationships!$AJ$45</f>
        <v>7297183.3364227824</v>
      </c>
      <c r="BF9" s="24">
        <f>(Relationships!$AI$45*Drivers!BB4)+Relationships!$AJ$45</f>
        <v>7318835.8019099701</v>
      </c>
      <c r="BG9" s="24">
        <f>(Relationships!$AI$45*Drivers!BC4)+Relationships!$AJ$45</f>
        <v>7343552.705131839</v>
      </c>
      <c r="BH9" s="24">
        <f>(Relationships!$AI$45*Drivers!BD4)+Relationships!$AJ$45</f>
        <v>7368269.6079862816</v>
      </c>
      <c r="BI9" s="24">
        <f>(Relationships!$AI$45*Drivers!BE4)+Relationships!$AJ$45</f>
        <v>7392986.5112081505</v>
      </c>
      <c r="BJ9" s="24">
        <f>(Relationships!$AI$45*Drivers!BF4)+Relationships!$AJ$45</f>
        <v>7417703.4144300185</v>
      </c>
      <c r="BK9" s="24">
        <f>(Relationships!$AI$45*Drivers!BG4)+Relationships!$AJ$45</f>
        <v>7442420.3176518865</v>
      </c>
      <c r="BL9" s="24">
        <f>(Relationships!$AI$45*Drivers!BH4)+Relationships!$AJ$45</f>
        <v>7466264.8586931052</v>
      </c>
      <c r="BM9" s="24">
        <f>(Relationships!$AI$45*Drivers!BI4)+Relationships!$AJ$45</f>
        <v>7490109.3997343229</v>
      </c>
      <c r="BN9" s="24">
        <f>(Relationships!$AI$45*Drivers!BJ4)+Relationships!$AJ$45</f>
        <v>7513953.941142967</v>
      </c>
      <c r="BO9" s="24">
        <f>(Relationships!$AI$45*Drivers!BK4)+Relationships!$AJ$45</f>
        <v>7537798.4821841847</v>
      </c>
      <c r="BP9" s="24">
        <f>(Relationships!$AI$45*Drivers!BL4)+Relationships!$AJ$45</f>
        <v>7561643.0232254025</v>
      </c>
    </row>
    <row r="10" spans="1:72" s="23" customFormat="1" x14ac:dyDescent="0.25">
      <c r="A10" s="23" t="str">
        <f t="shared" si="1"/>
        <v>3A Livestock</v>
      </c>
      <c r="C10" s="23" t="str">
        <f>$C$9</f>
        <v>3A1aii Other cattle</v>
      </c>
      <c r="D10" t="str">
        <f>'IPCC Categories'!$F$38</f>
        <v>Feedlot</v>
      </c>
      <c r="E10" s="23" t="str">
        <f t="shared" si="2"/>
        <v>Population</v>
      </c>
      <c r="F10" s="23" t="str">
        <f t="shared" si="3"/>
        <v>Head</v>
      </c>
      <c r="H10" s="43">
        <v>420000</v>
      </c>
      <c r="I10" s="43">
        <v>420000</v>
      </c>
      <c r="J10" s="43">
        <v>420000</v>
      </c>
      <c r="K10" s="43">
        <v>420000</v>
      </c>
      <c r="L10" s="43">
        <v>420000</v>
      </c>
      <c r="M10" s="43">
        <v>420000</v>
      </c>
      <c r="N10" s="43">
        <v>420000</v>
      </c>
      <c r="O10" s="43">
        <v>420000</v>
      </c>
      <c r="P10" s="43">
        <v>420000</v>
      </c>
      <c r="Q10" s="43">
        <v>420000</v>
      </c>
      <c r="R10" s="43">
        <v>420000</v>
      </c>
      <c r="S10" s="43">
        <v>420000</v>
      </c>
      <c r="T10" s="43">
        <v>420000</v>
      </c>
      <c r="U10" s="43">
        <v>420000</v>
      </c>
      <c r="V10" s="43">
        <v>420000</v>
      </c>
      <c r="W10" s="43">
        <v>420000</v>
      </c>
      <c r="X10" s="43">
        <v>420000</v>
      </c>
      <c r="Y10" s="43">
        <v>420000</v>
      </c>
      <c r="Z10" s="43">
        <v>391147.75</v>
      </c>
      <c r="AA10" s="43">
        <v>400819.41666666669</v>
      </c>
      <c r="AB10" s="43">
        <v>399822.33333333331</v>
      </c>
      <c r="AC10" s="43">
        <v>461800.16666666669</v>
      </c>
      <c r="AD10" s="24">
        <f>IF(AC10*(1+Constants!$H$25)&lt;1000000,AC10*(1+Constants!$H$25),1000000)</f>
        <v>475654.17166666669</v>
      </c>
      <c r="AE10" s="24">
        <f>IF(AD10*(1+Constants!$H$25)&lt;1000000,AD10*(1+Constants!$H$25),1000000)</f>
        <v>489923.79681666673</v>
      </c>
      <c r="AF10" s="24">
        <f>IF(AE10*(1+Constants!$H$25)&lt;1000000,AE10*(1+Constants!$H$25),1000000)</f>
        <v>504621.51072116673</v>
      </c>
      <c r="AG10" s="24">
        <f>IF(AF10*(1+Constants!$H$25)&lt;1000000,AF10*(1+Constants!$H$25),1000000)</f>
        <v>519760.15604280174</v>
      </c>
      <c r="AH10" s="24">
        <f>IF(AG10*(1+Constants!$H$25)&lt;1000000,AG10*(1+Constants!$H$25),1000000)</f>
        <v>535352.9607240858</v>
      </c>
      <c r="AI10" s="24">
        <f>IF(AH10*(1+Constants!$H$25)&lt;1000000,AH10*(1+Constants!$H$25),1000000)</f>
        <v>551413.54954580835</v>
      </c>
      <c r="AJ10" s="24">
        <f>IF(AI10*(1+Constants!$H$25)&lt;1000000,AI10*(1+Constants!$H$25),1000000)</f>
        <v>567955.95603218256</v>
      </c>
      <c r="AK10" s="24">
        <f>IF(AJ10*(1+Constants!$H$25)&lt;1000000,AJ10*(1+Constants!$H$25),1000000)</f>
        <v>584994.634713148</v>
      </c>
      <c r="AL10" s="24">
        <f>IF(AK10*(1+Constants!$H$25)&lt;1000000,AK10*(1+Constants!$H$25),1000000)</f>
        <v>602544.47375454241</v>
      </c>
      <c r="AM10" s="24">
        <f>IF(AL10*(1+Constants!$H$25)&lt;1000000,AL10*(1+Constants!$H$25),1000000)</f>
        <v>620620.80796717876</v>
      </c>
      <c r="AN10" s="24">
        <f>IF(AM10*(1+Constants!$H$25)&lt;1000000,AM10*(1+Constants!$H$25),1000000)</f>
        <v>639239.43220619415</v>
      </c>
      <c r="AO10" s="24">
        <f>IF(AN10*(1+Constants!$H$25)&lt;1000000,AN10*(1+Constants!$H$25),1000000)</f>
        <v>658416.61517238</v>
      </c>
      <c r="AP10" s="24">
        <f>IF(AO10*(1+Constants!$H$25)&lt;1000000,AO10*(1+Constants!$H$25),1000000)</f>
        <v>678169.11362755147</v>
      </c>
      <c r="AQ10" s="24">
        <f>IF(AP10*(1+Constants!$H$25)&lt;1000000,AP10*(1+Constants!$H$25),1000000)</f>
        <v>698514.18703637808</v>
      </c>
      <c r="AR10" s="24">
        <f>IF(AQ10*(1+Constants!$H$25)&lt;1000000,AQ10*(1+Constants!$H$25),1000000)</f>
        <v>719469.61264746939</v>
      </c>
      <c r="AS10" s="24">
        <f>IF(AR10*(1+Constants!$H$25)&lt;1000000,AR10*(1+Constants!$H$25),1000000)</f>
        <v>741053.70102689345</v>
      </c>
      <c r="AT10" s="24">
        <f>IF(AS10*(1+Constants!$H$25)&lt;1000000,AS10*(1+Constants!$H$25),1000000)</f>
        <v>763285.31205770024</v>
      </c>
      <c r="AU10" s="24">
        <f>IF(AT10*(1+Constants!$H$25)&lt;1000000,AT10*(1+Constants!$H$25),1000000)</f>
        <v>786183.87141943129</v>
      </c>
      <c r="AV10" s="24">
        <f>IF(AU10*(1+Constants!$H$25)&lt;1000000,AU10*(1+Constants!$H$25),1000000)</f>
        <v>809769.38756201428</v>
      </c>
      <c r="AW10" s="24">
        <f>IF(AV10*(1+Constants!$H$25)&lt;1000000,AV10*(1+Constants!$H$25),1000000)</f>
        <v>834062.4691888747</v>
      </c>
      <c r="AX10" s="24">
        <f>IF(AW10*(1+Constants!$H$25)&lt;1000000,AW10*(1+Constants!$H$25),1000000)</f>
        <v>859084.34326454101</v>
      </c>
      <c r="AY10" s="24">
        <f>IF(AX10*(1+Constants!$H$25)&lt;1000000,AX10*(1+Constants!$H$25),1000000)</f>
        <v>884856.8735624773</v>
      </c>
      <c r="AZ10" s="24">
        <f>IF(AY10*(1+Constants!$H$25)&lt;1000000,AY10*(1+Constants!$H$25),1000000)</f>
        <v>911402.57976935164</v>
      </c>
      <c r="BA10" s="24">
        <f>IF(AZ10*(1+Constants!$H$25)&lt;1000000,AZ10*(1+Constants!$H$25),1000000)</f>
        <v>938744.65716243221</v>
      </c>
      <c r="BB10" s="24">
        <f>IF(BA10*(1+Constants!$H$25)&lt;1000000,BA10*(1+Constants!$H$25),1000000)</f>
        <v>966906.99687730521</v>
      </c>
      <c r="BC10" s="24">
        <f>IF(BB10*(1+Constants!$H$25)&lt;1000000,BB10*(1+Constants!$H$25),1000000)</f>
        <v>995914.20678362437</v>
      </c>
      <c r="BD10" s="24">
        <f>IF(BC10*(1+Constants!$H$25)&lt;1000000,BC10*(1+Constants!$H$25),1000000)</f>
        <v>1000000</v>
      </c>
      <c r="BE10" s="24">
        <f>IF(BD10*(1+Constants!$H$25)&lt;1000000,BD10*(1+Constants!$H$25),1000000)</f>
        <v>1000000</v>
      </c>
      <c r="BF10" s="24">
        <f>IF(BE10*(1+Constants!$H$25)&lt;1000000,BE10*(1+Constants!$H$25),1000000)</f>
        <v>1000000</v>
      </c>
      <c r="BG10" s="24">
        <f>IF(BF10*(1+Constants!$H$25)&lt;1000000,BF10*(1+Constants!$H$25),1000000)</f>
        <v>1000000</v>
      </c>
      <c r="BH10" s="24">
        <f>IF(BG10*(1+Constants!$H$25)&lt;1000000,BG10*(1+Constants!$H$25),1000000)</f>
        <v>1000000</v>
      </c>
      <c r="BI10" s="24">
        <f>IF(BH10*(1+Constants!$H$25)&lt;1000000,BH10*(1+Constants!$H$25),1000000)</f>
        <v>1000000</v>
      </c>
      <c r="BJ10" s="24">
        <f>IF(BI10*(1+Constants!$H$25)&lt;1000000,BI10*(1+Constants!$H$25),1000000)</f>
        <v>1000000</v>
      </c>
      <c r="BK10" s="24">
        <f>IF(BJ10*(1+Constants!$H$25)&lt;1000000,BJ10*(1+Constants!$H$25),1000000)</f>
        <v>1000000</v>
      </c>
      <c r="BL10" s="24">
        <f>IF(BK10*(1+Constants!$H$25)&lt;1000000,BK10*(1+Constants!$H$25),1000000)</f>
        <v>1000000</v>
      </c>
      <c r="BM10" s="24">
        <f>IF(BL10*(1+Constants!$H$25)&lt;1000000,BL10*(1+Constants!$H$25),1000000)</f>
        <v>1000000</v>
      </c>
      <c r="BN10" s="24">
        <f>IF(BM10*(1+Constants!$H$25)&lt;1000000,BM10*(1+Constants!$H$25),1000000)</f>
        <v>1000000</v>
      </c>
      <c r="BO10" s="24">
        <f>IF(BN10*(1+Constants!$H$25)&lt;1000000,BN10*(1+Constants!$H$25),1000000)</f>
        <v>1000000</v>
      </c>
      <c r="BP10" s="24">
        <f>IF(BO10*(1+Constants!$H$25)&lt;1000000,BO10*(1+Constants!$H$25),1000000)</f>
        <v>1000000</v>
      </c>
    </row>
    <row r="11" spans="1:72" s="23" customFormat="1" x14ac:dyDescent="0.25">
      <c r="A11" s="23" t="str">
        <f t="shared" si="1"/>
        <v>3A Livestock</v>
      </c>
      <c r="C11" s="23" t="str">
        <f>'IPCC Categories'!$C$7</f>
        <v>3A1c Sheep</v>
      </c>
      <c r="D11" t="str">
        <f>'IPCC Categories'!F36</f>
        <v>Commercial</v>
      </c>
      <c r="E11" s="23" t="str">
        <f t="shared" si="2"/>
        <v>Population</v>
      </c>
      <c r="F11" s="23" t="str">
        <f t="shared" si="3"/>
        <v>Head</v>
      </c>
      <c r="H11" s="43">
        <v>29979000</v>
      </c>
      <c r="I11" s="43">
        <v>28631000</v>
      </c>
      <c r="J11" s="43">
        <v>27448000</v>
      </c>
      <c r="K11" s="43">
        <v>25670000</v>
      </c>
      <c r="L11" s="43">
        <v>25851000</v>
      </c>
      <c r="M11" s="43">
        <v>25481000</v>
      </c>
      <c r="N11" s="43">
        <v>25566000</v>
      </c>
      <c r="O11" s="43">
        <v>25010000</v>
      </c>
      <c r="P11" s="43">
        <v>25079000</v>
      </c>
      <c r="Q11" s="43">
        <v>24463000</v>
      </c>
      <c r="R11" s="43">
        <v>23586000</v>
      </c>
      <c r="S11" s="43">
        <v>22998000</v>
      </c>
      <c r="T11" s="43">
        <v>22614000</v>
      </c>
      <c r="U11" s="43">
        <v>22693000</v>
      </c>
      <c r="V11" s="43">
        <v>22289000</v>
      </c>
      <c r="W11" s="43">
        <v>22236000</v>
      </c>
      <c r="X11" s="43">
        <v>21945000</v>
      </c>
      <c r="Y11" s="43">
        <v>21924000</v>
      </c>
      <c r="Z11" s="43">
        <v>21995000</v>
      </c>
      <c r="AA11" s="43">
        <v>21917000</v>
      </c>
      <c r="AB11" s="43">
        <v>21493000</v>
      </c>
      <c r="AC11" s="43">
        <v>21325000</v>
      </c>
      <c r="AD11" s="24">
        <f>((Relationships!$AI$47*LN('Intermediate calculations'!Y22))+Relationships!$AJ$47)</f>
        <v>21894090.783376001</v>
      </c>
      <c r="AE11" s="24">
        <f>((Relationships!$AI$47*LN('Intermediate calculations'!Z22))+Relationships!$AJ$47)</f>
        <v>21821808.641288169</v>
      </c>
      <c r="AF11" s="24">
        <f>((Relationships!$AI$47*LN('Intermediate calculations'!AA22))+Relationships!$AJ$47)</f>
        <v>21751334.952942625</v>
      </c>
      <c r="AG11" s="24">
        <f>((Relationships!$AI$47*LN('Intermediate calculations'!AB22))+Relationships!$AJ$47)</f>
        <v>21682709.607224584</v>
      </c>
      <c r="AH11" s="24">
        <f>((Relationships!$AI$47*LN('Intermediate calculations'!AC22))+Relationships!$AJ$47)</f>
        <v>21610423.978160605</v>
      </c>
      <c r="AI11" s="24">
        <f>((Relationships!$AI$47*LN('Intermediate calculations'!AD22))+Relationships!$AJ$47)</f>
        <v>21538125.458417311</v>
      </c>
      <c r="AJ11" s="24">
        <f>((Relationships!$AI$47*LN('Intermediate calculations'!AE22))+Relationships!$AJ$47)</f>
        <v>21467235.372494191</v>
      </c>
      <c r="AK11" s="24">
        <f>((Relationships!$AI$47*LN('Intermediate calculations'!AF22))+Relationships!$AJ$47)</f>
        <v>21397685.388965756</v>
      </c>
      <c r="AL11" s="24">
        <f>((Relationships!$AI$47*LN('Intermediate calculations'!AG22))+Relationships!$AJ$47)</f>
        <v>21349749.957499683</v>
      </c>
      <c r="AM11" s="24">
        <f>((Relationships!$AI$47*LN('Intermediate calculations'!AH22))+Relationships!$AJ$47)</f>
        <v>21277822.613607503</v>
      </c>
      <c r="AN11" s="24">
        <f>((Relationships!$AI$47*LN('Intermediate calculations'!AI22))+Relationships!$AJ$47)</f>
        <v>21207092.420836829</v>
      </c>
      <c r="AO11" s="24">
        <f>((Relationships!$AI$47*LN('Intermediate calculations'!AJ22))+Relationships!$AJ$47)</f>
        <v>21137276.52362217</v>
      </c>
      <c r="AP11" s="24">
        <f>((Relationships!$AI$47*LN('Intermediate calculations'!AK22))+Relationships!$AJ$47)</f>
        <v>21068567.552506909</v>
      </c>
      <c r="AQ11" s="24">
        <f>((Relationships!$AI$47*LN('Intermediate calculations'!AL22))+Relationships!$AJ$47)</f>
        <v>21000567.961241446</v>
      </c>
      <c r="AR11" s="24">
        <f>((Relationships!$AI$47*LN('Intermediate calculations'!AM22))+Relationships!$AJ$47)</f>
        <v>20927406.745179571</v>
      </c>
      <c r="AS11" s="24">
        <f>((Relationships!$AI$47*LN('Intermediate calculations'!AN22))+Relationships!$AJ$47)</f>
        <v>20855322.503930852</v>
      </c>
      <c r="AT11" s="24">
        <f>((Relationships!$AI$47*LN('Intermediate calculations'!AO22))+Relationships!$AJ$47)</f>
        <v>20783979.658443406</v>
      </c>
      <c r="AU11" s="24">
        <f>((Relationships!$AI$47*LN('Intermediate calculations'!AP22))+Relationships!$AJ$47)</f>
        <v>20713426.221102342</v>
      </c>
      <c r="AV11" s="24">
        <f>((Relationships!$AI$47*LN('Intermediate calculations'!AQ22))+Relationships!$AJ$47)</f>
        <v>20643626.545227177</v>
      </c>
      <c r="AW11" s="24">
        <f>((Relationships!$AI$47*LN('Intermediate calculations'!AR22))+Relationships!$AJ$47)</f>
        <v>20575720.901448011</v>
      </c>
      <c r="AX11" s="24">
        <f t="shared" ref="AX11:BP11" si="4">AW11</f>
        <v>20575720.901448011</v>
      </c>
      <c r="AY11" s="24">
        <f t="shared" si="4"/>
        <v>20575720.901448011</v>
      </c>
      <c r="AZ11" s="24">
        <f t="shared" si="4"/>
        <v>20575720.901448011</v>
      </c>
      <c r="BA11" s="24">
        <f t="shared" si="4"/>
        <v>20575720.901448011</v>
      </c>
      <c r="BB11" s="24">
        <f t="shared" si="4"/>
        <v>20575720.901448011</v>
      </c>
      <c r="BC11" s="24">
        <f t="shared" si="4"/>
        <v>20575720.901448011</v>
      </c>
      <c r="BD11" s="24">
        <f t="shared" si="4"/>
        <v>20575720.901448011</v>
      </c>
      <c r="BE11" s="24">
        <f t="shared" si="4"/>
        <v>20575720.901448011</v>
      </c>
      <c r="BF11" s="24">
        <f t="shared" si="4"/>
        <v>20575720.901448011</v>
      </c>
      <c r="BG11" s="24">
        <f t="shared" si="4"/>
        <v>20575720.901448011</v>
      </c>
      <c r="BH11" s="24">
        <f t="shared" si="4"/>
        <v>20575720.901448011</v>
      </c>
      <c r="BI11" s="24">
        <f t="shared" si="4"/>
        <v>20575720.901448011</v>
      </c>
      <c r="BJ11" s="24">
        <f t="shared" si="4"/>
        <v>20575720.901448011</v>
      </c>
      <c r="BK11" s="24">
        <f t="shared" si="4"/>
        <v>20575720.901448011</v>
      </c>
      <c r="BL11" s="24">
        <f t="shared" si="4"/>
        <v>20575720.901448011</v>
      </c>
      <c r="BM11" s="24">
        <f t="shared" si="4"/>
        <v>20575720.901448011</v>
      </c>
      <c r="BN11" s="24">
        <f t="shared" si="4"/>
        <v>20575720.901448011</v>
      </c>
      <c r="BO11" s="24">
        <f t="shared" si="4"/>
        <v>20575720.901448011</v>
      </c>
      <c r="BP11" s="24">
        <f t="shared" si="4"/>
        <v>20575720.901448011</v>
      </c>
    </row>
    <row r="12" spans="1:72" s="23" customFormat="1" x14ac:dyDescent="0.25">
      <c r="A12" s="23" t="str">
        <f t="shared" si="1"/>
        <v>3A Livestock</v>
      </c>
      <c r="C12" s="23" t="str">
        <f>'IPCC Categories'!$C$7</f>
        <v>3A1c Sheep</v>
      </c>
      <c r="D12" t="str">
        <f>'IPCC Categories'!$F$37</f>
        <v>Subsistence</v>
      </c>
      <c r="E12" s="23" t="str">
        <f t="shared" si="2"/>
        <v>Population</v>
      </c>
      <c r="F12" s="23" t="str">
        <f t="shared" si="3"/>
        <v>Head</v>
      </c>
      <c r="H12" s="43">
        <v>4183862.7657327019</v>
      </c>
      <c r="I12" s="43">
        <v>3995736.1768468926</v>
      </c>
      <c r="J12" s="43">
        <v>3830636.9523276691</v>
      </c>
      <c r="K12" s="43">
        <v>3582499.6563046952</v>
      </c>
      <c r="L12" s="43">
        <v>3607759.9772159201</v>
      </c>
      <c r="M12" s="43">
        <v>3556122.8571211509</v>
      </c>
      <c r="N12" s="43">
        <v>3567985.4387645437</v>
      </c>
      <c r="O12" s="43">
        <v>3490390.1988383494</v>
      </c>
      <c r="P12" s="43">
        <v>3500019.8239371148</v>
      </c>
      <c r="Q12" s="43">
        <v>3414050.996968525</v>
      </c>
      <c r="R12" s="43">
        <v>3291657.0663655167</v>
      </c>
      <c r="S12" s="43">
        <v>3209595.9133500443</v>
      </c>
      <c r="T12" s="43">
        <v>3156004.9562787157</v>
      </c>
      <c r="U12" s="43">
        <v>3167030.1792178694</v>
      </c>
      <c r="V12" s="43">
        <v>3110648.0264657419</v>
      </c>
      <c r="W12" s="43">
        <v>3103251.3579116268</v>
      </c>
      <c r="X12" s="43">
        <v>3062639.4607560104</v>
      </c>
      <c r="Y12" s="43">
        <v>3059708.705291172</v>
      </c>
      <c r="Z12" s="43">
        <v>3069617.4499580064</v>
      </c>
      <c r="AA12" s="43">
        <v>3058731.7868028926</v>
      </c>
      <c r="AB12" s="43">
        <v>2999558.4383699675</v>
      </c>
      <c r="AC12" s="43">
        <v>2976112.3946512612</v>
      </c>
      <c r="AD12" s="24">
        <f>AD11*Constants!$H$19</f>
        <v>3065172.7096726405</v>
      </c>
      <c r="AE12" s="24">
        <f>AE11*Constants!$H$19</f>
        <v>3055053.2097803438</v>
      </c>
      <c r="AF12" s="24">
        <f>AF11*Constants!$H$19</f>
        <v>3045186.8934119679</v>
      </c>
      <c r="AG12" s="24">
        <f>AG11*Constants!$H$19</f>
        <v>3035579.345011442</v>
      </c>
      <c r="AH12" s="24">
        <f>AH11*Constants!$H$19</f>
        <v>3025459.3569424851</v>
      </c>
      <c r="AI12" s="24">
        <f>AI11*Constants!$H$19</f>
        <v>3015337.564178424</v>
      </c>
      <c r="AJ12" s="24">
        <f>AJ11*Constants!$H$19</f>
        <v>3005412.9521491872</v>
      </c>
      <c r="AK12" s="24">
        <f>AK11*Constants!$H$19</f>
        <v>2995675.9544552062</v>
      </c>
      <c r="AL12" s="24">
        <f>AL11*Constants!$H$19</f>
        <v>2988964.9940499561</v>
      </c>
      <c r="AM12" s="24">
        <f>AM11*Constants!$H$19</f>
        <v>2978895.1659050509</v>
      </c>
      <c r="AN12" s="24">
        <f>AN11*Constants!$H$19</f>
        <v>2968992.9389171563</v>
      </c>
      <c r="AO12" s="24">
        <f>AO11*Constants!$H$19</f>
        <v>2959218.7133071041</v>
      </c>
      <c r="AP12" s="24">
        <f>AP11*Constants!$H$19</f>
        <v>2949599.4573509675</v>
      </c>
      <c r="AQ12" s="24">
        <f>AQ11*Constants!$H$19</f>
        <v>2940079.5145738027</v>
      </c>
      <c r="AR12" s="24">
        <f>AR11*Constants!$H$19</f>
        <v>2929836.9443251402</v>
      </c>
      <c r="AS12" s="24">
        <f>AS11*Constants!$H$19</f>
        <v>2919745.1505503193</v>
      </c>
      <c r="AT12" s="24">
        <f>AT11*Constants!$H$19</f>
        <v>2909757.1521820771</v>
      </c>
      <c r="AU12" s="24">
        <f>AU11*Constants!$H$19</f>
        <v>2899879.670954328</v>
      </c>
      <c r="AV12" s="24">
        <f>AV11*Constants!$H$19</f>
        <v>2890107.7163318051</v>
      </c>
      <c r="AW12" s="24">
        <f>AW11*Constants!$H$19</f>
        <v>2880600.9262027219</v>
      </c>
      <c r="AX12" s="24">
        <f>AX11*Constants!$H$19</f>
        <v>2880600.9262027219</v>
      </c>
      <c r="AY12" s="24">
        <f>AY11*Constants!$H$19</f>
        <v>2880600.9262027219</v>
      </c>
      <c r="AZ12" s="24">
        <f>AZ11*Constants!$H$19</f>
        <v>2880600.9262027219</v>
      </c>
      <c r="BA12" s="24">
        <f>BA11*Constants!$H$19</f>
        <v>2880600.9262027219</v>
      </c>
      <c r="BB12" s="24">
        <f>BB11*Constants!$H$19</f>
        <v>2880600.9262027219</v>
      </c>
      <c r="BC12" s="24">
        <f>BC11*Constants!$H$19</f>
        <v>2880600.9262027219</v>
      </c>
      <c r="BD12" s="24">
        <f>BD11*Constants!$H$19</f>
        <v>2880600.9262027219</v>
      </c>
      <c r="BE12" s="24">
        <f>BE11*Constants!$H$19</f>
        <v>2880600.9262027219</v>
      </c>
      <c r="BF12" s="24">
        <f>BF11*Constants!$H$19</f>
        <v>2880600.9262027219</v>
      </c>
      <c r="BG12" s="24">
        <f>BG11*Constants!$H$19</f>
        <v>2880600.9262027219</v>
      </c>
      <c r="BH12" s="24">
        <f>BH11*Constants!$H$19</f>
        <v>2880600.9262027219</v>
      </c>
      <c r="BI12" s="24">
        <f>BI11*Constants!$H$19</f>
        <v>2880600.9262027219</v>
      </c>
      <c r="BJ12" s="24">
        <f>BJ11*Constants!$H$19</f>
        <v>2880600.9262027219</v>
      </c>
      <c r="BK12" s="24">
        <f>BK11*Constants!$H$19</f>
        <v>2880600.9262027219</v>
      </c>
      <c r="BL12" s="24">
        <f>BL11*Constants!$H$19</f>
        <v>2880600.9262027219</v>
      </c>
      <c r="BM12" s="24">
        <f>BM11*Constants!$H$19</f>
        <v>2880600.9262027219</v>
      </c>
      <c r="BN12" s="24">
        <f>BN11*Constants!$H$19</f>
        <v>2880600.9262027219</v>
      </c>
      <c r="BO12" s="24">
        <f>BO11*Constants!$H$19</f>
        <v>2880600.9262027219</v>
      </c>
      <c r="BP12" s="24">
        <f>BP11*Constants!$H$19</f>
        <v>2880600.9262027219</v>
      </c>
    </row>
    <row r="13" spans="1:72" s="23" customFormat="1" x14ac:dyDescent="0.25">
      <c r="A13" s="23" t="str">
        <f t="shared" si="1"/>
        <v>3A Livestock</v>
      </c>
      <c r="C13" s="23" t="str">
        <f>'IPCC Categories'!$C$8</f>
        <v>3A1d Goats</v>
      </c>
      <c r="D13" t="str">
        <f>'IPCC Categories'!F36</f>
        <v>Commercial</v>
      </c>
      <c r="E13" s="23" t="str">
        <f t="shared" si="2"/>
        <v>Population</v>
      </c>
      <c r="F13" s="23" t="str">
        <f t="shared" si="3"/>
        <v>Head</v>
      </c>
      <c r="H13" s="43">
        <v>2774000.0000000005</v>
      </c>
      <c r="I13" s="43">
        <v>2453000.0000000009</v>
      </c>
      <c r="J13" s="43">
        <v>2284999.9999999995</v>
      </c>
      <c r="K13" s="43">
        <v>2158999.9999999995</v>
      </c>
      <c r="L13" s="43">
        <v>2336999.9999999995</v>
      </c>
      <c r="M13" s="43">
        <v>2369000</v>
      </c>
      <c r="N13" s="43">
        <v>2405999.9999999995</v>
      </c>
      <c r="O13" s="43">
        <v>2394000</v>
      </c>
      <c r="P13" s="43">
        <v>2360000</v>
      </c>
      <c r="Q13" s="43">
        <v>2325000.0000000005</v>
      </c>
      <c r="R13" s="43">
        <v>2355000</v>
      </c>
      <c r="S13" s="43">
        <v>2427000.0000000005</v>
      </c>
      <c r="T13" s="43">
        <v>2216000.0000000005</v>
      </c>
      <c r="U13" s="43">
        <v>2160000</v>
      </c>
      <c r="V13" s="43">
        <v>2164000.0000000005</v>
      </c>
      <c r="W13" s="43">
        <v>2136000</v>
      </c>
      <c r="X13" s="43">
        <v>2181000</v>
      </c>
      <c r="Y13" s="43">
        <v>2116000</v>
      </c>
      <c r="Z13" s="43">
        <v>2114000.0000000005</v>
      </c>
      <c r="AA13" s="43">
        <v>2077000</v>
      </c>
      <c r="AB13" s="43">
        <v>2052000.0000000002</v>
      </c>
      <c r="AC13" s="43">
        <v>2033000.0000000002</v>
      </c>
      <c r="AD13" s="24">
        <f>((Relationships!$AI$49*'Intermediate calculations'!Y18)+Relationships!$AJ$49)</f>
        <v>2055604.3128015574</v>
      </c>
      <c r="AE13" s="24">
        <f>((Relationships!$AI$49*'Intermediate calculations'!Z18)+Relationships!$AJ$49)</f>
        <v>2048193.276218967</v>
      </c>
      <c r="AF13" s="24">
        <f>((Relationships!$AI$49*'Intermediate calculations'!AA18)+Relationships!$AJ$49)</f>
        <v>2040866.6673154621</v>
      </c>
      <c r="AG13" s="24">
        <f>((Relationships!$AI$49*'Intermediate calculations'!AB18)+Relationships!$AJ$49)</f>
        <v>2033635.0705594835</v>
      </c>
      <c r="AH13" s="24">
        <f>((Relationships!$AI$49*'Intermediate calculations'!AC18)+Relationships!$AJ$49)</f>
        <v>2025912.6702301556</v>
      </c>
      <c r="AI13" s="24">
        <f>((Relationships!$AI$49*'Intermediate calculations'!AD18)+Relationships!$AJ$49)</f>
        <v>2018079.542629831</v>
      </c>
      <c r="AJ13" s="24">
        <f>((Relationships!$AI$49*'Intermediate calculations'!AE18)+Relationships!$AJ$49)</f>
        <v>2010291.3321973956</v>
      </c>
      <c r="AK13" s="24">
        <f>((Relationships!$AI$49*'Intermediate calculations'!AF18)+Relationships!$AJ$49)</f>
        <v>2002545.2958579566</v>
      </c>
      <c r="AL13" s="24">
        <f>((Relationships!$AI$49*'Intermediate calculations'!AG18)+Relationships!$AJ$49)</f>
        <v>1997145.23650131</v>
      </c>
      <c r="AM13" s="24">
        <f>((Relationships!$AI$49*'Intermediate calculations'!AH18)+Relationships!$AJ$49)</f>
        <v>1988947.3971016784</v>
      </c>
      <c r="AN13" s="24">
        <f>((Relationships!$AI$49*'Intermediate calculations'!AI18)+Relationships!$AJ$49)</f>
        <v>1980773.4052788399</v>
      </c>
      <c r="AO13" s="24">
        <f>((Relationships!$AI$49*'Intermediate calculations'!AJ18)+Relationships!$AJ$49)</f>
        <v>1972594.0603590165</v>
      </c>
      <c r="AP13" s="24">
        <f>((Relationships!$AI$49*'Intermediate calculations'!AK18)+Relationships!$AJ$49)</f>
        <v>1964435.2447575068</v>
      </c>
      <c r="AQ13" s="24">
        <f>((Relationships!$AI$49*'Intermediate calculations'!AL18)+Relationships!$AJ$49)</f>
        <v>1956252.6171207062</v>
      </c>
      <c r="AR13" s="24">
        <f>((Relationships!$AI$49*'Intermediate calculations'!AM18)+Relationships!$AJ$49)</f>
        <v>1947327.1945216865</v>
      </c>
      <c r="AS13" s="24">
        <f>((Relationships!$AI$49*'Intermediate calculations'!AN18)+Relationships!$AJ$49)</f>
        <v>1938408.0855515245</v>
      </c>
      <c r="AT13" s="24">
        <f>((Relationships!$AI$49*'Intermediate calculations'!AO18)+Relationships!$AJ$49)</f>
        <v>1929456.7449957049</v>
      </c>
      <c r="AU13" s="24">
        <f>((Relationships!$AI$49*'Intermediate calculations'!AP18)+Relationships!$AJ$49)</f>
        <v>1920481.47133927</v>
      </c>
      <c r="AV13" s="24">
        <f>((Relationships!$AI$49*'Intermediate calculations'!AQ18)+Relationships!$AJ$49)</f>
        <v>1911480.0801468315</v>
      </c>
      <c r="AW13" s="24">
        <f>'Intermediate calculations'!AR20*'Intermediate calculations'!AR18</f>
        <v>1912424.8907658495</v>
      </c>
      <c r="AX13" s="24">
        <f>'Intermediate calculations'!AS20*'Intermediate calculations'!AS18</f>
        <v>1912943.2246680963</v>
      </c>
      <c r="AY13" s="24">
        <f>'Intermediate calculations'!AT20*'Intermediate calculations'!AT18</f>
        <v>1913321.6886501615</v>
      </c>
      <c r="AZ13" s="24">
        <f>'Intermediate calculations'!AU20*'Intermediate calculations'!AU18</f>
        <v>1913496.0592651891</v>
      </c>
      <c r="BA13" s="24">
        <f>'Intermediate calculations'!AV20*'Intermediate calculations'!AV18</f>
        <v>1913469.7741645414</v>
      </c>
      <c r="BB13" s="24">
        <f>'Intermediate calculations'!AW20*'Intermediate calculations'!AW18</f>
        <v>1913780.4753680443</v>
      </c>
      <c r="BC13" s="24">
        <f>'Intermediate calculations'!AX20*'Intermediate calculations'!AX18</f>
        <v>1913828.3137459566</v>
      </c>
      <c r="BD13" s="24">
        <f>'Intermediate calculations'!AY20*'Intermediate calculations'!AY18</f>
        <v>1913550.7053261958</v>
      </c>
      <c r="BE13" s="24">
        <f>'Intermediate calculations'!AZ20*'Intermediate calculations'!AZ18</f>
        <v>1913006.6840570343</v>
      </c>
      <c r="BF13" s="24">
        <f>'Intermediate calculations'!BA20*'Intermediate calculations'!BA18</f>
        <v>1912246.0823103182</v>
      </c>
      <c r="BG13" s="24">
        <f>'Intermediate calculations'!BB20*'Intermediate calculations'!BB18</f>
        <v>1918273.2402474268</v>
      </c>
      <c r="BH13" s="24">
        <f>'Intermediate calculations'!BC20*'Intermediate calculations'!BC18</f>
        <v>1924101.6065742569</v>
      </c>
      <c r="BI13" s="24">
        <f>'Intermediate calculations'!BD20*'Intermediate calculations'!BD18</f>
        <v>1929722.3588606769</v>
      </c>
      <c r="BJ13" s="24">
        <f>'Intermediate calculations'!BE20*'Intermediate calculations'!BE18</f>
        <v>1935148.4750667021</v>
      </c>
      <c r="BK13" s="24">
        <f>'Intermediate calculations'!BF20*'Intermediate calculations'!BF18</f>
        <v>1940437.6932251512</v>
      </c>
      <c r="BL13" s="24">
        <f>'Intermediate calculations'!BG20*'Intermediate calculations'!BG18</f>
        <v>1944954.8278947866</v>
      </c>
      <c r="BM13" s="24">
        <f>'Intermediate calculations'!BH20*'Intermediate calculations'!BH18</f>
        <v>1949312.5179302583</v>
      </c>
      <c r="BN13" s="24">
        <f>'Intermediate calculations'!BI20*'Intermediate calculations'!BI18</f>
        <v>1953394.8625985482</v>
      </c>
      <c r="BO13" s="24">
        <f>'Intermediate calculations'!BJ20*'Intermediate calculations'!BJ18</f>
        <v>1957325.8336381216</v>
      </c>
      <c r="BP13" s="24">
        <f>'Intermediate calculations'!BK20*'Intermediate calculations'!BK18</f>
        <v>1961114.926012889</v>
      </c>
    </row>
    <row r="14" spans="1:72" s="23" customFormat="1" x14ac:dyDescent="0.25">
      <c r="A14" s="23" t="str">
        <f t="shared" si="1"/>
        <v>3A Livestock</v>
      </c>
      <c r="C14" s="23" t="str">
        <f>C13</f>
        <v>3A1d Goats</v>
      </c>
      <c r="D14" t="str">
        <f>$D$12</f>
        <v>Subsistence</v>
      </c>
      <c r="E14" s="23" t="str">
        <f t="shared" si="2"/>
        <v>Population</v>
      </c>
      <c r="F14" s="23" t="str">
        <f t="shared" si="3"/>
        <v>Head</v>
      </c>
      <c r="H14" s="43">
        <v>5479284.9120494025</v>
      </c>
      <c r="I14" s="43">
        <v>4845236.4416932901</v>
      </c>
      <c r="J14" s="43">
        <v>4513397.9899181286</v>
      </c>
      <c r="K14" s="43">
        <v>4264519.151086757</v>
      </c>
      <c r="L14" s="43">
        <v>4616109.8916580593</v>
      </c>
      <c r="M14" s="43">
        <v>4679317.2158057094</v>
      </c>
      <c r="N14" s="43">
        <v>4752400.6843514293</v>
      </c>
      <c r="O14" s="43">
        <v>4728697.9377960609</v>
      </c>
      <c r="P14" s="43">
        <v>4661540.1558891824</v>
      </c>
      <c r="Q14" s="43">
        <v>4592407.1451026909</v>
      </c>
      <c r="R14" s="43">
        <v>4651664.0114911124</v>
      </c>
      <c r="S14" s="43">
        <v>4793880.4908233248</v>
      </c>
      <c r="T14" s="43">
        <v>4377107.1972247576</v>
      </c>
      <c r="U14" s="43">
        <v>4266494.3799663708</v>
      </c>
      <c r="V14" s="43">
        <v>4274395.2954848269</v>
      </c>
      <c r="W14" s="43">
        <v>4219088.886855633</v>
      </c>
      <c r="X14" s="43">
        <v>4307974.1864382662</v>
      </c>
      <c r="Y14" s="43">
        <v>4179584.3092633518</v>
      </c>
      <c r="Z14" s="43">
        <v>4175633.8515041238</v>
      </c>
      <c r="AA14" s="43">
        <v>4102550.3829584038</v>
      </c>
      <c r="AB14" s="43">
        <v>4053169.6609680522</v>
      </c>
      <c r="AC14" s="43">
        <v>4015640.3122553849</v>
      </c>
      <c r="AD14" s="24">
        <f>AD13*Constants!$H$20</f>
        <v>4059818.517783076</v>
      </c>
      <c r="AE14" s="24">
        <f>AE13*Constants!$H$20</f>
        <v>4045181.7205324601</v>
      </c>
      <c r="AF14" s="24">
        <f>AF13*Constants!$H$20</f>
        <v>4030711.6679480379</v>
      </c>
      <c r="AG14" s="24">
        <f>AG13*Constants!$H$20</f>
        <v>4016429.2643549801</v>
      </c>
      <c r="AH14" s="24">
        <f>AH13*Constants!$H$20</f>
        <v>4001177.5237045572</v>
      </c>
      <c r="AI14" s="24">
        <f>AI13*Constants!$H$20</f>
        <v>3985707.0966939162</v>
      </c>
      <c r="AJ14" s="24">
        <f>AJ13*Constants!$H$20</f>
        <v>3970325.3810898564</v>
      </c>
      <c r="AK14" s="24">
        <f>AK13*Constants!$H$20</f>
        <v>3955026.9593194644</v>
      </c>
      <c r="AL14" s="24">
        <f>AL13*Constants!$H$20</f>
        <v>3944361.8420900875</v>
      </c>
      <c r="AM14" s="24">
        <f>AM13*Constants!$H$20</f>
        <v>3928171.1092758151</v>
      </c>
      <c r="AN14" s="24">
        <f>AN13*Constants!$H$20</f>
        <v>3912027.475425709</v>
      </c>
      <c r="AO14" s="24">
        <f>AO13*Constants!$H$20</f>
        <v>3895873.269209058</v>
      </c>
      <c r="AP14" s="24">
        <f>AP13*Constants!$H$20</f>
        <v>3879759.6083960761</v>
      </c>
      <c r="AQ14" s="24">
        <f>AQ13*Constants!$H$20</f>
        <v>3863598.9188133948</v>
      </c>
      <c r="AR14" s="24">
        <f>AR13*Constants!$H$20</f>
        <v>3845971.2091803309</v>
      </c>
      <c r="AS14" s="24">
        <f>AS13*Constants!$H$20</f>
        <v>3828355.968964261</v>
      </c>
      <c r="AT14" s="24">
        <f>AT13*Constants!$H$20</f>
        <v>3810677.0713665173</v>
      </c>
      <c r="AU14" s="24">
        <f>AU13*Constants!$H$20</f>
        <v>3792950.9058950585</v>
      </c>
      <c r="AV14" s="24">
        <f>AU14</f>
        <v>3792950.9058950585</v>
      </c>
      <c r="AW14" s="24">
        <f t="shared" ref="AW14:BP14" si="5">AV14</f>
        <v>3792950.9058950585</v>
      </c>
      <c r="AX14" s="24">
        <f t="shared" si="5"/>
        <v>3792950.9058950585</v>
      </c>
      <c r="AY14" s="24">
        <f t="shared" si="5"/>
        <v>3792950.9058950585</v>
      </c>
      <c r="AZ14" s="24">
        <f t="shared" si="5"/>
        <v>3792950.9058950585</v>
      </c>
      <c r="BA14" s="24">
        <f t="shared" si="5"/>
        <v>3792950.9058950585</v>
      </c>
      <c r="BB14" s="24">
        <f t="shared" si="5"/>
        <v>3792950.9058950585</v>
      </c>
      <c r="BC14" s="24">
        <f t="shared" si="5"/>
        <v>3792950.9058950585</v>
      </c>
      <c r="BD14" s="24">
        <f t="shared" si="5"/>
        <v>3792950.9058950585</v>
      </c>
      <c r="BE14" s="24">
        <f t="shared" si="5"/>
        <v>3792950.9058950585</v>
      </c>
      <c r="BF14" s="24">
        <f t="shared" si="5"/>
        <v>3792950.9058950585</v>
      </c>
      <c r="BG14" s="24">
        <f t="shared" si="5"/>
        <v>3792950.9058950585</v>
      </c>
      <c r="BH14" s="24">
        <f t="shared" si="5"/>
        <v>3792950.9058950585</v>
      </c>
      <c r="BI14" s="24">
        <f t="shared" si="5"/>
        <v>3792950.9058950585</v>
      </c>
      <c r="BJ14" s="24">
        <f t="shared" si="5"/>
        <v>3792950.9058950585</v>
      </c>
      <c r="BK14" s="24">
        <f t="shared" si="5"/>
        <v>3792950.9058950585</v>
      </c>
      <c r="BL14" s="24">
        <f t="shared" si="5"/>
        <v>3792950.9058950585</v>
      </c>
      <c r="BM14" s="24">
        <f t="shared" si="5"/>
        <v>3792950.9058950585</v>
      </c>
      <c r="BN14" s="24">
        <f t="shared" si="5"/>
        <v>3792950.9058950585</v>
      </c>
      <c r="BO14" s="24">
        <f t="shared" si="5"/>
        <v>3792950.9058950585</v>
      </c>
      <c r="BP14" s="24">
        <f t="shared" si="5"/>
        <v>3792950.9058950585</v>
      </c>
    </row>
    <row r="15" spans="1:72" s="23" customFormat="1" x14ac:dyDescent="0.25">
      <c r="A15" s="23" t="str">
        <f t="shared" si="1"/>
        <v>3A Livestock</v>
      </c>
      <c r="C15" s="23" t="str">
        <f>'IPCC Categories'!$C$9</f>
        <v>3A1f Horses</v>
      </c>
      <c r="D15" t="str">
        <f>'IPCC Categories'!$F$42</f>
        <v>Horses</v>
      </c>
      <c r="E15" s="23" t="str">
        <f t="shared" si="2"/>
        <v>Population</v>
      </c>
      <c r="F15" s="23" t="str">
        <f t="shared" si="3"/>
        <v>Head</v>
      </c>
      <c r="H15" s="43">
        <v>230000</v>
      </c>
      <c r="I15" s="43">
        <v>230000</v>
      </c>
      <c r="J15" s="43">
        <v>230000</v>
      </c>
      <c r="K15" s="43">
        <v>235000</v>
      </c>
      <c r="L15" s="43">
        <v>240000</v>
      </c>
      <c r="M15" s="43">
        <v>245000</v>
      </c>
      <c r="N15" s="43">
        <v>250000</v>
      </c>
      <c r="O15" s="43">
        <v>255000</v>
      </c>
      <c r="P15" s="43">
        <v>260000</v>
      </c>
      <c r="Q15" s="43">
        <v>258000</v>
      </c>
      <c r="R15" s="43">
        <v>270000</v>
      </c>
      <c r="S15" s="43">
        <v>270000</v>
      </c>
      <c r="T15" s="43">
        <v>270000</v>
      </c>
      <c r="U15" s="43">
        <v>270000</v>
      </c>
      <c r="V15" s="43">
        <v>270000</v>
      </c>
      <c r="W15" s="43">
        <v>270000</v>
      </c>
      <c r="X15" s="43">
        <v>280000</v>
      </c>
      <c r="Y15" s="43">
        <v>290000</v>
      </c>
      <c r="Z15" s="43">
        <v>298000</v>
      </c>
      <c r="AA15" s="43">
        <v>300000</v>
      </c>
      <c r="AB15" s="43">
        <v>300000</v>
      </c>
      <c r="AC15" s="43">
        <v>305000</v>
      </c>
      <c r="AD15" s="24">
        <f>((Relationships!$AI$51*(Drivers!Z5/Drivers!Z4))+Relationships!$AJ$51)</f>
        <v>306191.18811847881</v>
      </c>
      <c r="AE15" s="24">
        <f>((Relationships!$AI$51*(Drivers!AA5/Drivers!AA4))+Relationships!$AJ$51)</f>
        <v>309455.80059204227</v>
      </c>
      <c r="AF15" s="24">
        <f>((Relationships!$AI$51*(Drivers!AB5/Drivers!AB4))+Relationships!$AJ$51)</f>
        <v>311505.14043037425</v>
      </c>
      <c r="AG15" s="24">
        <f>((Relationships!$AI$51*(Drivers!AC5/Drivers!AC4))+Relationships!$AJ$51)</f>
        <v>312284.77577837184</v>
      </c>
      <c r="AH15" s="24">
        <f>((Relationships!$AI$51*(Drivers!AD5/Drivers!AD4))+Relationships!$AJ$51)</f>
        <v>311897.63140386116</v>
      </c>
      <c r="AI15" s="24">
        <f>((Relationships!$AI$51*(Drivers!AE5/Drivers!AE4))+Relationships!$AJ$51)</f>
        <v>312359.05906355992</v>
      </c>
      <c r="AJ15" s="24">
        <f>((Relationships!$AI$51*(Drivers!AF5/Drivers!AF4))+Relationships!$AJ$51)</f>
        <v>312473.73792194901</v>
      </c>
      <c r="AK15" s="24">
        <f>((Relationships!$AI$51*(Drivers!AG5/Drivers!AG4))+Relationships!$AJ$51)</f>
        <v>312271.93033221294</v>
      </c>
      <c r="AL15" s="24">
        <f>((Relationships!$AI$51*(Drivers!AH5/Drivers!AH4))+Relationships!$AJ$51)</f>
        <v>294752.91685803444</v>
      </c>
      <c r="AM15" s="24">
        <f>((Relationships!$AI$51*(Drivers!AI5/Drivers!AI4))+Relationships!$AJ$51)</f>
        <v>297252.07158443914</v>
      </c>
      <c r="AN15" s="24">
        <f>((Relationships!$AI$51*(Drivers!AJ5/Drivers!AJ4))+Relationships!$AJ$51)</f>
        <v>299531.93959885079</v>
      </c>
      <c r="AO15" s="24">
        <f>((Relationships!$AI$51*(Drivers!AK5/Drivers!AK4))+Relationships!$AJ$51)</f>
        <v>301808.21832016995</v>
      </c>
      <c r="AP15" s="24">
        <f>((Relationships!$AI$51*(Drivers!AL5/Drivers!AL4))+Relationships!$AJ$51)</f>
        <v>303896.88907510455</v>
      </c>
      <c r="AQ15" s="24">
        <f>((Relationships!$AI$51*(Drivers!AM5/Drivers!AM4))+Relationships!$AJ$51)</f>
        <v>306115.61585013871</v>
      </c>
      <c r="AR15" s="24">
        <f>((Relationships!$AI$51*(Drivers!AN5/Drivers!AN4))+Relationships!$AJ$51)</f>
        <v>308896.29656075616</v>
      </c>
      <c r="AS15" s="24">
        <f>((Relationships!$AI$51*(Drivers!AO5/Drivers!AO4))+Relationships!$AJ$51)</f>
        <v>311579.85582885169</v>
      </c>
      <c r="AT15" s="24">
        <f>((Relationships!$AI$51*(Drivers!AP5/Drivers!AP4))+Relationships!$AJ$51)</f>
        <v>314433.01953944133</v>
      </c>
      <c r="AU15" s="24">
        <f>((Relationships!$AI$51*(Drivers!AQ5/Drivers!AQ4))+Relationships!$AJ$51)</f>
        <v>317394.69730999251</v>
      </c>
      <c r="AV15" s="24">
        <f>((Relationships!$AI$51*(Drivers!AR5/Drivers!AR4))+Relationships!$AJ$51)</f>
        <v>320476.52595109364</v>
      </c>
      <c r="AW15" s="24">
        <f>((Relationships!$AI$51*(Drivers!AS5/Drivers!AS4))+Relationships!$AJ$51)</f>
        <v>324594.14645770477</v>
      </c>
      <c r="AX15" s="24">
        <f>((Relationships!$AI$51*(Drivers!AT5/Drivers!AT4))+Relationships!$AJ$51)</f>
        <v>328355.32066233177</v>
      </c>
      <c r="AY15" s="24">
        <f>((Relationships!$AI$51*(Drivers!AU5/Drivers!AU4))+Relationships!$AJ$51)</f>
        <v>332684.00362665253</v>
      </c>
      <c r="AZ15" s="24">
        <f>((Relationships!$AI$51*(Drivers!AV5/Drivers!AV4))+Relationships!$AJ$51)</f>
        <v>337376.35507619038</v>
      </c>
      <c r="BA15" s="24">
        <f>((Relationships!$AI$51*(Drivers!AW5/Drivers!AW4))+Relationships!$AJ$51)</f>
        <v>342446.51166985318</v>
      </c>
      <c r="BB15" s="24">
        <f>((Relationships!$AI$51*(Drivers!AX5/Drivers!AX4))+Relationships!$AJ$51)</f>
        <v>347554.31153425178</v>
      </c>
      <c r="BC15" s="24">
        <f>((Relationships!$AI$51*(Drivers!AY5/Drivers!AY4))+Relationships!$AJ$51)</f>
        <v>352882.07483241637</v>
      </c>
      <c r="BD15" s="24">
        <f>((Relationships!$AI$51*(Drivers!AZ5/Drivers!AZ4))+Relationships!$AJ$51)</f>
        <v>358230.86400850012</v>
      </c>
      <c r="BE15" s="24">
        <f>((Relationships!$AI$51*(Drivers!BA5/Drivers!BA4))+Relationships!$AJ$51)</f>
        <v>363794.50039648847</v>
      </c>
      <c r="BF15" s="24">
        <f>((Relationships!$AI$51*(Drivers!BB5/Drivers!BB4))+Relationships!$AJ$51)</f>
        <v>369738.07226133271</v>
      </c>
      <c r="BG15" s="24">
        <f>((Relationships!$AI$51*(Drivers!BC5/Drivers!BC4))+Relationships!$AJ$51)</f>
        <v>375581.02394524898</v>
      </c>
      <c r="BH15" s="24">
        <f>((Relationships!$AI$51*(Drivers!BD5/Drivers!BD4))+Relationships!$AJ$51)</f>
        <v>381669.59992898407</v>
      </c>
      <c r="BI15" s="24">
        <f>((Relationships!$AI$51*(Drivers!BE5/Drivers!BE4))+Relationships!$AJ$51)</f>
        <v>387976.56407398952</v>
      </c>
      <c r="BJ15" s="24">
        <f>((Relationships!$AI$51*(Drivers!BF5/Drivers!BF4))+Relationships!$AJ$51)</f>
        <v>394545.16077153804</v>
      </c>
      <c r="BK15" s="24">
        <f>((Relationships!$AI$51*(Drivers!BG5/Drivers!BG4))+Relationships!$AJ$51)</f>
        <v>401562.18689621944</v>
      </c>
      <c r="BL15" s="24">
        <f>((Relationships!$AI$51*(Drivers!BH5/Drivers!BH4))+Relationships!$AJ$51)</f>
        <v>409031.37003715162</v>
      </c>
      <c r="BM15" s="24">
        <f>((Relationships!$AI$51*(Drivers!BI5/Drivers!BI4))+Relationships!$AJ$51)</f>
        <v>416852.02888590423</v>
      </c>
      <c r="BN15" s="24">
        <f>((Relationships!$AI$51*(Drivers!BJ5/Drivers!BJ4))+Relationships!$AJ$51)</f>
        <v>424655.58898364205</v>
      </c>
      <c r="BO15" s="24">
        <f>((Relationships!$AI$51*(Drivers!BK5/Drivers!BK4))+Relationships!$AJ$51)</f>
        <v>432841.77003392472</v>
      </c>
      <c r="BP15" s="24">
        <f>((Relationships!$AI$51*(Drivers!BL5/Drivers!BL4))+Relationships!$AJ$51)</f>
        <v>441443.55924459588</v>
      </c>
    </row>
    <row r="16" spans="1:72" s="23" customFormat="1" x14ac:dyDescent="0.25">
      <c r="A16" s="23" t="str">
        <f t="shared" si="1"/>
        <v>3A Livestock</v>
      </c>
      <c r="C16" s="23" t="str">
        <f>'IPCC Categories'!$C$10</f>
        <v>3A1g Mules &amp; asses</v>
      </c>
      <c r="D16" t="str">
        <f>'IPCC Categories'!$F$43</f>
        <v>Mules &amp; Asses</v>
      </c>
      <c r="E16" s="23" t="str">
        <f t="shared" si="2"/>
        <v>Population</v>
      </c>
      <c r="F16" s="23" t="str">
        <f t="shared" si="3"/>
        <v>Head</v>
      </c>
      <c r="H16" s="43">
        <v>224000</v>
      </c>
      <c r="I16" s="43">
        <v>224000</v>
      </c>
      <c r="J16" s="43">
        <v>224000</v>
      </c>
      <c r="K16" s="43">
        <v>224000</v>
      </c>
      <c r="L16" s="43">
        <v>224000</v>
      </c>
      <c r="M16" s="43">
        <v>224000</v>
      </c>
      <c r="N16" s="43">
        <v>224000</v>
      </c>
      <c r="O16" s="43">
        <v>224000</v>
      </c>
      <c r="P16" s="43">
        <v>224000</v>
      </c>
      <c r="Q16" s="43">
        <v>224000</v>
      </c>
      <c r="R16" s="43">
        <v>164000</v>
      </c>
      <c r="S16" s="43">
        <v>164000</v>
      </c>
      <c r="T16" s="43">
        <v>164000</v>
      </c>
      <c r="U16" s="43">
        <v>164000</v>
      </c>
      <c r="V16" s="43">
        <v>164000</v>
      </c>
      <c r="W16" s="43">
        <v>164000</v>
      </c>
      <c r="X16" s="43">
        <v>164050</v>
      </c>
      <c r="Y16" s="43">
        <v>164600</v>
      </c>
      <c r="Z16" s="43">
        <v>164700</v>
      </c>
      <c r="AA16" s="43">
        <v>164800</v>
      </c>
      <c r="AB16" s="43">
        <v>166300</v>
      </c>
      <c r="AC16" s="43">
        <v>167000</v>
      </c>
      <c r="AD16" s="24">
        <f t="shared" ref="AD16:AI16" si="6">AC16</f>
        <v>167000</v>
      </c>
      <c r="AE16" s="24">
        <f t="shared" si="6"/>
        <v>167000</v>
      </c>
      <c r="AF16" s="24">
        <f t="shared" si="6"/>
        <v>167000</v>
      </c>
      <c r="AG16" s="24">
        <f t="shared" si="6"/>
        <v>167000</v>
      </c>
      <c r="AH16" s="24">
        <f t="shared" si="6"/>
        <v>167000</v>
      </c>
      <c r="AI16" s="24">
        <f t="shared" si="6"/>
        <v>167000</v>
      </c>
      <c r="AJ16" s="24">
        <f>AI16</f>
        <v>167000</v>
      </c>
      <c r="AK16" s="24">
        <f t="shared" ref="AK16:BP16" si="7">AJ16</f>
        <v>167000</v>
      </c>
      <c r="AL16" s="24">
        <f t="shared" si="7"/>
        <v>167000</v>
      </c>
      <c r="AM16" s="24">
        <f t="shared" si="7"/>
        <v>167000</v>
      </c>
      <c r="AN16" s="24">
        <f t="shared" si="7"/>
        <v>167000</v>
      </c>
      <c r="AO16" s="24">
        <f t="shared" si="7"/>
        <v>167000</v>
      </c>
      <c r="AP16" s="24">
        <f t="shared" si="7"/>
        <v>167000</v>
      </c>
      <c r="AQ16" s="24">
        <f t="shared" si="7"/>
        <v>167000</v>
      </c>
      <c r="AR16" s="24">
        <f t="shared" si="7"/>
        <v>167000</v>
      </c>
      <c r="AS16" s="24">
        <f t="shared" si="7"/>
        <v>167000</v>
      </c>
      <c r="AT16" s="24">
        <f t="shared" si="7"/>
        <v>167000</v>
      </c>
      <c r="AU16" s="24">
        <f t="shared" si="7"/>
        <v>167000</v>
      </c>
      <c r="AV16" s="24">
        <f t="shared" si="7"/>
        <v>167000</v>
      </c>
      <c r="AW16" s="24">
        <f t="shared" si="7"/>
        <v>167000</v>
      </c>
      <c r="AX16" s="24">
        <f t="shared" si="7"/>
        <v>167000</v>
      </c>
      <c r="AY16" s="24">
        <f t="shared" si="7"/>
        <v>167000</v>
      </c>
      <c r="AZ16" s="24">
        <f t="shared" si="7"/>
        <v>167000</v>
      </c>
      <c r="BA16" s="24">
        <f t="shared" si="7"/>
        <v>167000</v>
      </c>
      <c r="BB16" s="24">
        <f t="shared" si="7"/>
        <v>167000</v>
      </c>
      <c r="BC16" s="24">
        <f t="shared" si="7"/>
        <v>167000</v>
      </c>
      <c r="BD16" s="24">
        <f t="shared" si="7"/>
        <v>167000</v>
      </c>
      <c r="BE16" s="24">
        <f t="shared" si="7"/>
        <v>167000</v>
      </c>
      <c r="BF16" s="24">
        <f t="shared" si="7"/>
        <v>167000</v>
      </c>
      <c r="BG16" s="24">
        <f t="shared" si="7"/>
        <v>167000</v>
      </c>
      <c r="BH16" s="24">
        <f t="shared" si="7"/>
        <v>167000</v>
      </c>
      <c r="BI16" s="24">
        <f t="shared" si="7"/>
        <v>167000</v>
      </c>
      <c r="BJ16" s="24">
        <f t="shared" si="7"/>
        <v>167000</v>
      </c>
      <c r="BK16" s="24">
        <f t="shared" si="7"/>
        <v>167000</v>
      </c>
      <c r="BL16" s="24">
        <f t="shared" si="7"/>
        <v>167000</v>
      </c>
      <c r="BM16" s="24">
        <f t="shared" si="7"/>
        <v>167000</v>
      </c>
      <c r="BN16" s="24">
        <f t="shared" si="7"/>
        <v>167000</v>
      </c>
      <c r="BO16" s="24">
        <f t="shared" si="7"/>
        <v>167000</v>
      </c>
      <c r="BP16" s="24">
        <f t="shared" si="7"/>
        <v>167000</v>
      </c>
    </row>
    <row r="17" spans="1:72" s="23" customFormat="1" x14ac:dyDescent="0.25">
      <c r="A17" s="23" t="str">
        <f t="shared" si="1"/>
        <v>3A Livestock</v>
      </c>
      <c r="C17" s="23" t="str">
        <f>'IPCC Categories'!$C$11</f>
        <v>3A1h Swine</v>
      </c>
      <c r="D17" t="str">
        <f>'IPCC Categories'!F36</f>
        <v>Commercial</v>
      </c>
      <c r="E17" s="23" t="str">
        <f t="shared" si="2"/>
        <v>Population</v>
      </c>
      <c r="F17" s="23" t="str">
        <f t="shared" si="3"/>
        <v>Head</v>
      </c>
      <c r="H17" s="43">
        <v>1524000</v>
      </c>
      <c r="I17" s="43">
        <v>1665000</v>
      </c>
      <c r="J17" s="43">
        <v>1654000</v>
      </c>
      <c r="K17" s="43">
        <v>1653000</v>
      </c>
      <c r="L17" s="43">
        <v>1570000</v>
      </c>
      <c r="M17" s="43">
        <v>1585000</v>
      </c>
      <c r="N17" s="43">
        <v>1707000</v>
      </c>
      <c r="O17" s="43">
        <v>1699000</v>
      </c>
      <c r="P17" s="43">
        <v>1736000</v>
      </c>
      <c r="Q17" s="43">
        <v>1780000</v>
      </c>
      <c r="R17" s="43">
        <v>1647000</v>
      </c>
      <c r="S17" s="43">
        <v>1678000</v>
      </c>
      <c r="T17" s="43">
        <v>1710000</v>
      </c>
      <c r="U17" s="43">
        <v>1663000</v>
      </c>
      <c r="V17" s="43">
        <v>1663000</v>
      </c>
      <c r="W17" s="43">
        <v>1651000</v>
      </c>
      <c r="X17" s="43">
        <v>1622000</v>
      </c>
      <c r="Y17" s="43">
        <v>1651000</v>
      </c>
      <c r="Z17" s="43">
        <v>1615000</v>
      </c>
      <c r="AA17" s="43">
        <v>1613000</v>
      </c>
      <c r="AB17" s="43">
        <v>1594000</v>
      </c>
      <c r="AC17" s="43">
        <v>1584000</v>
      </c>
      <c r="AD17" s="24">
        <f>((Relationships!$AI$55*LN('Intermediate calculations'!Y27))+Relationships!$AJ$55)</f>
        <v>1567525.7107569333</v>
      </c>
      <c r="AE17" s="24">
        <f>((Relationships!$AI$55*LN('Intermediate calculations'!Z27))+Relationships!$AJ$55)</f>
        <v>1561168.5634384467</v>
      </c>
      <c r="AF17" s="24">
        <f>((Relationships!$AI$55*LN('Intermediate calculations'!AA27))+Relationships!$AJ$55)</f>
        <v>1556609.918864219</v>
      </c>
      <c r="AG17" s="24">
        <f>((Relationships!$AI$55*LN('Intermediate calculations'!AB27))+Relationships!$AJ$55)</f>
        <v>1553805.508516069</v>
      </c>
      <c r="AH17" s="24">
        <f>((Relationships!$AI$55*LN('Intermediate calculations'!AC27))+Relationships!$AJ$55)</f>
        <v>1552433.6390468078</v>
      </c>
      <c r="AI17" s="24">
        <f>((Relationships!$AI$55*LN('Intermediate calculations'!AD27))+Relationships!$AJ$55)</f>
        <v>1549935.9631950213</v>
      </c>
      <c r="AJ17" s="24">
        <f>((Relationships!$AI$55*LN('Intermediate calculations'!AE27))+Relationships!$AJ$55)</f>
        <v>1547922.5782921906</v>
      </c>
      <c r="AK17" s="24">
        <f>((Relationships!$AI$55*LN('Intermediate calculations'!AF27))+Relationships!$AJ$55)</f>
        <v>1546351.3674156307</v>
      </c>
      <c r="AL17" s="24">
        <f>((Relationships!$AI$55*LN('Intermediate calculations'!AG27))+Relationships!$AJ$55)</f>
        <v>1570746.9885248444</v>
      </c>
      <c r="AM17" s="24">
        <f>((Relationships!$AI$55*LN('Intermediate calculations'!AH27))+Relationships!$AJ$55)</f>
        <v>1564827.9405084928</v>
      </c>
      <c r="AN17" s="24">
        <f>((Relationships!$AI$55*LN('Intermediate calculations'!AI27))+Relationships!$AJ$55)</f>
        <v>1559393.2087187506</v>
      </c>
      <c r="AO17" s="24">
        <f>((Relationships!$AI$55*LN('Intermediate calculations'!AJ27))+Relationships!$AJ$55)</f>
        <v>1554078.2335158973</v>
      </c>
      <c r="AP17" s="24">
        <f>((Relationships!$AI$55*LN('Intermediate calculations'!AK27))+Relationships!$AJ$55)</f>
        <v>1549151.1953629036</v>
      </c>
      <c r="AQ17" s="24">
        <f>((Relationships!$AI$55*LN('Intermediate calculations'!AL27))+Relationships!$AJ$55)</f>
        <v>1544125.9023224525</v>
      </c>
      <c r="AR17" s="24">
        <f>((Relationships!$AI$55*LN('Intermediate calculations'!AM27))+Relationships!$AJ$55)</f>
        <v>1538259.6547481501</v>
      </c>
      <c r="AS17" s="24">
        <f>((Relationships!$AI$55*LN('Intermediate calculations'!AN27))+Relationships!$AJ$55)</f>
        <v>1532664.4090654547</v>
      </c>
      <c r="AT17" s="24">
        <f>((Relationships!$AI$55*LN('Intermediate calculations'!AO27))+Relationships!$AJ$55)</f>
        <v>1526969.1799081755</v>
      </c>
      <c r="AU17" s="24">
        <f>((Relationships!$AI$55*LN('Intermediate calculations'!AP27))+Relationships!$AJ$55)</f>
        <v>1521266.7304891231</v>
      </c>
      <c r="AV17" s="24">
        <f>((Relationships!$AI$55*LN('Intermediate calculations'!AQ27))+Relationships!$AJ$55)</f>
        <v>1515549.1316106794</v>
      </c>
      <c r="AW17" s="24">
        <f>'Intermediate calculations'!AR28*'Intermediate calculations'!AR27</f>
        <v>1527069.1205482599</v>
      </c>
      <c r="AX17" s="24">
        <f>'Intermediate calculations'!AS28*'Intermediate calculations'!AS27</f>
        <v>1533014.0487415879</v>
      </c>
      <c r="AY17" s="24">
        <f>'Intermediate calculations'!AT28*'Intermediate calculations'!AT27</f>
        <v>1541312.5346611615</v>
      </c>
      <c r="AZ17" s="24">
        <f>'Intermediate calculations'!AU28*'Intermediate calculations'!AU27</f>
        <v>1549842.8714185536</v>
      </c>
      <c r="BA17" s="24">
        <f>'Intermediate calculations'!AV28*'Intermediate calculations'!AV27</f>
        <v>1558392.0382891824</v>
      </c>
      <c r="BB17" s="24">
        <f>'Intermediate calculations'!AW28*'Intermediate calculations'!AW27</f>
        <v>1564653.842729551</v>
      </c>
      <c r="BC17" s="24">
        <f>'Intermediate calculations'!AX28*'Intermediate calculations'!AX27</f>
        <v>1569382.7828665604</v>
      </c>
      <c r="BD17" s="24">
        <f>'Intermediate calculations'!AY28*'Intermediate calculations'!AY27</f>
        <v>1571069.2899534102</v>
      </c>
      <c r="BE17" s="24">
        <f>'Intermediate calculations'!AZ28*'Intermediate calculations'!AZ27</f>
        <v>1570962.2037498804</v>
      </c>
      <c r="BF17" s="24">
        <f>'Intermediate calculations'!BA28*'Intermediate calculations'!BA27</f>
        <v>1569912.9831519413</v>
      </c>
      <c r="BG17" s="24">
        <f>'Intermediate calculations'!BB28*'Intermediate calculations'!BB27</f>
        <v>1578441.5381163331</v>
      </c>
      <c r="BH17" s="24">
        <f>'Intermediate calculations'!BC28*'Intermediate calculations'!BC27</f>
        <v>1585678.4571898803</v>
      </c>
      <c r="BI17" s="24">
        <f>'Intermediate calculations'!BD28*'Intermediate calculations'!BD27</f>
        <v>1591325.8890965316</v>
      </c>
      <c r="BJ17" s="24">
        <f>'Intermediate calculations'!BE28*'Intermediate calculations'!BE27</f>
        <v>1595483.434770863</v>
      </c>
      <c r="BK17" s="24">
        <f>'Intermediate calculations'!BF28*'Intermediate calculations'!BF27</f>
        <v>1598936.8863609033</v>
      </c>
      <c r="BL17" s="24">
        <f>'Intermediate calculations'!BG28*'Intermediate calculations'!BG27</f>
        <v>1600926.2176868126</v>
      </c>
      <c r="BM17" s="24">
        <f>'Intermediate calculations'!BH28*'Intermediate calculations'!BH27</f>
        <v>1601243.7159216597</v>
      </c>
      <c r="BN17" s="24">
        <f>'Intermediate calculations'!BI28*'Intermediate calculations'!BI27</f>
        <v>1598095.6546901385</v>
      </c>
      <c r="BO17" s="24">
        <f>'Intermediate calculations'!BJ28*'Intermediate calculations'!BJ27</f>
        <v>1593192.1375390119</v>
      </c>
      <c r="BP17" s="24">
        <f>'Intermediate calculations'!BK28*'Intermediate calculations'!BK27</f>
        <v>1586467.285899037</v>
      </c>
    </row>
    <row r="18" spans="1:72" s="23" customFormat="1" x14ac:dyDescent="0.25">
      <c r="A18" s="23" t="str">
        <f t="shared" si="1"/>
        <v>3A Livestock</v>
      </c>
      <c r="C18" s="23" t="str">
        <f>C17</f>
        <v>3A1h Swine</v>
      </c>
      <c r="D18" t="str">
        <f>'IPCC Categories'!F37</f>
        <v>Subsistence</v>
      </c>
      <c r="E18" s="23" t="str">
        <f t="shared" si="2"/>
        <v>Population</v>
      </c>
      <c r="F18" s="23" t="str">
        <f t="shared" si="3"/>
        <v>Head</v>
      </c>
      <c r="H18" s="43">
        <v>199009.99166888703</v>
      </c>
      <c r="I18" s="43">
        <v>217422.33341778014</v>
      </c>
      <c r="J18" s="43">
        <v>215985.90959339839</v>
      </c>
      <c r="K18" s="43">
        <v>215855.3256093637</v>
      </c>
      <c r="L18" s="43">
        <v>205016.85493448336</v>
      </c>
      <c r="M18" s="43">
        <v>206975.6146950039</v>
      </c>
      <c r="N18" s="43">
        <v>222906.86074723766</v>
      </c>
      <c r="O18" s="43">
        <v>221862.18887496003</v>
      </c>
      <c r="P18" s="43">
        <v>226693.79628424402</v>
      </c>
      <c r="Q18" s="43">
        <v>232439.49158177094</v>
      </c>
      <c r="R18" s="43">
        <v>215071.82170515548</v>
      </c>
      <c r="S18" s="43">
        <v>219119.92521023127</v>
      </c>
      <c r="T18" s="43">
        <v>223298.61269934176</v>
      </c>
      <c r="U18" s="43">
        <v>217161.16544971074</v>
      </c>
      <c r="V18" s="43">
        <v>217161.16544971074</v>
      </c>
      <c r="W18" s="43">
        <v>215594.1576412943</v>
      </c>
      <c r="X18" s="43">
        <v>211807.22210428791</v>
      </c>
      <c r="Y18" s="43">
        <v>215594.1576412943</v>
      </c>
      <c r="Z18" s="43">
        <v>210893.134216045</v>
      </c>
      <c r="AA18" s="43">
        <v>210631.96624797559</v>
      </c>
      <c r="AB18" s="43">
        <v>208150.87055131624</v>
      </c>
      <c r="AC18" s="43">
        <v>206845.03071096921</v>
      </c>
      <c r="AD18" s="24">
        <f>AD17*Constants!$H$21</f>
        <v>205345.86810915827</v>
      </c>
      <c r="AE18" s="24">
        <f>AE17*Constants!$H$21</f>
        <v>204513.08181043653</v>
      </c>
      <c r="AF18" s="24">
        <f>AF17*Constants!$H$21</f>
        <v>203915.8993712127</v>
      </c>
      <c r="AG18" s="24">
        <f>AG17*Constants!$H$21</f>
        <v>203548.52161560504</v>
      </c>
      <c r="AH18" s="24">
        <f>AH17*Constants!$H$21</f>
        <v>203368.80671513182</v>
      </c>
      <c r="AI18" s="24">
        <f>AI17*Constants!$H$21</f>
        <v>203041.61117854778</v>
      </c>
      <c r="AJ18" s="24">
        <f>AJ17*Constants!$H$21</f>
        <v>202777.85775627696</v>
      </c>
      <c r="AK18" s="24">
        <f>AK17*Constants!$H$21</f>
        <v>202572.02913144763</v>
      </c>
      <c r="AL18" s="24">
        <f>AL17*Constants!$H$21</f>
        <v>205767.85549675464</v>
      </c>
      <c r="AM18" s="24">
        <f>AM17*Constants!$H$21</f>
        <v>204992.46020661257</v>
      </c>
      <c r="AN18" s="24">
        <f>AN17*Constants!$H$21</f>
        <v>204280.51034215634</v>
      </c>
      <c r="AO18" s="24">
        <f>AO17*Constants!$H$21</f>
        <v>203584.24859058255</v>
      </c>
      <c r="AP18" s="24">
        <f>AP17*Constants!$H$21</f>
        <v>202938.80659254038</v>
      </c>
      <c r="AQ18" s="24">
        <f>AQ17*Constants!$H$21</f>
        <v>202280.4932042413</v>
      </c>
      <c r="AR18" s="24">
        <f>AR17*Constants!$H$21</f>
        <v>201512.01477200768</v>
      </c>
      <c r="AS18" s="24">
        <f>AS17*Constants!$H$21</f>
        <v>200779.03758757457</v>
      </c>
      <c r="AT18" s="24">
        <f>AT17*Constants!$H$21</f>
        <v>200032.962567971</v>
      </c>
      <c r="AU18" s="24">
        <f>AU17*Constants!$H$21</f>
        <v>199285.94169407515</v>
      </c>
      <c r="AV18" s="24">
        <f>AV17*Constants!$H$21</f>
        <v>198536.93624099903</v>
      </c>
      <c r="AW18" s="24">
        <f>AW17*Constants!$H$21</f>
        <v>200046.05479182207</v>
      </c>
      <c r="AX18" s="24">
        <f>AX17*Constants!$H$21</f>
        <v>200824.84038514801</v>
      </c>
      <c r="AY18" s="24">
        <f>AY17*Constants!$H$21</f>
        <v>201911.94204061216</v>
      </c>
      <c r="AZ18" s="24">
        <f>AZ17*Constants!$H$21</f>
        <v>203029.41615583052</v>
      </c>
      <c r="BA18" s="24">
        <f>BA17*Constants!$H$21</f>
        <v>204149.35701588291</v>
      </c>
      <c r="BB18" s="24">
        <f>BB17*Constants!$H$21</f>
        <v>204969.65339757118</v>
      </c>
      <c r="BC18" s="24">
        <f>BC17*Constants!$H$21</f>
        <v>205589.14455551942</v>
      </c>
      <c r="BD18" s="24">
        <f>BD17*Constants!$H$21</f>
        <v>205810.07698389675</v>
      </c>
      <c r="BE18" s="24">
        <f>BE17*Constants!$H$21</f>
        <v>205796.04869123435</v>
      </c>
      <c r="BF18" s="24">
        <f>BF17*Constants!$H$21</f>
        <v>205658.60079290433</v>
      </c>
      <c r="BG18" s="24">
        <f>BG17*Constants!$H$21</f>
        <v>206775.84149323966</v>
      </c>
      <c r="BH18" s="24">
        <f>BH17*Constants!$H$21</f>
        <v>207723.87789187432</v>
      </c>
      <c r="BI18" s="24">
        <f>BI17*Constants!$H$21</f>
        <v>208463.69147164564</v>
      </c>
      <c r="BJ18" s="24">
        <f>BJ17*Constants!$H$21</f>
        <v>209008.32995498306</v>
      </c>
      <c r="BK18" s="24">
        <f>BK17*Constants!$H$21</f>
        <v>209460.73211327833</v>
      </c>
      <c r="BL18" s="24">
        <f>BL17*Constants!$H$21</f>
        <v>209721.33451697245</v>
      </c>
      <c r="BM18" s="24">
        <f>BM17*Constants!$H$21</f>
        <v>209762.92678573742</v>
      </c>
      <c r="BN18" s="24">
        <f>BN17*Constants!$H$21</f>
        <v>209350.53076440815</v>
      </c>
      <c r="BO18" s="24">
        <f>BO17*Constants!$H$21</f>
        <v>208708.17001761057</v>
      </c>
      <c r="BP18" s="24">
        <f>BP17*Constants!$H$21</f>
        <v>207827.21445277386</v>
      </c>
    </row>
    <row r="19" spans="1:72" s="23" customFormat="1" x14ac:dyDescent="0.25">
      <c r="A19" s="23" t="str">
        <f t="shared" si="1"/>
        <v>3A Livestock</v>
      </c>
      <c r="C19" s="23" t="str">
        <f>'IPCC Categories'!$C$19</f>
        <v>3A2i Poultry</v>
      </c>
      <c r="D19" t="str">
        <f>'IPCC Categories'!F50</f>
        <v>Commercial layers</v>
      </c>
      <c r="E19" s="23" t="str">
        <f t="shared" si="2"/>
        <v>Population</v>
      </c>
      <c r="F19" s="23" t="str">
        <f t="shared" si="3"/>
        <v>Head</v>
      </c>
      <c r="H19" s="43">
        <v>14643674.931267885</v>
      </c>
      <c r="I19" s="43">
        <v>14226110.812328145</v>
      </c>
      <c r="J19" s="43">
        <v>13492476.52712371</v>
      </c>
      <c r="K19" s="43">
        <v>13280331.082668224</v>
      </c>
      <c r="L19" s="43">
        <v>12702684.496371185</v>
      </c>
      <c r="M19" s="43">
        <v>13860209.809151115</v>
      </c>
      <c r="N19" s="43">
        <v>14640611.562802857</v>
      </c>
      <c r="O19" s="43">
        <v>14688755.298092401</v>
      </c>
      <c r="P19" s="43">
        <v>16538299.007411262</v>
      </c>
      <c r="Q19" s="43">
        <v>17730716.13950536</v>
      </c>
      <c r="R19" s="43">
        <v>17355030.714458548</v>
      </c>
      <c r="S19" s="43">
        <v>17818001.024886843</v>
      </c>
      <c r="T19" s="43">
        <v>17678155.288284503</v>
      </c>
      <c r="U19" s="43">
        <v>16972399.104253348</v>
      </c>
      <c r="V19" s="43">
        <v>17587835.89054852</v>
      </c>
      <c r="W19" s="43">
        <v>18648391.6209228</v>
      </c>
      <c r="X19" s="43">
        <v>20580691.805783488</v>
      </c>
      <c r="Y19" s="43">
        <v>22776081.657241259</v>
      </c>
      <c r="Z19" s="43">
        <v>23076039.863330547</v>
      </c>
      <c r="AA19" s="43">
        <v>22225308.649488669</v>
      </c>
      <c r="AB19" s="43">
        <v>23091061.215630483</v>
      </c>
      <c r="AC19" s="43">
        <v>24156882.687047753</v>
      </c>
      <c r="AD19" s="24">
        <f>((Relationships!$AI$57*'Intermediate calculations'!Y32)+Relationships!$AJ$57)</f>
        <v>24310436.44166908</v>
      </c>
      <c r="AE19" s="24">
        <f>((Relationships!$AI$57*'Intermediate calculations'!Z32)+Relationships!$AJ$57)</f>
        <v>24867810.149557736</v>
      </c>
      <c r="AF19" s="24">
        <f>((Relationships!$AI$57*'Intermediate calculations'!AA32)+Relationships!$AJ$57)</f>
        <v>25307160.214167956</v>
      </c>
      <c r="AG19" s="24">
        <f>((Relationships!$AI$57*'Intermediate calculations'!AB32)+Relationships!$AJ$57)</f>
        <v>25623278.875162419</v>
      </c>
      <c r="AH19" s="24">
        <f>((Relationships!$AI$57*'Intermediate calculations'!AC32)+Relationships!$AJ$57)</f>
        <v>25843812.709070131</v>
      </c>
      <c r="AI19" s="24">
        <f>((Relationships!$AI$57*'Intermediate calculations'!AD32)+Relationships!$AJ$57)</f>
        <v>26150532.604540069</v>
      </c>
      <c r="AJ19" s="24">
        <f>((Relationships!$AI$57*'Intermediate calculations'!AE32)+Relationships!$AJ$57)</f>
        <v>26422277.514687624</v>
      </c>
      <c r="AK19" s="24">
        <f>((Relationships!$AI$57*'Intermediate calculations'!AF32)+Relationships!$AJ$57)</f>
        <v>26661237.724560879</v>
      </c>
      <c r="AL19" s="24">
        <f>((Relationships!$AI$57*'Intermediate calculations'!AG32)+Relationships!$AJ$57)</f>
        <v>24996345.994447421</v>
      </c>
      <c r="AM19" s="24">
        <f>((Relationships!$AI$57*'Intermediate calculations'!AH32)+Relationships!$AJ$57)</f>
        <v>25528878.117953848</v>
      </c>
      <c r="AN19" s="24">
        <f>((Relationships!$AI$57*'Intermediate calculations'!AI32)+Relationships!$AJ$57)</f>
        <v>26038219.906174727</v>
      </c>
      <c r="AO19" s="24">
        <f>((Relationships!$AI$57*'Intermediate calculations'!AJ32)+Relationships!$AJ$57)</f>
        <v>26549072.976123463</v>
      </c>
      <c r="AP19" s="24">
        <f>((Relationships!$AI$57*'Intermediate calculations'!AK32)+Relationships!$AJ$57)</f>
        <v>27040500.987947639</v>
      </c>
      <c r="AQ19" s="24">
        <f>((Relationships!$AI$57*'Intermediate calculations'!AL32)+Relationships!$AJ$57)</f>
        <v>27548652.770815719</v>
      </c>
      <c r="AR19" s="24">
        <f>((Relationships!$AI$57*'Intermediate calculations'!AM32)+Relationships!$AJ$57)</f>
        <v>28144020.482077867</v>
      </c>
      <c r="AS19" s="24">
        <f>((Relationships!$AI$57*'Intermediate calculations'!AN32)+Relationships!$AJ$57)</f>
        <v>28730423.119290914</v>
      </c>
      <c r="AT19" s="24">
        <f>((Relationships!$AI$57*'Intermediate calculations'!AO32)+Relationships!$AJ$57)</f>
        <v>29337954.23064873</v>
      </c>
      <c r="AU19" s="24">
        <f>((Relationships!$AI$57*'Intermediate calculations'!AP32)+Relationships!$AJ$57)</f>
        <v>29959556.236956079</v>
      </c>
      <c r="AV19" s="24">
        <f>((Relationships!$AI$57*'Intermediate calculations'!AQ32)+Relationships!$AJ$57)</f>
        <v>30596373.830363527</v>
      </c>
      <c r="AW19" s="24">
        <f>((Relationships!$AI$57*'Intermediate calculations'!AR32)+Relationships!$AJ$57)</f>
        <v>31339498.796133619</v>
      </c>
      <c r="AX19" s="24">
        <f>((Relationships!$AI$57*'Intermediate calculations'!AS32)+Relationships!$AJ$57)</f>
        <v>32043497.275094777</v>
      </c>
      <c r="AY19" s="24">
        <f>((Relationships!$AI$57*'Intermediate calculations'!AT32)+Relationships!$AJ$57)</f>
        <v>32809837.296566781</v>
      </c>
      <c r="AZ19" s="24">
        <f>((Relationships!$AI$57*'Intermediate calculations'!AU32)+Relationships!$AJ$57)</f>
        <v>33614931.225864157</v>
      </c>
      <c r="BA19" s="24">
        <f>((Relationships!$AI$57*'Intermediate calculations'!AV32)+Relationships!$AJ$57)</f>
        <v>34459126.080262661</v>
      </c>
      <c r="BB19" s="24">
        <f>((Relationships!$AI$57*'Intermediate calculations'!AW32)+Relationships!$AJ$57)</f>
        <v>35317657.456420019</v>
      </c>
      <c r="BC19" s="24">
        <f>((Relationships!$AI$57*'Intermediate calculations'!AX32)+Relationships!$AJ$57)</f>
        <v>36197637.386278041</v>
      </c>
      <c r="BD19" s="24">
        <f>((Relationships!$AI$57*'Intermediate calculations'!AY32)+Relationships!$AJ$57)</f>
        <v>37078042.320725963</v>
      </c>
      <c r="BE19" s="24">
        <f>((Relationships!$AI$57*'Intermediate calculations'!AZ32)+Relationships!$AJ$57)</f>
        <v>37978581.725077301</v>
      </c>
      <c r="BF19" s="24">
        <f>((Relationships!$AI$57*'Intermediate calculations'!BA32)+Relationships!$AJ$57)</f>
        <v>38915123.426787332</v>
      </c>
      <c r="BG19" s="24">
        <f>((Relationships!$AI$57*'Intermediate calculations'!BB32)+Relationships!$AJ$57)</f>
        <v>39888118.568847962</v>
      </c>
      <c r="BH19" s="24">
        <f>((Relationships!$AI$57*'Intermediate calculations'!BC32)+Relationships!$AJ$57)</f>
        <v>40884215.42888324</v>
      </c>
      <c r="BI19" s="24">
        <f>((Relationships!$AI$57*'Intermediate calculations'!BD32)+Relationships!$AJ$57)</f>
        <v>41900112.13759163</v>
      </c>
      <c r="BJ19" s="24">
        <f>((Relationships!$AI$57*'Intermediate calculations'!BE32)+Relationships!$AJ$57)</f>
        <v>42939342.600074172</v>
      </c>
      <c r="BK19" s="24">
        <f>((Relationships!$AI$57*'Intermediate calculations'!BF32)+Relationships!$AJ$57)</f>
        <v>44018700.093320861</v>
      </c>
      <c r="BL19" s="24">
        <f>((Relationships!$AI$57*'Intermediate calculations'!BG32)+Relationships!$AJ$57)</f>
        <v>45122012.368690111</v>
      </c>
      <c r="BM19" s="24">
        <f>((Relationships!$AI$57*'Intermediate calculations'!BH32)+Relationships!$AJ$57)</f>
        <v>46253158.183148779</v>
      </c>
      <c r="BN19" s="24">
        <f>((Relationships!$AI$57*'Intermediate calculations'!BI32)+Relationships!$AJ$57)</f>
        <v>47378018.200584427</v>
      </c>
      <c r="BO19" s="24">
        <f>((Relationships!$AI$57*'Intermediate calculations'!BJ32)+Relationships!$AJ$57)</f>
        <v>48532289.661205485</v>
      </c>
      <c r="BP19" s="24">
        <f>((Relationships!$AI$57*'Intermediate calculations'!BK32)+Relationships!$AJ$57)</f>
        <v>49717626.059621684</v>
      </c>
    </row>
    <row r="20" spans="1:72" s="23" customFormat="1" x14ac:dyDescent="0.25">
      <c r="A20" s="23" t="str">
        <f t="shared" si="1"/>
        <v>3A Livestock</v>
      </c>
      <c r="C20" s="23" t="str">
        <f>C19</f>
        <v>3A2i Poultry</v>
      </c>
      <c r="D20" t="str">
        <f>'IPCC Categories'!F51</f>
        <v>Commercial broilers</v>
      </c>
      <c r="E20" s="23" t="str">
        <f t="shared" si="2"/>
        <v>Population</v>
      </c>
      <c r="F20" s="23" t="str">
        <f t="shared" si="3"/>
        <v>Head</v>
      </c>
      <c r="H20" s="43">
        <v>40304488.125775687</v>
      </c>
      <c r="I20" s="43">
        <v>37886218.887128815</v>
      </c>
      <c r="J20" s="43">
        <v>35805187.036307976</v>
      </c>
      <c r="K20" s="43">
        <v>40268107.368938237</v>
      </c>
      <c r="L20" s="43">
        <v>39890443.299430735</v>
      </c>
      <c r="M20" s="43">
        <v>45660443.796231762</v>
      </c>
      <c r="N20" s="43">
        <v>53091326.838711366</v>
      </c>
      <c r="O20" s="43">
        <v>54040901.985378392</v>
      </c>
      <c r="P20" s="43">
        <v>59214394.697576575</v>
      </c>
      <c r="Q20" s="43">
        <v>61819163.842046939</v>
      </c>
      <c r="R20" s="43">
        <v>66512864.907880791</v>
      </c>
      <c r="S20" s="43">
        <v>64225159.968942329</v>
      </c>
      <c r="T20" s="43">
        <v>71182309.580183759</v>
      </c>
      <c r="U20" s="43">
        <v>67705122.244331256</v>
      </c>
      <c r="V20" s="43">
        <v>69339582.95804137</v>
      </c>
      <c r="W20" s="43">
        <v>76722494.212373629</v>
      </c>
      <c r="X20" s="43">
        <v>82061878.307196394</v>
      </c>
      <c r="Y20" s="43">
        <v>85859218.536646262</v>
      </c>
      <c r="Z20" s="43">
        <v>91416754.470852047</v>
      </c>
      <c r="AA20" s="43">
        <v>86261715.79298</v>
      </c>
      <c r="AB20" s="43">
        <v>88431266.728296682</v>
      </c>
      <c r="AC20" s="43">
        <v>91461113.859690607</v>
      </c>
      <c r="AD20" s="24">
        <f>((Relationships!$AI$58*'Intermediate calculations'!Y36)+Relationships!$AJ$58)</f>
        <v>90277657.611242414</v>
      </c>
      <c r="AE20" s="24">
        <f>((Relationships!$AI$58*'Intermediate calculations'!Z36)+Relationships!$AJ$58)</f>
        <v>91863081.279785126</v>
      </c>
      <c r="AF20" s="24">
        <f>((Relationships!$AI$58*'Intermediate calculations'!AA36)+Relationships!$AJ$58)</f>
        <v>93025234.911084086</v>
      </c>
      <c r="AG20" s="24">
        <f>((Relationships!$AI$58*'Intermediate calculations'!AB36)+Relationships!$AJ$58)</f>
        <v>93745568.014604688</v>
      </c>
      <c r="AH20" s="24">
        <f>((Relationships!$AI$58*'Intermediate calculations'!AC36)+Relationships!$AJ$58)</f>
        <v>94089732.112393633</v>
      </c>
      <c r="AI20" s="24">
        <f>((Relationships!$AI$58*'Intermediate calculations'!AD36)+Relationships!$AJ$58)</f>
        <v>94740357.199084848</v>
      </c>
      <c r="AJ20" s="24">
        <f>((Relationships!$AI$58*'Intermediate calculations'!AE36)+Relationships!$AJ$58)</f>
        <v>95266617.993053332</v>
      </c>
      <c r="AK20" s="24">
        <f>((Relationships!$AI$58*'Intermediate calculations'!AF36)+Relationships!$AJ$58)</f>
        <v>95676302.724897593</v>
      </c>
      <c r="AL20" s="24">
        <f>((Relationships!$AI$58*'Intermediate calculations'!AG36)+Relationships!$AJ$58)</f>
        <v>89316257.668933332</v>
      </c>
      <c r="AM20" s="24">
        <f>((Relationships!$AI$58*'Intermediate calculations'!AH36)+Relationships!$AJ$58)</f>
        <v>90763839.790286794</v>
      </c>
      <c r="AN20" s="24">
        <f>((Relationships!$AI$58*'Intermediate calculations'!AI36)+Relationships!$AJ$58)</f>
        <v>92128961.566588402</v>
      </c>
      <c r="AO20" s="24">
        <f>((Relationships!$AI$58*'Intermediate calculations'!AJ36)+Relationships!$AJ$58)</f>
        <v>93499457.168824732</v>
      </c>
      <c r="AP20" s="24">
        <f>((Relationships!$AI$58*'Intermediate calculations'!AK36)+Relationships!$AJ$58)</f>
        <v>94800881.016134471</v>
      </c>
      <c r="AQ20" s="24">
        <f>((Relationships!$AI$58*'Intermediate calculations'!AL36)+Relationships!$AJ$58)</f>
        <v>96161771.355007291</v>
      </c>
      <c r="AR20" s="24">
        <f>((Relationships!$AI$58*'Intermediate calculations'!AM36)+Relationships!$AJ$58)</f>
        <v>97795591.604615957</v>
      </c>
      <c r="AS20" s="24">
        <f>((Relationships!$AI$58*'Intermediate calculations'!AN36)+Relationships!$AJ$58)</f>
        <v>99397533.782424524</v>
      </c>
      <c r="AT20" s="24">
        <f>((Relationships!$AI$58*'Intermediate calculations'!AO36)+Relationships!$AJ$58)</f>
        <v>101074604.73352903</v>
      </c>
      <c r="AU20" s="24">
        <f>((Relationships!$AI$58*'Intermediate calculations'!AP36)+Relationships!$AJ$58)</f>
        <v>102801709.06941545</v>
      </c>
      <c r="AV20" s="24">
        <f>((Relationships!$AI$58*'Intermediate calculations'!AQ36)+Relationships!$AJ$58)</f>
        <v>104582917.0942848</v>
      </c>
      <c r="AW20" s="24">
        <f>((Relationships!$AI$58*'Intermediate calculations'!AR36)+Relationships!$AJ$58)</f>
        <v>106758538.04878813</v>
      </c>
      <c r="AX20" s="24">
        <f>((Relationships!$AI$58*'Intermediate calculations'!AS36)+Relationships!$AJ$58)</f>
        <v>108795032.78133826</v>
      </c>
      <c r="AY20" s="24">
        <f>((Relationships!$AI$58*'Intermediate calculations'!AT36)+Relationships!$AJ$58)</f>
        <v>111053201.99015167</v>
      </c>
      <c r="AZ20" s="24">
        <f>((Relationships!$AI$58*'Intermediate calculations'!AU36)+Relationships!$AJ$58)</f>
        <v>113449172.61847842</v>
      </c>
      <c r="BA20" s="24">
        <f>((Relationships!$AI$58*'Intermediate calculations'!AV36)+Relationships!$AJ$58)</f>
        <v>115984178.58449514</v>
      </c>
      <c r="BB20" s="24">
        <f>((Relationships!$AI$58*'Intermediate calculations'!AW36)+Relationships!$AJ$58)</f>
        <v>118551810.82927619</v>
      </c>
      <c r="BC20" s="24">
        <f>((Relationships!$AI$58*'Intermediate calculations'!AX36)+Relationships!$AJ$58)</f>
        <v>121195709.98843412</v>
      </c>
      <c r="BD20" s="24">
        <f>((Relationships!$AI$58*'Intermediate calculations'!AY36)+Relationships!$AJ$58)</f>
        <v>123841120.39006066</v>
      </c>
      <c r="BE20" s="24">
        <f>((Relationships!$AI$58*'Intermediate calculations'!AZ36)+Relationships!$AJ$58)</f>
        <v>126558125.06965104</v>
      </c>
      <c r="BF20" s="24">
        <f>((Relationships!$AI$58*'Intermediate calculations'!BA36)+Relationships!$AJ$58)</f>
        <v>129403146.96514967</v>
      </c>
      <c r="BG20" s="24">
        <f>((Relationships!$AI$58*'Intermediate calculations'!BB36)+Relationships!$AJ$58)</f>
        <v>132309129.25882214</v>
      </c>
      <c r="BH20" s="24">
        <f>((Relationships!$AI$58*'Intermediate calculations'!BC36)+Relationships!$AJ$58)</f>
        <v>135297256.80796891</v>
      </c>
      <c r="BI20" s="24">
        <f>((Relationships!$AI$58*'Intermediate calculations'!BD36)+Relationships!$AJ$58)</f>
        <v>138355788.7866137</v>
      </c>
      <c r="BJ20" s="24">
        <f>((Relationships!$AI$58*'Intermediate calculations'!BE36)+Relationships!$AJ$58)</f>
        <v>141497291.08698812</v>
      </c>
      <c r="BK20" s="24">
        <f>((Relationships!$AI$58*'Intermediate calculations'!BF36)+Relationships!$AJ$58)</f>
        <v>144781477.35860783</v>
      </c>
      <c r="BL20" s="24">
        <f>((Relationships!$AI$58*'Intermediate calculations'!BG36)+Relationships!$AJ$58)</f>
        <v>148170388.12900984</v>
      </c>
      <c r="BM20" s="24">
        <f>((Relationships!$AI$58*'Intermediate calculations'!BH36)+Relationships!$AJ$58)</f>
        <v>151658269.58863199</v>
      </c>
      <c r="BN20" s="24">
        <f>((Relationships!$AI$58*'Intermediate calculations'!BI36)+Relationships!$AJ$58)</f>
        <v>155123799.95984933</v>
      </c>
      <c r="BO20" s="24">
        <f>((Relationships!$AI$58*'Intermediate calculations'!BJ36)+Relationships!$AJ$58)</f>
        <v>158693911.75072768</v>
      </c>
      <c r="BP20" s="24">
        <f>((Relationships!$AI$58*'Intermediate calculations'!BK36)+Relationships!$AJ$58)</f>
        <v>162374484.46051019</v>
      </c>
    </row>
    <row r="21" spans="1:72" s="23" customFormat="1" x14ac:dyDescent="0.25">
      <c r="A21" s="23" t="str">
        <f t="shared" si="1"/>
        <v>3A Livestock</v>
      </c>
      <c r="C21" s="23" t="str">
        <f>C20</f>
        <v>3A2i Poultry</v>
      </c>
      <c r="D21" t="str">
        <f>'IPCC Categories'!F52</f>
        <v>Subsistence layers</v>
      </c>
      <c r="E21" s="23" t="str">
        <f t="shared" si="2"/>
        <v>Population</v>
      </c>
      <c r="F21" s="23" t="str">
        <f t="shared" si="3"/>
        <v>Head</v>
      </c>
      <c r="H21" s="43">
        <v>615034.34711325122</v>
      </c>
      <c r="I21" s="43">
        <v>597496.65411778213</v>
      </c>
      <c r="J21" s="43">
        <v>566684.0141391959</v>
      </c>
      <c r="K21" s="43">
        <v>557773.90547206544</v>
      </c>
      <c r="L21" s="43">
        <v>533512.74884758983</v>
      </c>
      <c r="M21" s="43">
        <v>582128.81198434683</v>
      </c>
      <c r="N21" s="43">
        <v>614905.68563772005</v>
      </c>
      <c r="O21" s="43">
        <v>616927.72251988086</v>
      </c>
      <c r="P21" s="43">
        <v>694608.55831127299</v>
      </c>
      <c r="Q21" s="43">
        <v>744690.07785922522</v>
      </c>
      <c r="R21" s="43">
        <v>728911.290007259</v>
      </c>
      <c r="S21" s="43">
        <v>748356.04304524744</v>
      </c>
      <c r="T21" s="43">
        <v>742482.52210794913</v>
      </c>
      <c r="U21" s="43">
        <v>712840.76237864071</v>
      </c>
      <c r="V21" s="43">
        <v>738689.10740303784</v>
      </c>
      <c r="W21" s="43">
        <v>783232.44807875762</v>
      </c>
      <c r="X21" s="43">
        <v>864389.05584290659</v>
      </c>
      <c r="Y21" s="43">
        <v>956595.42960413289</v>
      </c>
      <c r="Z21" s="43">
        <v>969193.674259883</v>
      </c>
      <c r="AA21" s="43">
        <v>933462.96327852411</v>
      </c>
      <c r="AB21" s="43">
        <v>969824.57105648029</v>
      </c>
      <c r="AC21" s="43">
        <v>1014589.0728560057</v>
      </c>
      <c r="AD21" s="24">
        <f>AD19*Constants!$H$22</f>
        <v>972417.45766676322</v>
      </c>
      <c r="AE21" s="24">
        <f>AE19*Constants!$H$22</f>
        <v>994712.40598230949</v>
      </c>
      <c r="AF21" s="24">
        <f>AF19*Constants!$H$22</f>
        <v>1012286.4085667182</v>
      </c>
      <c r="AG21" s="24">
        <f>AG19*Constants!$H$22</f>
        <v>1024931.1550064968</v>
      </c>
      <c r="AH21" s="24">
        <f>AH19*Constants!$H$22</f>
        <v>1033752.5083628052</v>
      </c>
      <c r="AI21" s="24">
        <f>AI19*Constants!$H$22</f>
        <v>1046021.3041816028</v>
      </c>
      <c r="AJ21" s="24">
        <f>AJ19*Constants!$H$22</f>
        <v>1056891.1005875049</v>
      </c>
      <c r="AK21" s="24">
        <f>AK19*Constants!$H$22</f>
        <v>1066449.5089824351</v>
      </c>
      <c r="AL21" s="24">
        <f>AL19*Constants!$H$22</f>
        <v>999853.83977789688</v>
      </c>
      <c r="AM21" s="24">
        <f>AM19*Constants!$H$22</f>
        <v>1021155.124718154</v>
      </c>
      <c r="AN21" s="24">
        <f>AN19*Constants!$H$22</f>
        <v>1041528.796246989</v>
      </c>
      <c r="AO21" s="24">
        <f>AO19*Constants!$H$22</f>
        <v>1061962.9190449386</v>
      </c>
      <c r="AP21" s="24">
        <f>AP19*Constants!$H$22</f>
        <v>1081620.0395179056</v>
      </c>
      <c r="AQ21" s="24">
        <f>AQ19*Constants!$H$22</f>
        <v>1101946.1108326288</v>
      </c>
      <c r="AR21" s="24">
        <f>AR19*Constants!$H$22</f>
        <v>1125760.8192831147</v>
      </c>
      <c r="AS21" s="24">
        <f>AS19*Constants!$H$22</f>
        <v>1149216.9247716365</v>
      </c>
      <c r="AT21" s="24">
        <f>AT19*Constants!$H$22</f>
        <v>1173518.1692259493</v>
      </c>
      <c r="AU21" s="24">
        <f>AU19*Constants!$H$22</f>
        <v>1198382.2494782431</v>
      </c>
      <c r="AV21" s="24">
        <f>AV19*Constants!$H$22</f>
        <v>1223854.9532145411</v>
      </c>
      <c r="AW21" s="24">
        <f>AW19*Constants!$H$22</f>
        <v>1253579.9518453449</v>
      </c>
      <c r="AX21" s="24">
        <f>AX19*Constants!$H$22</f>
        <v>1281739.891003791</v>
      </c>
      <c r="AY21" s="24">
        <f>AY19*Constants!$H$22</f>
        <v>1312393.4918626712</v>
      </c>
      <c r="AZ21" s="24">
        <f>AZ19*Constants!$H$22</f>
        <v>1344597.2490345663</v>
      </c>
      <c r="BA21" s="24">
        <f>BA19*Constants!$H$22</f>
        <v>1378365.0432105064</v>
      </c>
      <c r="BB21" s="24">
        <f>BB19*Constants!$H$22</f>
        <v>1412706.2982568007</v>
      </c>
      <c r="BC21" s="24">
        <f>BC19*Constants!$H$22</f>
        <v>1447905.4954511216</v>
      </c>
      <c r="BD21" s="24">
        <f>BD19*Constants!$H$22</f>
        <v>1483121.6928290385</v>
      </c>
      <c r="BE21" s="24">
        <f>BE19*Constants!$H$22</f>
        <v>1519143.2690030921</v>
      </c>
      <c r="BF21" s="24">
        <f>BF19*Constants!$H$22</f>
        <v>1556604.9370714934</v>
      </c>
      <c r="BG21" s="24">
        <f>BG19*Constants!$H$22</f>
        <v>1595524.7427539185</v>
      </c>
      <c r="BH21" s="24">
        <f>BH19*Constants!$H$22</f>
        <v>1635368.6171553296</v>
      </c>
      <c r="BI21" s="24">
        <f>BI19*Constants!$H$22</f>
        <v>1676004.4855036652</v>
      </c>
      <c r="BJ21" s="24">
        <f>BJ19*Constants!$H$22</f>
        <v>1717573.7040029669</v>
      </c>
      <c r="BK21" s="24">
        <f>BK19*Constants!$H$22</f>
        <v>1760748.0037328345</v>
      </c>
      <c r="BL21" s="24">
        <f>BL19*Constants!$H$22</f>
        <v>1804880.4947476045</v>
      </c>
      <c r="BM21" s="24">
        <f>BM19*Constants!$H$22</f>
        <v>1850126.3273259513</v>
      </c>
      <c r="BN21" s="24">
        <f>BN19*Constants!$H$22</f>
        <v>1895120.728023377</v>
      </c>
      <c r="BO21" s="24">
        <f>BO19*Constants!$H$22</f>
        <v>1941291.5864482194</v>
      </c>
      <c r="BP21" s="24">
        <f>BP19*Constants!$H$22</f>
        <v>1988705.0423848673</v>
      </c>
    </row>
    <row r="22" spans="1:72" s="23" customFormat="1" x14ac:dyDescent="0.25">
      <c r="A22" s="23" t="str">
        <f t="shared" si="1"/>
        <v>3A Livestock</v>
      </c>
      <c r="C22" s="23" t="str">
        <f>C21</f>
        <v>3A2i Poultry</v>
      </c>
      <c r="D22" t="str">
        <f>'IPCC Categories'!F53</f>
        <v>Subsistence broilers</v>
      </c>
      <c r="E22" s="23" t="str">
        <f t="shared" si="2"/>
        <v>Population</v>
      </c>
      <c r="F22" s="23" t="str">
        <f t="shared" si="3"/>
        <v>Head</v>
      </c>
      <c r="H22" s="43">
        <v>1692788.501282579</v>
      </c>
      <c r="I22" s="43">
        <v>1591221.1932594103</v>
      </c>
      <c r="J22" s="43">
        <v>1503817.8555249351</v>
      </c>
      <c r="K22" s="43">
        <v>1691260.5094954062</v>
      </c>
      <c r="L22" s="43">
        <v>1675398.618576091</v>
      </c>
      <c r="M22" s="43">
        <v>1917738.6394417342</v>
      </c>
      <c r="N22" s="43">
        <v>2229835.7272258773</v>
      </c>
      <c r="O22" s="43">
        <v>2269717.8833858925</v>
      </c>
      <c r="P22" s="43">
        <v>2487004.5772982165</v>
      </c>
      <c r="Q22" s="43">
        <v>2596404.8813659716</v>
      </c>
      <c r="R22" s="43">
        <v>2793540.3261309932</v>
      </c>
      <c r="S22" s="43">
        <v>2697456.7186955782</v>
      </c>
      <c r="T22" s="43">
        <v>2989657.0023677181</v>
      </c>
      <c r="U22" s="43">
        <v>2843615.1342619131</v>
      </c>
      <c r="V22" s="43">
        <v>2912262.4842377375</v>
      </c>
      <c r="W22" s="43">
        <v>3222344.7569196927</v>
      </c>
      <c r="X22" s="43">
        <v>3446598.8889022488</v>
      </c>
      <c r="Y22" s="43">
        <v>3606087.1785391434</v>
      </c>
      <c r="Z22" s="43">
        <v>3839503.687775786</v>
      </c>
      <c r="AA22" s="43">
        <v>3622992.06330516</v>
      </c>
      <c r="AB22" s="43">
        <v>3714113.2025884609</v>
      </c>
      <c r="AC22" s="43">
        <v>3841366.7821070058</v>
      </c>
      <c r="AD22" s="24">
        <f>AD20*Constants!$H$23</f>
        <v>3611106.3044496966</v>
      </c>
      <c r="AE22" s="24">
        <f>AE20*Constants!$H$23</f>
        <v>3674523.2511914051</v>
      </c>
      <c r="AF22" s="24">
        <f>AF20*Constants!$H$23</f>
        <v>3721009.3964433633</v>
      </c>
      <c r="AG22" s="24">
        <f>AG20*Constants!$H$23</f>
        <v>3749822.7205841877</v>
      </c>
      <c r="AH22" s="24">
        <f>AH20*Constants!$H$23</f>
        <v>3763589.2844957453</v>
      </c>
      <c r="AI22" s="24">
        <f>AI20*Constants!$H$23</f>
        <v>3789614.2879633941</v>
      </c>
      <c r="AJ22" s="24">
        <f>AJ20*Constants!$H$23</f>
        <v>3810664.7197221331</v>
      </c>
      <c r="AK22" s="24">
        <f>AK20*Constants!$H$23</f>
        <v>3827052.1089959037</v>
      </c>
      <c r="AL22" s="24">
        <f>AL20*Constants!$H$23</f>
        <v>3572650.3067573332</v>
      </c>
      <c r="AM22" s="24">
        <f>AM20*Constants!$H$23</f>
        <v>3630553.591611472</v>
      </c>
      <c r="AN22" s="24">
        <f>AN20*Constants!$H$23</f>
        <v>3685158.462663536</v>
      </c>
      <c r="AO22" s="24">
        <f>AO20*Constants!$H$23</f>
        <v>3739978.2867529895</v>
      </c>
      <c r="AP22" s="24">
        <f>AP20*Constants!$H$23</f>
        <v>3792035.2406453788</v>
      </c>
      <c r="AQ22" s="24">
        <f>AQ20*Constants!$H$23</f>
        <v>3846470.8542002919</v>
      </c>
      <c r="AR22" s="24">
        <f>AR20*Constants!$H$23</f>
        <v>3911823.6641846383</v>
      </c>
      <c r="AS22" s="24">
        <f>AS20*Constants!$H$23</f>
        <v>3975901.3512969809</v>
      </c>
      <c r="AT22" s="24">
        <f>AT20*Constants!$H$23</f>
        <v>4042984.1893411614</v>
      </c>
      <c r="AU22" s="24">
        <f>AU20*Constants!$H$23</f>
        <v>4112068.362776618</v>
      </c>
      <c r="AV22" s="24">
        <f>AV20*Constants!$H$23</f>
        <v>4183316.6837713923</v>
      </c>
      <c r="AW22" s="24">
        <f>AW20*Constants!$H$23</f>
        <v>4270341.5219515255</v>
      </c>
      <c r="AX22" s="24">
        <f>AX20*Constants!$H$23</f>
        <v>4351801.3112535309</v>
      </c>
      <c r="AY22" s="24">
        <f>AY20*Constants!$H$23</f>
        <v>4442128.0796060674</v>
      </c>
      <c r="AZ22" s="24">
        <f>AZ20*Constants!$H$23</f>
        <v>4537966.9047391368</v>
      </c>
      <c r="BA22" s="24">
        <f>BA20*Constants!$H$23</f>
        <v>4639367.1433798056</v>
      </c>
      <c r="BB22" s="24">
        <f>BB20*Constants!$H$23</f>
        <v>4742072.4331710478</v>
      </c>
      <c r="BC22" s="24">
        <f>BC20*Constants!$H$23</f>
        <v>4847828.399537365</v>
      </c>
      <c r="BD22" s="24">
        <f>BD20*Constants!$H$23</f>
        <v>4953644.8156024264</v>
      </c>
      <c r="BE22" s="24">
        <f>BE20*Constants!$H$23</f>
        <v>5062325.0027860412</v>
      </c>
      <c r="BF22" s="24">
        <f>BF20*Constants!$H$23</f>
        <v>5176125.8786059869</v>
      </c>
      <c r="BG22" s="24">
        <f>BG20*Constants!$H$23</f>
        <v>5292365.1703528855</v>
      </c>
      <c r="BH22" s="24">
        <f>BH20*Constants!$H$23</f>
        <v>5411890.2723187571</v>
      </c>
      <c r="BI22" s="24">
        <f>BI20*Constants!$H$23</f>
        <v>5534231.5514645483</v>
      </c>
      <c r="BJ22" s="24">
        <f>BJ20*Constants!$H$23</f>
        <v>5659891.6434795251</v>
      </c>
      <c r="BK22" s="24">
        <f>BK20*Constants!$H$23</f>
        <v>5791259.0943443133</v>
      </c>
      <c r="BL22" s="24">
        <f>BL20*Constants!$H$23</f>
        <v>5926815.5251603937</v>
      </c>
      <c r="BM22" s="24">
        <f>BM20*Constants!$H$23</f>
        <v>6066330.7835452799</v>
      </c>
      <c r="BN22" s="24">
        <f>BN20*Constants!$H$23</f>
        <v>6204951.9983939733</v>
      </c>
      <c r="BO22" s="24">
        <f>BO20*Constants!$H$23</f>
        <v>6347756.4700291073</v>
      </c>
      <c r="BP22" s="24">
        <f>BP20*Constants!$H$23</f>
        <v>6494979.3784204079</v>
      </c>
    </row>
    <row r="23" spans="1:72" ht="18.75" customHeight="1" x14ac:dyDescent="0.25">
      <c r="A23" s="20" t="s">
        <v>98</v>
      </c>
      <c r="B23" s="20"/>
      <c r="C23" s="20"/>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S23" s="16"/>
      <c r="BT23" s="15"/>
    </row>
    <row r="24" spans="1:72" x14ac:dyDescent="0.25">
      <c r="A24" t="str">
        <f>'IPCC Categories'!A59</f>
        <v>3C Aggregated and non-CO2 emissions on land</v>
      </c>
      <c r="B24" t="str">
        <f>'IPCC Categories'!B59</f>
        <v>3C1 Biomass burning (CH4)</v>
      </c>
      <c r="C24" t="str">
        <f>'IPCC Categories'!C59</f>
        <v>3C1a Biomass burning in forest land</v>
      </c>
      <c r="D24" t="s">
        <v>351</v>
      </c>
      <c r="E24" t="str">
        <f t="shared" ref="E24:E39" si="8">D24&amp;" - Burnt area"</f>
        <v>Indigenous forests - Burnt area</v>
      </c>
      <c r="F24" t="s">
        <v>366</v>
      </c>
      <c r="G24" t="s">
        <v>646</v>
      </c>
      <c r="H24" s="44">
        <v>13927.534820378225</v>
      </c>
      <c r="I24" s="21">
        <v>13927.534820378225</v>
      </c>
      <c r="J24" s="21">
        <v>13927.534820378225</v>
      </c>
      <c r="K24" s="21">
        <v>13927.534820378225</v>
      </c>
      <c r="L24" s="21">
        <v>13927.534820378225</v>
      </c>
      <c r="M24" s="21">
        <v>13927.534820378225</v>
      </c>
      <c r="N24" s="21">
        <v>13927.534820378225</v>
      </c>
      <c r="O24" s="21">
        <v>13927.534820378225</v>
      </c>
      <c r="P24" s="21">
        <v>13927.534820378225</v>
      </c>
      <c r="Q24" s="21">
        <v>13927.534820378225</v>
      </c>
      <c r="R24" s="21">
        <v>12852.281138089251</v>
      </c>
      <c r="S24" s="21">
        <v>14305.950279381213</v>
      </c>
      <c r="T24" s="21">
        <v>13083.022271627655</v>
      </c>
      <c r="U24" s="21">
        <v>16497.991047996074</v>
      </c>
      <c r="V24" s="21">
        <v>12898.429364796932</v>
      </c>
      <c r="W24" s="21">
        <v>16959.473315072886</v>
      </c>
      <c r="X24" s="21">
        <v>15136.618360119473</v>
      </c>
      <c r="Y24" s="21">
        <v>19797.589257595289</v>
      </c>
      <c r="Z24" s="21">
        <v>16567.213388057597</v>
      </c>
      <c r="AA24" s="21">
        <v>16336.472254519189</v>
      </c>
      <c r="AB24" s="21">
        <v>13394.88</v>
      </c>
      <c r="AC24" s="21">
        <v>10042.290000000001</v>
      </c>
      <c r="AD24" s="45">
        <f>'[2]Activity data'!AE545</f>
        <v>13522.653295160111</v>
      </c>
      <c r="AE24" s="45">
        <f>'[2]Activity data'!AF545</f>
        <v>13554.196388614922</v>
      </c>
      <c r="AF24" s="45">
        <f>'[2]Activity data'!AG545</f>
        <v>13585.739482069734</v>
      </c>
      <c r="AG24" s="45">
        <f>'[2]Activity data'!AH545</f>
        <v>13573.216999290329</v>
      </c>
      <c r="AH24" s="45">
        <f>'[2]Activity data'!AI545</f>
        <v>13560.694516510923</v>
      </c>
      <c r="AI24" s="45">
        <f>'[2]Activity data'!AJ545</f>
        <v>13548.172033731515</v>
      </c>
      <c r="AJ24" s="45">
        <f>'[2]Activity data'!AK545</f>
        <v>13535.649550952108</v>
      </c>
      <c r="AK24" s="45">
        <f>'[2]Activity data'!AL545</f>
        <v>13522.933497712827</v>
      </c>
      <c r="AL24" s="45">
        <f>'[2]Activity data'!AM545</f>
        <v>13510.217444473546</v>
      </c>
      <c r="AM24" s="45">
        <f>'[2]Activity data'!AN545</f>
        <v>13497.501391234267</v>
      </c>
      <c r="AN24" s="45">
        <f>'[2]Activity data'!AO545</f>
        <v>13484.785337994983</v>
      </c>
      <c r="AO24" s="45">
        <f>'[2]Activity data'!AP545</f>
        <v>13472.069284755706</v>
      </c>
      <c r="AP24" s="45">
        <f>'[2]Activity data'!AQ545</f>
        <v>13459.353231516423</v>
      </c>
      <c r="AQ24" s="45">
        <f>'[2]Activity data'!AR545</f>
        <v>13446.637178277142</v>
      </c>
      <c r="AR24" s="45">
        <f>'[2]Activity data'!AS545</f>
        <v>13433.921125037861</v>
      </c>
      <c r="AS24" s="45">
        <f>'[2]Activity data'!AT545</f>
        <v>13421.205071798582</v>
      </c>
      <c r="AT24" s="45">
        <f>'[2]Activity data'!AU545</f>
        <v>13408.489018559298</v>
      </c>
      <c r="AU24" s="45">
        <f>'[2]Activity data'!AV545</f>
        <v>13395.772965320015</v>
      </c>
      <c r="AV24" s="45">
        <f>'[2]Activity data'!AW545</f>
        <v>13383.056912080734</v>
      </c>
      <c r="AW24" s="45">
        <f>'[2]Activity data'!AX545</f>
        <v>13370.340858841455</v>
      </c>
      <c r="AX24" s="45">
        <f>'[2]Activity data'!AY545</f>
        <v>13357.624805602176</v>
      </c>
      <c r="AY24" s="45">
        <f>'[2]Activity data'!AZ545</f>
        <v>13344.908752362891</v>
      </c>
      <c r="AZ24" s="45">
        <f>'[2]Activity data'!BA545</f>
        <v>13332.192699123612</v>
      </c>
      <c r="BA24" s="45">
        <f>'[2]Activity data'!BB545</f>
        <v>13319.476645884333</v>
      </c>
      <c r="BB24" s="45">
        <f>'[2]Activity data'!BC545</f>
        <v>13306.760592645052</v>
      </c>
      <c r="BC24" s="45">
        <f>'[2]Activity data'!BD545</f>
        <v>13294.044539405772</v>
      </c>
      <c r="BD24" s="45">
        <f>'[2]Activity data'!BE545</f>
        <v>13281.328486166491</v>
      </c>
      <c r="BE24" s="45">
        <f>'[2]Activity data'!BF545</f>
        <v>13268.61243292721</v>
      </c>
      <c r="BF24" s="45">
        <f>'[2]Activity data'!BG545</f>
        <v>13255.896379687931</v>
      </c>
      <c r="BG24" s="45">
        <f>'[2]Activity data'!BH545</f>
        <v>13243.18032644865</v>
      </c>
      <c r="BH24" s="45">
        <f>'[2]Activity data'!BI545</f>
        <v>13230.464273209369</v>
      </c>
      <c r="BI24" s="45">
        <f>'[2]Activity data'!BJ545</f>
        <v>13217.748219970088</v>
      </c>
      <c r="BJ24" s="45">
        <f>'[2]Activity data'!BK545</f>
        <v>13205.032166730807</v>
      </c>
      <c r="BK24" s="45">
        <f>'[2]Activity data'!BL545</f>
        <v>13192.316113491526</v>
      </c>
      <c r="BL24" s="45">
        <f>'[2]Activity data'!BM545</f>
        <v>13179.600060252247</v>
      </c>
      <c r="BM24" s="45">
        <f>'[2]Activity data'!BN545</f>
        <v>13166.884007012966</v>
      </c>
      <c r="BN24" s="45">
        <f>'[2]Activity data'!BO545</f>
        <v>13154.167953773685</v>
      </c>
      <c r="BO24" s="45">
        <f>'[2]Activity data'!BP545</f>
        <v>13141.451900534405</v>
      </c>
      <c r="BP24" s="45">
        <f>'[2]Activity data'!BQ545</f>
        <v>13128.735847295124</v>
      </c>
      <c r="BR24" s="23"/>
    </row>
    <row r="25" spans="1:72" x14ac:dyDescent="0.25">
      <c r="A25" t="str">
        <f t="shared" ref="A25:C27" si="9">A24</f>
        <v>3C Aggregated and non-CO2 emissions on land</v>
      </c>
      <c r="B25" t="str">
        <f t="shared" si="9"/>
        <v>3C1 Biomass burning (CH4)</v>
      </c>
      <c r="C25" t="str">
        <f t="shared" si="9"/>
        <v>3C1a Biomass burning in forest land</v>
      </c>
      <c r="D25" t="s">
        <v>352</v>
      </c>
      <c r="E25" t="str">
        <f t="shared" si="8"/>
        <v>Thickets - Burnt area</v>
      </c>
      <c r="F25" t="s">
        <v>366</v>
      </c>
      <c r="G25" t="s">
        <v>648</v>
      </c>
      <c r="H25" s="21">
        <v>401037.31973509229</v>
      </c>
      <c r="I25" s="21">
        <v>401037.31973509229</v>
      </c>
      <c r="J25" s="21">
        <v>401037.31973509229</v>
      </c>
      <c r="K25" s="21">
        <v>401037.31973509229</v>
      </c>
      <c r="L25" s="21">
        <v>401037.31973509229</v>
      </c>
      <c r="M25" s="21">
        <v>401037.31973509229</v>
      </c>
      <c r="N25" s="21">
        <v>401037.31973509229</v>
      </c>
      <c r="O25" s="21">
        <v>401037.31973509229</v>
      </c>
      <c r="P25" s="21">
        <v>401037.31973509229</v>
      </c>
      <c r="Q25" s="21">
        <v>401037.31973509229</v>
      </c>
      <c r="R25" s="21">
        <v>411780.62691264047</v>
      </c>
      <c r="S25" s="21">
        <v>522674.81569119875</v>
      </c>
      <c r="T25" s="21">
        <v>482456.63611545443</v>
      </c>
      <c r="U25" s="21">
        <v>289949.30840436177</v>
      </c>
      <c r="V25" s="21">
        <v>298325.21155180596</v>
      </c>
      <c r="W25" s="21">
        <v>512360.68702203204</v>
      </c>
      <c r="X25" s="21">
        <v>409265.54855707183</v>
      </c>
      <c r="Y25" s="21">
        <v>477841.81344468636</v>
      </c>
      <c r="Z25" s="21">
        <v>525720.59865390568</v>
      </c>
      <c r="AA25" s="21">
        <v>382291.91004643211</v>
      </c>
      <c r="AB25" s="21">
        <v>467157.06</v>
      </c>
      <c r="AC25" s="21">
        <v>371977.65</v>
      </c>
      <c r="AD25" s="45">
        <f>'[2]Activity data'!AE546</f>
        <v>386988.3780212166</v>
      </c>
      <c r="AE25" s="45">
        <f>'[2]Activity data'!AF546</f>
        <v>389835.69641059672</v>
      </c>
      <c r="AF25" s="45">
        <f>'[2]Activity data'!AG546</f>
        <v>392683.01479997695</v>
      </c>
      <c r="AG25" s="45">
        <f>'[2]Activity data'!AH546</f>
        <v>391216.86590361502</v>
      </c>
      <c r="AH25" s="45">
        <f>'[2]Activity data'!AI546</f>
        <v>389750.71700725314</v>
      </c>
      <c r="AI25" s="45">
        <f>'[2]Activity data'!AJ546</f>
        <v>388284.56811089127</v>
      </c>
      <c r="AJ25" s="45">
        <f>'[2]Activity data'!AK546</f>
        <v>386818.41921452939</v>
      </c>
      <c r="AK25" s="45">
        <f>'[2]Activity data'!AL546</f>
        <v>385314.36099221953</v>
      </c>
      <c r="AL25" s="45">
        <f>'[2]Activity data'!AM546</f>
        <v>383810.30276990985</v>
      </c>
      <c r="AM25" s="45">
        <f>'[2]Activity data'!AN546</f>
        <v>382306.24454759993</v>
      </c>
      <c r="AN25" s="45">
        <f>'[2]Activity data'!AO546</f>
        <v>380802.18632529018</v>
      </c>
      <c r="AO25" s="45">
        <f>'[2]Activity data'!AP546</f>
        <v>379298.12810298032</v>
      </c>
      <c r="AP25" s="45">
        <f>'[2]Activity data'!AQ546</f>
        <v>377794.06988067064</v>
      </c>
      <c r="AQ25" s="45">
        <f>'[2]Activity data'!AR546</f>
        <v>376290.01165836072</v>
      </c>
      <c r="AR25" s="45">
        <f>'[2]Activity data'!AS546</f>
        <v>374785.95343605091</v>
      </c>
      <c r="AS25" s="45">
        <f>'[2]Activity data'!AT546</f>
        <v>373281.89521374117</v>
      </c>
      <c r="AT25" s="45">
        <f>'[2]Activity data'!AU546</f>
        <v>371777.83699143137</v>
      </c>
      <c r="AU25" s="45">
        <f>'[2]Activity data'!AV546</f>
        <v>370273.77876912162</v>
      </c>
      <c r="AV25" s="45">
        <f>'[2]Activity data'!AW546</f>
        <v>368769.72054681182</v>
      </c>
      <c r="AW25" s="45">
        <f>'[2]Activity data'!AX546</f>
        <v>367265.66232450202</v>
      </c>
      <c r="AX25" s="45">
        <f>'[2]Activity data'!AY546</f>
        <v>365761.60410219216</v>
      </c>
      <c r="AY25" s="45">
        <f>'[2]Activity data'!AZ546</f>
        <v>364257.54587988241</v>
      </c>
      <c r="AZ25" s="45">
        <f>'[2]Activity data'!BA546</f>
        <v>362753.48765757255</v>
      </c>
      <c r="BA25" s="45">
        <f>'[2]Activity data'!BB546</f>
        <v>361249.42943526275</v>
      </c>
      <c r="BB25" s="45">
        <f>'[2]Activity data'!BC546</f>
        <v>359745.371212953</v>
      </c>
      <c r="BC25" s="45">
        <f>'[2]Activity data'!BD546</f>
        <v>358241.3129906432</v>
      </c>
      <c r="BD25" s="45">
        <f>'[2]Activity data'!BE546</f>
        <v>356737.25476833346</v>
      </c>
      <c r="BE25" s="45">
        <f>'[2]Activity data'!BF546</f>
        <v>355233.19654602365</v>
      </c>
      <c r="BF25" s="45">
        <f>'[2]Activity data'!BG546</f>
        <v>353729.13832371385</v>
      </c>
      <c r="BG25" s="45">
        <f>'[2]Activity data'!BH546</f>
        <v>352225.08010140411</v>
      </c>
      <c r="BH25" s="45">
        <f>'[2]Activity data'!BI546</f>
        <v>350721.0218790943</v>
      </c>
      <c r="BI25" s="45">
        <f>'[2]Activity data'!BJ546</f>
        <v>349216.9636567845</v>
      </c>
      <c r="BJ25" s="45">
        <f>'[2]Activity data'!BK546</f>
        <v>347712.9054344747</v>
      </c>
      <c r="BK25" s="45">
        <f>'[2]Activity data'!BL546</f>
        <v>346208.8472121649</v>
      </c>
      <c r="BL25" s="45">
        <f>'[2]Activity data'!BM546</f>
        <v>344704.78898985509</v>
      </c>
      <c r="BM25" s="45">
        <f>'[2]Activity data'!BN546</f>
        <v>343200.73076754529</v>
      </c>
      <c r="BN25" s="45">
        <f>'[2]Activity data'!BO546</f>
        <v>341696.67254523549</v>
      </c>
      <c r="BO25" s="45">
        <f>'[2]Activity data'!BP546</f>
        <v>340192.61432292574</v>
      </c>
      <c r="BP25" s="45">
        <f>'[2]Activity data'!BQ546</f>
        <v>338688.55610061594</v>
      </c>
      <c r="BR25" s="23"/>
    </row>
    <row r="26" spans="1:72" x14ac:dyDescent="0.25">
      <c r="A26" t="str">
        <f t="shared" si="9"/>
        <v>3C Aggregated and non-CO2 emissions on land</v>
      </c>
      <c r="B26" t="str">
        <f t="shared" si="9"/>
        <v>3C1 Biomass burning (CH4)</v>
      </c>
      <c r="C26" t="str">
        <f t="shared" si="9"/>
        <v>3C1a Biomass burning in forest land</v>
      </c>
      <c r="D26" t="s">
        <v>353</v>
      </c>
      <c r="E26" t="str">
        <f t="shared" si="8"/>
        <v>Woodlands - Burnt area</v>
      </c>
      <c r="F26" t="s">
        <v>366</v>
      </c>
      <c r="G26" t="s">
        <v>649</v>
      </c>
      <c r="H26" s="21">
        <v>698264.20349125541</v>
      </c>
      <c r="I26" s="21">
        <v>698264.20349125541</v>
      </c>
      <c r="J26" s="21">
        <v>698264.20349125541</v>
      </c>
      <c r="K26" s="21">
        <v>698264.20349125541</v>
      </c>
      <c r="L26" s="21">
        <v>698264.20349125541</v>
      </c>
      <c r="M26" s="21">
        <v>698264.20349125541</v>
      </c>
      <c r="N26" s="21">
        <v>698264.20349125541</v>
      </c>
      <c r="O26" s="21">
        <v>698264.20349125541</v>
      </c>
      <c r="P26" s="21">
        <v>698264.20349125541</v>
      </c>
      <c r="Q26" s="21">
        <v>698264.20349125541</v>
      </c>
      <c r="R26" s="21">
        <v>731241.72629656445</v>
      </c>
      <c r="S26" s="21">
        <v>1051602.7161012881</v>
      </c>
      <c r="T26" s="21">
        <v>813247.12515611423</v>
      </c>
      <c r="U26" s="21">
        <v>311846.64197715657</v>
      </c>
      <c r="V26" s="21">
        <v>583382.80792515341</v>
      </c>
      <c r="W26" s="21">
        <v>984987.75084875035</v>
      </c>
      <c r="X26" s="21">
        <v>854549.78805948899</v>
      </c>
      <c r="Y26" s="21">
        <v>491709.35557034455</v>
      </c>
      <c r="Z26" s="21">
        <v>887938.03008249647</v>
      </c>
      <c r="AA26" s="21">
        <v>585090.29231333768</v>
      </c>
      <c r="AB26" s="21">
        <v>824275.8</v>
      </c>
      <c r="AC26" s="21">
        <v>754253.19</v>
      </c>
      <c r="AD26" s="45">
        <f>'[2]Activity data'!AE547</f>
        <v>660948.6077962477</v>
      </c>
      <c r="AE26" s="45">
        <f>'[2]Activity data'!AF547</f>
        <v>663815.67353100621</v>
      </c>
      <c r="AF26" s="45">
        <f>'[2]Activity data'!AG547</f>
        <v>666682.73926576483</v>
      </c>
      <c r="AG26" s="45">
        <f>'[2]Activity data'!AH547</f>
        <v>668546.04667811096</v>
      </c>
      <c r="AH26" s="45">
        <f>'[2]Activity data'!AI547</f>
        <v>670409.35409045743</v>
      </c>
      <c r="AI26" s="45">
        <f>'[2]Activity data'!AJ547</f>
        <v>672272.66150280368</v>
      </c>
      <c r="AJ26" s="45">
        <f>'[2]Activity data'!AK547</f>
        <v>674135.96891514992</v>
      </c>
      <c r="AK26" s="45">
        <f>'[2]Activity data'!AL547</f>
        <v>675901.94822427048</v>
      </c>
      <c r="AL26" s="45">
        <f>'[2]Activity data'!AM547</f>
        <v>677667.92753339105</v>
      </c>
      <c r="AM26" s="45">
        <f>'[2]Activity data'!AN547</f>
        <v>679433.9068425115</v>
      </c>
      <c r="AN26" s="45">
        <f>'[2]Activity data'!AO547</f>
        <v>681199.88615163194</v>
      </c>
      <c r="AO26" s="45">
        <f>'[2]Activity data'!AP547</f>
        <v>682965.86546075251</v>
      </c>
      <c r="AP26" s="45">
        <f>'[2]Activity data'!AQ547</f>
        <v>684731.84476987319</v>
      </c>
      <c r="AQ26" s="45">
        <f>'[2]Activity data'!AR547</f>
        <v>686497.82407899364</v>
      </c>
      <c r="AR26" s="45">
        <f>'[2]Activity data'!AS547</f>
        <v>688263.80338811409</v>
      </c>
      <c r="AS26" s="45">
        <f>'[2]Activity data'!AT547</f>
        <v>690029.78269723465</v>
      </c>
      <c r="AT26" s="45">
        <f>'[2]Activity data'!AU547</f>
        <v>691795.76200635522</v>
      </c>
      <c r="AU26" s="45">
        <f>'[2]Activity data'!AV547</f>
        <v>693561.74131547578</v>
      </c>
      <c r="AV26" s="45">
        <f>'[2]Activity data'!AW547</f>
        <v>695327.72062459623</v>
      </c>
      <c r="AW26" s="45">
        <f>'[2]Activity data'!AX547</f>
        <v>697093.69993371668</v>
      </c>
      <c r="AX26" s="45">
        <f>'[2]Activity data'!AY547</f>
        <v>698859.67924283736</v>
      </c>
      <c r="AY26" s="45">
        <f>'[2]Activity data'!AZ547</f>
        <v>700625.65855195781</v>
      </c>
      <c r="AZ26" s="45">
        <f>'[2]Activity data'!BA547</f>
        <v>702391.63786107849</v>
      </c>
      <c r="BA26" s="45">
        <f>'[2]Activity data'!BB547</f>
        <v>704157.61717019905</v>
      </c>
      <c r="BB26" s="45">
        <f>'[2]Activity data'!BC547</f>
        <v>705923.5964793195</v>
      </c>
      <c r="BC26" s="45">
        <f>'[2]Activity data'!BD547</f>
        <v>707689.57578844007</v>
      </c>
      <c r="BD26" s="45">
        <f>'[2]Activity data'!BE547</f>
        <v>709455.55509756051</v>
      </c>
      <c r="BE26" s="45">
        <f>'[2]Activity data'!BF547</f>
        <v>711221.53440668108</v>
      </c>
      <c r="BF26" s="45">
        <f>'[2]Activity data'!BG547</f>
        <v>712987.51371580164</v>
      </c>
      <c r="BG26" s="45">
        <f>'[2]Activity data'!BH547</f>
        <v>714753.49302492221</v>
      </c>
      <c r="BH26" s="45">
        <f>'[2]Activity data'!BI547</f>
        <v>716519.47233404277</v>
      </c>
      <c r="BI26" s="45">
        <f>'[2]Activity data'!BJ547</f>
        <v>718285.45164316322</v>
      </c>
      <c r="BJ26" s="45">
        <f>'[2]Activity data'!BK547</f>
        <v>720051.43095228379</v>
      </c>
      <c r="BK26" s="45">
        <f>'[2]Activity data'!BL547</f>
        <v>721817.41026140435</v>
      </c>
      <c r="BL26" s="45">
        <f>'[2]Activity data'!BM547</f>
        <v>723583.38957052492</v>
      </c>
      <c r="BM26" s="45">
        <f>'[2]Activity data'!BN547</f>
        <v>725349.36887964548</v>
      </c>
      <c r="BN26" s="45">
        <f>'[2]Activity data'!BO547</f>
        <v>727115.34818876593</v>
      </c>
      <c r="BO26" s="45">
        <f>'[2]Activity data'!BP547</f>
        <v>728881.32749788649</v>
      </c>
      <c r="BP26" s="45">
        <f>'[2]Activity data'!BQ547</f>
        <v>730647.30680700706</v>
      </c>
      <c r="BR26" s="23"/>
    </row>
    <row r="27" spans="1:72" x14ac:dyDescent="0.25">
      <c r="A27" t="str">
        <f t="shared" si="9"/>
        <v>3C Aggregated and non-CO2 emissions on land</v>
      </c>
      <c r="B27" t="str">
        <f t="shared" si="9"/>
        <v>3C1 Biomass burning (CH4)</v>
      </c>
      <c r="C27" t="str">
        <f t="shared" si="9"/>
        <v>3C1a Biomass burning in forest land</v>
      </c>
      <c r="D27" t="s">
        <v>354</v>
      </c>
      <c r="E27" t="str">
        <f t="shared" si="8"/>
        <v>Plantations - Burnt area</v>
      </c>
      <c r="F27" t="s">
        <v>366</v>
      </c>
      <c r="G27" t="s">
        <v>650</v>
      </c>
      <c r="H27" s="21">
        <v>47772.644287791714</v>
      </c>
      <c r="I27" s="21">
        <v>47772.644287791714</v>
      </c>
      <c r="J27" s="21">
        <v>47772.644287791714</v>
      </c>
      <c r="K27" s="21">
        <v>47772.644287791714</v>
      </c>
      <c r="L27" s="21">
        <v>47772.644287791714</v>
      </c>
      <c r="M27" s="21">
        <v>47772.644287791714</v>
      </c>
      <c r="N27" s="21">
        <v>47772.644287791714</v>
      </c>
      <c r="O27" s="21">
        <v>47772.644287791714</v>
      </c>
      <c r="P27" s="21">
        <v>47772.644287791714</v>
      </c>
      <c r="Q27" s="21">
        <v>47772.644287791714</v>
      </c>
      <c r="R27" s="21">
        <v>43563.926012051175</v>
      </c>
      <c r="S27" s="21">
        <v>53624.239434325704</v>
      </c>
      <c r="T27" s="21">
        <v>47878.785209219379</v>
      </c>
      <c r="U27" s="21">
        <v>55585.539069402163</v>
      </c>
      <c r="V27" s="21">
        <v>38210.731713960144</v>
      </c>
      <c r="W27" s="21">
        <v>56000.873109771281</v>
      </c>
      <c r="X27" s="21">
        <v>43771.593032235731</v>
      </c>
      <c r="Y27" s="21">
        <v>81497.768365765223</v>
      </c>
      <c r="Z27" s="21">
        <v>52655.126673464394</v>
      </c>
      <c r="AA27" s="21">
        <v>44856.076359866252</v>
      </c>
      <c r="AB27" s="21">
        <v>37862.19</v>
      </c>
      <c r="AC27" s="21">
        <v>43074.99</v>
      </c>
      <c r="AD27" s="45">
        <f>'[2]Activity data'!AE548</f>
        <v>13285.999123176394</v>
      </c>
      <c r="AE27" s="45">
        <f>'[2]Activity data'!AF548</f>
        <v>24983.999123176392</v>
      </c>
      <c r="AF27" s="45">
        <f>'[2]Activity data'!AG548</f>
        <v>20172.999123176392</v>
      </c>
      <c r="AG27" s="45">
        <f>'[2]Activity data'!AH548</f>
        <v>15648.999123176394</v>
      </c>
      <c r="AH27" s="45">
        <f>'[2]Activity data'!AI548</f>
        <v>17908.999123176392</v>
      </c>
      <c r="AI27" s="45">
        <f>'[2]Activity data'!AJ548</f>
        <v>19831.999123176392</v>
      </c>
      <c r="AJ27" s="45">
        <f>'[2]Activity data'!AK548</f>
        <v>19831.999123176392</v>
      </c>
      <c r="AK27" s="45">
        <f>'[2]Activity data'!AL548</f>
        <v>19858.111613452864</v>
      </c>
      <c r="AL27" s="45">
        <f>'[2]Activity data'!AM548</f>
        <v>19884.224103729332</v>
      </c>
      <c r="AM27" s="45">
        <f>'[2]Activity data'!AN548</f>
        <v>19910.336594005799</v>
      </c>
      <c r="AN27" s="45">
        <f>'[2]Activity data'!AO548</f>
        <v>19936.449084282271</v>
      </c>
      <c r="AO27" s="45">
        <f>'[2]Activity data'!AP548</f>
        <v>19962.561574558738</v>
      </c>
      <c r="AP27" s="45">
        <f>'[2]Activity data'!AQ548</f>
        <v>19988.67406483521</v>
      </c>
      <c r="AQ27" s="45">
        <f>'[2]Activity data'!AR548</f>
        <v>20014.786555111677</v>
      </c>
      <c r="AR27" s="45">
        <f>'[2]Activity data'!AS548</f>
        <v>20040.899045388145</v>
      </c>
      <c r="AS27" s="45">
        <f>'[2]Activity data'!AT548</f>
        <v>20067.011535664617</v>
      </c>
      <c r="AT27" s="45">
        <f>'[2]Activity data'!AU548</f>
        <v>20093.124025941084</v>
      </c>
      <c r="AU27" s="45">
        <f>'[2]Activity data'!AV548</f>
        <v>20119.236516217556</v>
      </c>
      <c r="AV27" s="45">
        <f>'[2]Activity data'!AW548</f>
        <v>20145.349006494023</v>
      </c>
      <c r="AW27" s="45">
        <f>'[2]Activity data'!AX548</f>
        <v>20056.357671520065</v>
      </c>
      <c r="AX27" s="45">
        <f>'[2]Activity data'!AY548</f>
        <v>19967.366336546107</v>
      </c>
      <c r="AY27" s="45">
        <f>'[2]Activity data'!AZ548</f>
        <v>19878.375001572149</v>
      </c>
      <c r="AZ27" s="45">
        <f>'[2]Activity data'!BA548</f>
        <v>19789.383666598191</v>
      </c>
      <c r="BA27" s="45">
        <f>'[2]Activity data'!BB548</f>
        <v>19700.392331624233</v>
      </c>
      <c r="BB27" s="45">
        <f>'[2]Activity data'!BC548</f>
        <v>19611.400996650274</v>
      </c>
      <c r="BC27" s="45">
        <f>'[2]Activity data'!BD548</f>
        <v>19522.409661676316</v>
      </c>
      <c r="BD27" s="45">
        <f>'[2]Activity data'!BE548</f>
        <v>19433.418326702358</v>
      </c>
      <c r="BE27" s="45">
        <f>'[2]Activity data'!BF548</f>
        <v>19318.314501451932</v>
      </c>
      <c r="BF27" s="45">
        <f>'[2]Activity data'!BG548</f>
        <v>19203.210676201503</v>
      </c>
      <c r="BG27" s="45">
        <f>'[2]Activity data'!BH548</f>
        <v>19088.106850951077</v>
      </c>
      <c r="BH27" s="45">
        <f>'[2]Activity data'!BI548</f>
        <v>18973.003025700651</v>
      </c>
      <c r="BI27" s="45">
        <f>'[2]Activity data'!BJ548</f>
        <v>18857.899200450222</v>
      </c>
      <c r="BJ27" s="45">
        <f>'[2]Activity data'!BK548</f>
        <v>18742.795375199796</v>
      </c>
      <c r="BK27" s="45">
        <f>'[2]Activity data'!BL548</f>
        <v>18627.69154994937</v>
      </c>
      <c r="BL27" s="45">
        <f>'[2]Activity data'!BM548</f>
        <v>18512.58772469894</v>
      </c>
      <c r="BM27" s="45">
        <f>'[2]Activity data'!BN548</f>
        <v>18397.483899448514</v>
      </c>
      <c r="BN27" s="45">
        <f>'[2]Activity data'!BO548</f>
        <v>18282.380074198089</v>
      </c>
      <c r="BO27" s="45">
        <f>'[2]Activity data'!BP548</f>
        <v>18167.276248947659</v>
      </c>
      <c r="BP27" s="45">
        <f>'[2]Activity data'!BQ548</f>
        <v>18052.172423697233</v>
      </c>
      <c r="BR27" s="23"/>
    </row>
    <row r="28" spans="1:72" x14ac:dyDescent="0.25">
      <c r="A28" t="str">
        <f t="shared" ref="A28:B34" si="10">A27</f>
        <v>3C Aggregated and non-CO2 emissions on land</v>
      </c>
      <c r="B28" t="str">
        <f t="shared" si="10"/>
        <v>3C1 Biomass burning (CH4)</v>
      </c>
      <c r="C28" t="str">
        <f>'IPCC Categories'!C60</f>
        <v>3C1b Biomass burning in Croplands</v>
      </c>
      <c r="D28" t="s">
        <v>355</v>
      </c>
      <c r="E28" t="str">
        <f t="shared" si="8"/>
        <v>Annual non-pivot - Burnt area</v>
      </c>
      <c r="F28" t="s">
        <v>366</v>
      </c>
      <c r="G28" t="s">
        <v>651</v>
      </c>
      <c r="H28" s="21">
        <v>30047.110409371311</v>
      </c>
      <c r="I28" s="21">
        <v>30047.110409371311</v>
      </c>
      <c r="J28" s="21">
        <v>30047.110409371311</v>
      </c>
      <c r="K28" s="21">
        <v>30047.110409371311</v>
      </c>
      <c r="L28" s="21">
        <v>30047.110409371311</v>
      </c>
      <c r="M28" s="21">
        <v>30047.110409371311</v>
      </c>
      <c r="N28" s="21">
        <v>30047.110409371311</v>
      </c>
      <c r="O28" s="21">
        <v>30047.110409371311</v>
      </c>
      <c r="P28" s="21">
        <v>30047.110409371311</v>
      </c>
      <c r="Q28" s="21">
        <v>30047.110409371311</v>
      </c>
      <c r="R28" s="21">
        <v>30550.126080485039</v>
      </c>
      <c r="S28" s="21">
        <v>23835.559094517404</v>
      </c>
      <c r="T28" s="21">
        <v>30988.534234208011</v>
      </c>
      <c r="U28" s="21">
        <v>28704.197012177781</v>
      </c>
      <c r="V28" s="21">
        <v>36157.13562546832</v>
      </c>
      <c r="W28" s="21">
        <v>39710.549081959784</v>
      </c>
      <c r="X28" s="21">
        <v>29765.606226454456</v>
      </c>
      <c r="Y28" s="21">
        <v>29857.902679869818</v>
      </c>
      <c r="Z28" s="21">
        <v>21089.739605410366</v>
      </c>
      <c r="AA28" s="21">
        <v>21897.333572794789</v>
      </c>
      <c r="AB28" s="21">
        <v>30941.1</v>
      </c>
      <c r="AC28" s="21">
        <v>30919.05</v>
      </c>
      <c r="AD28" s="45">
        <f>'[2]Activity data'!AE549</f>
        <v>329614.7597349711</v>
      </c>
      <c r="AE28" s="45">
        <f>'[2]Activity data'!AF549</f>
        <v>328711.1609496483</v>
      </c>
      <c r="AF28" s="45">
        <f>'[2]Activity data'!AG549</f>
        <v>327807.5621643255</v>
      </c>
      <c r="AG28" s="45">
        <f>'[2]Activity data'!AH549</f>
        <v>326903.96337900264</v>
      </c>
      <c r="AH28" s="45">
        <f>'[2]Activity data'!AI549</f>
        <v>326000.36459367984</v>
      </c>
      <c r="AI28" s="45">
        <f>'[2]Activity data'!AJ549</f>
        <v>325096.76580835704</v>
      </c>
      <c r="AJ28" s="45">
        <f>'[2]Activity data'!AK549</f>
        <v>324193.16702303418</v>
      </c>
      <c r="AK28" s="45">
        <f>'[2]Activity data'!AL549</f>
        <v>323709.29156210669</v>
      </c>
      <c r="AL28" s="45">
        <f>'[2]Activity data'!AM549</f>
        <v>323225.41610117914</v>
      </c>
      <c r="AM28" s="45">
        <f>'[2]Activity data'!AN549</f>
        <v>322741.54064025165</v>
      </c>
      <c r="AN28" s="45">
        <f>'[2]Activity data'!AO549</f>
        <v>322257.66517932416</v>
      </c>
      <c r="AO28" s="45">
        <f>'[2]Activity data'!AP549</f>
        <v>321773.78971839661</v>
      </c>
      <c r="AP28" s="45">
        <f>'[2]Activity data'!AQ549</f>
        <v>321289.91425746906</v>
      </c>
      <c r="AQ28" s="45">
        <f>'[2]Activity data'!AR549</f>
        <v>320806.03879654157</v>
      </c>
      <c r="AR28" s="45">
        <f>'[2]Activity data'!AS549</f>
        <v>320322.16333561402</v>
      </c>
      <c r="AS28" s="45">
        <f>'[2]Activity data'!AT549</f>
        <v>319838.28787468653</v>
      </c>
      <c r="AT28" s="45">
        <f>'[2]Activity data'!AU549</f>
        <v>319354.41241375904</v>
      </c>
      <c r="AU28" s="45">
        <f>'[2]Activity data'!AV549</f>
        <v>318870.53695283149</v>
      </c>
      <c r="AV28" s="45">
        <f>'[2]Activity data'!AW549</f>
        <v>318386.66149190394</v>
      </c>
      <c r="AW28" s="45">
        <f>'[2]Activity data'!AX549</f>
        <v>317902.78603097645</v>
      </c>
      <c r="AX28" s="45">
        <f>'[2]Activity data'!AY549</f>
        <v>317418.91057004896</v>
      </c>
      <c r="AY28" s="45">
        <f>'[2]Activity data'!AZ549</f>
        <v>316935.03510912141</v>
      </c>
      <c r="AZ28" s="45">
        <f>'[2]Activity data'!BA549</f>
        <v>316451.15964819392</v>
      </c>
      <c r="BA28" s="45">
        <f>'[2]Activity data'!BB549</f>
        <v>315967.28418726637</v>
      </c>
      <c r="BB28" s="45">
        <f>'[2]Activity data'!BC549</f>
        <v>315483.40872633882</v>
      </c>
      <c r="BC28" s="45">
        <f>'[2]Activity data'!BD549</f>
        <v>314999.53326541133</v>
      </c>
      <c r="BD28" s="45">
        <f>'[2]Activity data'!BE549</f>
        <v>314515.65780448384</v>
      </c>
      <c r="BE28" s="45">
        <f>'[2]Activity data'!BF549</f>
        <v>314031.78234355629</v>
      </c>
      <c r="BF28" s="45">
        <f>'[2]Activity data'!BG549</f>
        <v>313547.9068826288</v>
      </c>
      <c r="BG28" s="45">
        <f>'[2]Activity data'!BH549</f>
        <v>313064.03142170131</v>
      </c>
      <c r="BH28" s="45">
        <f>'[2]Activity data'!BI549</f>
        <v>312580.15596077376</v>
      </c>
      <c r="BI28" s="45">
        <f>'[2]Activity data'!BJ549</f>
        <v>312096.28049984627</v>
      </c>
      <c r="BJ28" s="45">
        <f>'[2]Activity data'!BK549</f>
        <v>311612.40503891878</v>
      </c>
      <c r="BK28" s="45">
        <f>'[2]Activity data'!BL549</f>
        <v>311128.52957799123</v>
      </c>
      <c r="BL28" s="45">
        <f>'[2]Activity data'!BM549</f>
        <v>310644.65411706374</v>
      </c>
      <c r="BM28" s="45">
        <f>'[2]Activity data'!BN549</f>
        <v>310160.77865613624</v>
      </c>
      <c r="BN28" s="45">
        <f>'[2]Activity data'!BO549</f>
        <v>309676.9031952087</v>
      </c>
      <c r="BO28" s="45">
        <f>'[2]Activity data'!BP549</f>
        <v>309193.0277342812</v>
      </c>
      <c r="BP28" s="45">
        <f>'[2]Activity data'!BQ549</f>
        <v>308709.15227335371</v>
      </c>
      <c r="BR28" s="23"/>
    </row>
    <row r="29" spans="1:72" x14ac:dyDescent="0.25">
      <c r="A29" t="str">
        <f t="shared" si="10"/>
        <v>3C Aggregated and non-CO2 emissions on land</v>
      </c>
      <c r="B29" t="str">
        <f t="shared" si="10"/>
        <v>3C1 Biomass burning (CH4)</v>
      </c>
      <c r="C29" t="str">
        <f>C28</f>
        <v>3C1b Biomass burning in Croplands</v>
      </c>
      <c r="D29" t="s">
        <v>356</v>
      </c>
      <c r="E29" t="str">
        <f t="shared" si="8"/>
        <v>Annual pivot - Burnt area</v>
      </c>
      <c r="F29" t="s">
        <v>366</v>
      </c>
      <c r="G29" t="s">
        <v>652</v>
      </c>
      <c r="H29" s="21">
        <v>380372.14381539257</v>
      </c>
      <c r="I29" s="21">
        <v>380372.14381539257</v>
      </c>
      <c r="J29" s="21">
        <v>380372.14381539257</v>
      </c>
      <c r="K29" s="21">
        <v>380372.14381539257</v>
      </c>
      <c r="L29" s="21">
        <v>380372.14381539257</v>
      </c>
      <c r="M29" s="21">
        <v>380372.14381539257</v>
      </c>
      <c r="N29" s="21">
        <v>380372.14381539257</v>
      </c>
      <c r="O29" s="21">
        <v>380372.14381539257</v>
      </c>
      <c r="P29" s="21">
        <v>380372.14381539257</v>
      </c>
      <c r="Q29" s="21">
        <v>380372.14381539257</v>
      </c>
      <c r="R29" s="21">
        <v>411480.66343904054</v>
      </c>
      <c r="S29" s="21">
        <v>381184.35260544776</v>
      </c>
      <c r="T29" s="21">
        <v>466789.31314819655</v>
      </c>
      <c r="U29" s="21">
        <v>348488.33398305555</v>
      </c>
      <c r="V29" s="21">
        <v>293918.05590122234</v>
      </c>
      <c r="W29" s="21">
        <v>497547.10624886618</v>
      </c>
      <c r="X29" s="21">
        <v>507145.93740406388</v>
      </c>
      <c r="Y29" s="21">
        <v>286718.93253482407</v>
      </c>
      <c r="Z29" s="21">
        <v>331713.45357481338</v>
      </c>
      <c r="AA29" s="21">
        <v>328160.04011832189</v>
      </c>
      <c r="AB29" s="21">
        <v>370038.33</v>
      </c>
      <c r="AC29" s="21">
        <v>386575.74</v>
      </c>
      <c r="AD29" s="45">
        <f>'[2]Activity data'!AE550</f>
        <v>27272.800964105933</v>
      </c>
      <c r="AE29" s="45">
        <f>'[2]Activity data'!AF550</f>
        <v>28102.087515757019</v>
      </c>
      <c r="AF29" s="45">
        <f>'[2]Activity data'!AG550</f>
        <v>28931.374067408098</v>
      </c>
      <c r="AG29" s="45">
        <f>'[2]Activity data'!AH550</f>
        <v>29760.660619059196</v>
      </c>
      <c r="AH29" s="45">
        <f>'[2]Activity data'!AI550</f>
        <v>30589.947170710278</v>
      </c>
      <c r="AI29" s="45">
        <f>'[2]Activity data'!AJ550</f>
        <v>31419.233722361369</v>
      </c>
      <c r="AJ29" s="45">
        <f>'[2]Activity data'!AK550</f>
        <v>32248.520274012448</v>
      </c>
      <c r="AK29" s="45">
        <f>'[2]Activity data'!AL550</f>
        <v>32952.518567481813</v>
      </c>
      <c r="AL29" s="45">
        <f>'[2]Activity data'!AM550</f>
        <v>33656.516860951182</v>
      </c>
      <c r="AM29" s="45">
        <f>'[2]Activity data'!AN550</f>
        <v>34360.515154420558</v>
      </c>
      <c r="AN29" s="45">
        <f>'[2]Activity data'!AO550</f>
        <v>35064.51344788992</v>
      </c>
      <c r="AO29" s="45">
        <f>'[2]Activity data'!AP550</f>
        <v>35768.511741359282</v>
      </c>
      <c r="AP29" s="45">
        <f>'[2]Activity data'!AQ550</f>
        <v>36472.510034828658</v>
      </c>
      <c r="AQ29" s="45">
        <f>'[2]Activity data'!AR550</f>
        <v>37176.508328298027</v>
      </c>
      <c r="AR29" s="45">
        <f>'[2]Activity data'!AS550</f>
        <v>37880.506621767396</v>
      </c>
      <c r="AS29" s="45">
        <f>'[2]Activity data'!AT550</f>
        <v>38584.504915236765</v>
      </c>
      <c r="AT29" s="45">
        <f>'[2]Activity data'!AU550</f>
        <v>39288.503208706141</v>
      </c>
      <c r="AU29" s="45">
        <f>'[2]Activity data'!AV550</f>
        <v>39992.50150217551</v>
      </c>
      <c r="AV29" s="45">
        <f>'[2]Activity data'!AW550</f>
        <v>40696.499795644886</v>
      </c>
      <c r="AW29" s="45">
        <f>'[2]Activity data'!AX550</f>
        <v>41400.498089114248</v>
      </c>
      <c r="AX29" s="45">
        <f>'[2]Activity data'!AY550</f>
        <v>42104.496382583602</v>
      </c>
      <c r="AY29" s="45">
        <f>'[2]Activity data'!AZ550</f>
        <v>42808.494676052964</v>
      </c>
      <c r="AZ29" s="45">
        <f>'[2]Activity data'!BA550</f>
        <v>43512.49296952234</v>
      </c>
      <c r="BA29" s="45">
        <f>'[2]Activity data'!BB550</f>
        <v>44216.491262991716</v>
      </c>
      <c r="BB29" s="45">
        <f>'[2]Activity data'!BC550</f>
        <v>44920.489556461092</v>
      </c>
      <c r="BC29" s="45">
        <f>'[2]Activity data'!BD550</f>
        <v>45624.487849930454</v>
      </c>
      <c r="BD29" s="45">
        <f>'[2]Activity data'!BE550</f>
        <v>46328.486143399816</v>
      </c>
      <c r="BE29" s="45">
        <f>'[2]Activity data'!BF550</f>
        <v>47032.484436869207</v>
      </c>
      <c r="BF29" s="45">
        <f>'[2]Activity data'!BG550</f>
        <v>47736.482730338561</v>
      </c>
      <c r="BG29" s="45">
        <f>'[2]Activity data'!BH550</f>
        <v>48440.48102380793</v>
      </c>
      <c r="BH29" s="45">
        <f>'[2]Activity data'!BI550</f>
        <v>49144.479317277292</v>
      </c>
      <c r="BI29" s="45">
        <f>'[2]Activity data'!BJ550</f>
        <v>49848.477610746668</v>
      </c>
      <c r="BJ29" s="45">
        <f>'[2]Activity data'!BK550</f>
        <v>50552.475904216029</v>
      </c>
      <c r="BK29" s="45">
        <f>'[2]Activity data'!BL550</f>
        <v>51256.474197685406</v>
      </c>
      <c r="BL29" s="45">
        <f>'[2]Activity data'!BM550</f>
        <v>51960.47249115476</v>
      </c>
      <c r="BM29" s="45">
        <f>'[2]Activity data'!BN550</f>
        <v>52664.470784624136</v>
      </c>
      <c r="BN29" s="45">
        <f>'[2]Activity data'!BO550</f>
        <v>53368.469078093491</v>
      </c>
      <c r="BO29" s="45">
        <f>'[2]Activity data'!BP550</f>
        <v>54072.467371562867</v>
      </c>
      <c r="BP29" s="45">
        <f>'[2]Activity data'!BQ550</f>
        <v>54776.465665032236</v>
      </c>
      <c r="BR29" s="23"/>
    </row>
    <row r="30" spans="1:72" x14ac:dyDescent="0.25">
      <c r="A30" t="str">
        <f t="shared" si="10"/>
        <v>3C Aggregated and non-CO2 emissions on land</v>
      </c>
      <c r="B30" t="str">
        <f t="shared" si="10"/>
        <v>3C1 Biomass burning (CH4)</v>
      </c>
      <c r="C30" t="str">
        <f>C29</f>
        <v>3C1b Biomass burning in Croplands</v>
      </c>
      <c r="D30" t="s">
        <v>357</v>
      </c>
      <c r="E30" t="str">
        <f t="shared" si="8"/>
        <v>Perennial orchards - Burnt area</v>
      </c>
      <c r="F30" t="s">
        <v>366</v>
      </c>
      <c r="G30" t="s">
        <v>653</v>
      </c>
      <c r="H30" s="21">
        <v>2718.1305530824302</v>
      </c>
      <c r="I30" s="21">
        <v>2718.1305530824302</v>
      </c>
      <c r="J30" s="21">
        <v>2718.1305530824302</v>
      </c>
      <c r="K30" s="21">
        <v>2718.1305530824302</v>
      </c>
      <c r="L30" s="21">
        <v>2718.1305530824302</v>
      </c>
      <c r="M30" s="21">
        <v>2718.1305530824302</v>
      </c>
      <c r="N30" s="21">
        <v>2718.1305530824302</v>
      </c>
      <c r="O30" s="21">
        <v>2718.1305530824302</v>
      </c>
      <c r="P30" s="21">
        <v>2718.1305530824302</v>
      </c>
      <c r="Q30" s="21">
        <v>2718.1305530824302</v>
      </c>
      <c r="R30" s="21">
        <v>2076.6702018456599</v>
      </c>
      <c r="S30" s="21">
        <v>3991.8216102144347</v>
      </c>
      <c r="T30" s="21">
        <v>2907.3382825839235</v>
      </c>
      <c r="U30" s="21">
        <v>2976.5606226454456</v>
      </c>
      <c r="V30" s="21">
        <v>1638.262048122687</v>
      </c>
      <c r="W30" s="21">
        <v>3691.8581366145063</v>
      </c>
      <c r="X30" s="21">
        <v>2561.2265822763138</v>
      </c>
      <c r="Y30" s="21">
        <v>4453.3038772912478</v>
      </c>
      <c r="Z30" s="21">
        <v>5676.2318850448037</v>
      </c>
      <c r="AA30" s="21">
        <v>2422.7819021532696</v>
      </c>
      <c r="AB30" s="21">
        <v>4072.41</v>
      </c>
      <c r="AC30" s="21">
        <v>3114.81</v>
      </c>
      <c r="AD30" s="45">
        <f>'[2]Activity data'!AE551</f>
        <v>3227.9349368076064</v>
      </c>
      <c r="AE30" s="45">
        <f>'[2]Activity data'!AF551</f>
        <v>3255.5028892035903</v>
      </c>
      <c r="AF30" s="45">
        <f>'[2]Activity data'!AG551</f>
        <v>3283.0708415995737</v>
      </c>
      <c r="AG30" s="45">
        <f>'[2]Activity data'!AH551</f>
        <v>3310.6387939955575</v>
      </c>
      <c r="AH30" s="45">
        <f>'[2]Activity data'!AI551</f>
        <v>3338.2067463915409</v>
      </c>
      <c r="AI30" s="45">
        <f>'[2]Activity data'!AJ551</f>
        <v>3365.7746987875248</v>
      </c>
      <c r="AJ30" s="45">
        <f>'[2]Activity data'!AK551</f>
        <v>3393.3426511835082</v>
      </c>
      <c r="AK30" s="45">
        <f>'[2]Activity data'!AL551</f>
        <v>3409.8924289624997</v>
      </c>
      <c r="AL30" s="45">
        <f>'[2]Activity data'!AM551</f>
        <v>3426.4422067414907</v>
      </c>
      <c r="AM30" s="45">
        <f>'[2]Activity data'!AN551</f>
        <v>3442.9919845204822</v>
      </c>
      <c r="AN30" s="45">
        <f>'[2]Activity data'!AO551</f>
        <v>3459.5417622994732</v>
      </c>
      <c r="AO30" s="45">
        <f>'[2]Activity data'!AP551</f>
        <v>3476.0915400784652</v>
      </c>
      <c r="AP30" s="45">
        <f>'[2]Activity data'!AQ551</f>
        <v>3492.6413178574567</v>
      </c>
      <c r="AQ30" s="45">
        <f>'[2]Activity data'!AR551</f>
        <v>3509.1910956364482</v>
      </c>
      <c r="AR30" s="45">
        <f>'[2]Activity data'!AS551</f>
        <v>3525.7408734154396</v>
      </c>
      <c r="AS30" s="45">
        <f>'[2]Activity data'!AT551</f>
        <v>3542.2906511944311</v>
      </c>
      <c r="AT30" s="45">
        <f>'[2]Activity data'!AU551</f>
        <v>3558.8404289734226</v>
      </c>
      <c r="AU30" s="45">
        <f>'[2]Activity data'!AV551</f>
        <v>3575.3902067524141</v>
      </c>
      <c r="AV30" s="45">
        <f>'[2]Activity data'!AW551</f>
        <v>3591.9399845314056</v>
      </c>
      <c r="AW30" s="45">
        <f>'[2]Activity data'!AX551</f>
        <v>3608.4897623103961</v>
      </c>
      <c r="AX30" s="45">
        <f>'[2]Activity data'!AY551</f>
        <v>3625.0395400893881</v>
      </c>
      <c r="AY30" s="45">
        <f>'[2]Activity data'!AZ551</f>
        <v>3641.5893178683791</v>
      </c>
      <c r="AZ30" s="45">
        <f>'[2]Activity data'!BA551</f>
        <v>3658.1390956473711</v>
      </c>
      <c r="BA30" s="45">
        <f>'[2]Activity data'!BB551</f>
        <v>3674.6888734263621</v>
      </c>
      <c r="BB30" s="45">
        <f>'[2]Activity data'!BC551</f>
        <v>3691.238651205354</v>
      </c>
      <c r="BC30" s="45">
        <f>'[2]Activity data'!BD551</f>
        <v>3707.788428984345</v>
      </c>
      <c r="BD30" s="45">
        <f>'[2]Activity data'!BE551</f>
        <v>3724.338206763337</v>
      </c>
      <c r="BE30" s="45">
        <f>'[2]Activity data'!BF551</f>
        <v>3740.8879845423285</v>
      </c>
      <c r="BF30" s="45">
        <f>'[2]Activity data'!BG551</f>
        <v>3757.4377623213195</v>
      </c>
      <c r="BG30" s="45">
        <f>'[2]Activity data'!BH551</f>
        <v>3773.987540100311</v>
      </c>
      <c r="BH30" s="45">
        <f>'[2]Activity data'!BI551</f>
        <v>3790.5373178793025</v>
      </c>
      <c r="BI30" s="45">
        <f>'[2]Activity data'!BJ551</f>
        <v>3807.0870956582935</v>
      </c>
      <c r="BJ30" s="45">
        <f>'[2]Activity data'!BK551</f>
        <v>3823.636873437285</v>
      </c>
      <c r="BK30" s="45">
        <f>'[2]Activity data'!BL551</f>
        <v>3840.1866512162765</v>
      </c>
      <c r="BL30" s="45">
        <f>'[2]Activity data'!BM551</f>
        <v>3856.7364289952675</v>
      </c>
      <c r="BM30" s="45">
        <f>'[2]Activity data'!BN551</f>
        <v>3873.286206774259</v>
      </c>
      <c r="BN30" s="45">
        <f>'[2]Activity data'!BO551</f>
        <v>3889.8359845532505</v>
      </c>
      <c r="BO30" s="45">
        <f>'[2]Activity data'!BP551</f>
        <v>3906.3857623322415</v>
      </c>
      <c r="BP30" s="45">
        <f>'[2]Activity data'!BQ551</f>
        <v>3922.935540111233</v>
      </c>
      <c r="BR30" s="23"/>
    </row>
    <row r="31" spans="1:72" x14ac:dyDescent="0.25">
      <c r="A31" t="str">
        <f t="shared" si="10"/>
        <v>3C Aggregated and non-CO2 emissions on land</v>
      </c>
      <c r="B31" t="str">
        <f t="shared" si="10"/>
        <v>3C1 Biomass burning (CH4)</v>
      </c>
      <c r="C31" t="str">
        <f>C30</f>
        <v>3C1b Biomass burning in Croplands</v>
      </c>
      <c r="D31" t="s">
        <v>358</v>
      </c>
      <c r="E31" t="str">
        <f t="shared" si="8"/>
        <v>Perennial vineyards - Burnt area</v>
      </c>
      <c r="F31" t="s">
        <v>366</v>
      </c>
      <c r="G31" t="s">
        <v>654</v>
      </c>
      <c r="H31" s="21">
        <v>650.6899965783067</v>
      </c>
      <c r="I31" s="21">
        <v>650.6899965783067</v>
      </c>
      <c r="J31" s="21">
        <v>650.6899965783067</v>
      </c>
      <c r="K31" s="21">
        <v>650.6899965783067</v>
      </c>
      <c r="L31" s="21">
        <v>650.6899965783067</v>
      </c>
      <c r="M31" s="21">
        <v>650.6899965783067</v>
      </c>
      <c r="N31" s="21">
        <v>650.6899965783067</v>
      </c>
      <c r="O31" s="21">
        <v>650.6899965783067</v>
      </c>
      <c r="P31" s="21">
        <v>650.6899965783067</v>
      </c>
      <c r="Q31" s="21">
        <v>650.6899965783067</v>
      </c>
      <c r="R31" s="21">
        <v>1015.2609875689892</v>
      </c>
      <c r="S31" s="21">
        <v>669.14928726137919</v>
      </c>
      <c r="T31" s="21">
        <v>530.70460713833518</v>
      </c>
      <c r="U31" s="21">
        <v>830.66808073826394</v>
      </c>
      <c r="V31" s="21">
        <v>207.66702018456598</v>
      </c>
      <c r="W31" s="21">
        <v>576.85283384601667</v>
      </c>
      <c r="X31" s="21">
        <v>1153.7056676920333</v>
      </c>
      <c r="Y31" s="21">
        <v>553.77872049217592</v>
      </c>
      <c r="Z31" s="21">
        <v>415.33404036913197</v>
      </c>
      <c r="AA31" s="21">
        <v>623.00106055369793</v>
      </c>
      <c r="AB31" s="21">
        <v>1034.0999999999999</v>
      </c>
      <c r="AC31" s="21">
        <v>2728.53</v>
      </c>
      <c r="AD31" s="45">
        <f>'[2]Activity data'!AE552</f>
        <v>892.04273910080849</v>
      </c>
      <c r="AE31" s="45">
        <f>'[2]Activity data'!AF552</f>
        <v>897.91643360164323</v>
      </c>
      <c r="AF31" s="45">
        <f>'[2]Activity data'!AG552</f>
        <v>903.79012810247798</v>
      </c>
      <c r="AG31" s="45">
        <f>'[2]Activity data'!AH552</f>
        <v>909.66382260331272</v>
      </c>
      <c r="AH31" s="45">
        <f>'[2]Activity data'!AI552</f>
        <v>915.53751710414724</v>
      </c>
      <c r="AI31" s="45">
        <f>'[2]Activity data'!AJ552</f>
        <v>921.41121160498199</v>
      </c>
      <c r="AJ31" s="45">
        <f>'[2]Activity data'!AK552</f>
        <v>927.28490610581673</v>
      </c>
      <c r="AK31" s="45">
        <f>'[2]Activity data'!AL552</f>
        <v>932.30844947058301</v>
      </c>
      <c r="AL31" s="45">
        <f>'[2]Activity data'!AM552</f>
        <v>937.3319928353493</v>
      </c>
      <c r="AM31" s="45">
        <f>'[2]Activity data'!AN552</f>
        <v>942.35553620011558</v>
      </c>
      <c r="AN31" s="45">
        <f>'[2]Activity data'!AO552</f>
        <v>947.37907956488186</v>
      </c>
      <c r="AO31" s="45">
        <f>'[2]Activity data'!AP552</f>
        <v>952.40262292964815</v>
      </c>
      <c r="AP31" s="45">
        <f>'[2]Activity data'!AQ552</f>
        <v>957.42616629441443</v>
      </c>
      <c r="AQ31" s="45">
        <f>'[2]Activity data'!AR552</f>
        <v>962.44970965918071</v>
      </c>
      <c r="AR31" s="45">
        <f>'[2]Activity data'!AS552</f>
        <v>967.473253023947</v>
      </c>
      <c r="AS31" s="45">
        <f>'[2]Activity data'!AT552</f>
        <v>972.49679638871328</v>
      </c>
      <c r="AT31" s="45">
        <f>'[2]Activity data'!AU552</f>
        <v>977.52033975347956</v>
      </c>
      <c r="AU31" s="45">
        <f>'[2]Activity data'!AV552</f>
        <v>982.54388311824584</v>
      </c>
      <c r="AV31" s="45">
        <f>'[2]Activity data'!AW552</f>
        <v>987.56742648301213</v>
      </c>
      <c r="AW31" s="45">
        <f>'[2]Activity data'!AX552</f>
        <v>992.59096984777864</v>
      </c>
      <c r="AX31" s="45">
        <f>'[2]Activity data'!AY552</f>
        <v>997.61451321254469</v>
      </c>
      <c r="AY31" s="45">
        <f>'[2]Activity data'!AZ552</f>
        <v>1002.638056577311</v>
      </c>
      <c r="AZ31" s="45">
        <f>'[2]Activity data'!BA552</f>
        <v>1007.6615999420773</v>
      </c>
      <c r="BA31" s="45">
        <f>'[2]Activity data'!BB552</f>
        <v>1012.6851433068435</v>
      </c>
      <c r="BB31" s="45">
        <f>'[2]Activity data'!BC552</f>
        <v>1017.7086866716101</v>
      </c>
      <c r="BC31" s="45">
        <f>'[2]Activity data'!BD552</f>
        <v>1022.7322300363763</v>
      </c>
      <c r="BD31" s="45">
        <f>'[2]Activity data'!BE552</f>
        <v>1027.7557734011425</v>
      </c>
      <c r="BE31" s="45">
        <f>'[2]Activity data'!BF552</f>
        <v>1032.7793167659088</v>
      </c>
      <c r="BF31" s="45">
        <f>'[2]Activity data'!BG552</f>
        <v>1037.8028601306753</v>
      </c>
      <c r="BG31" s="45">
        <f>'[2]Activity data'!BH552</f>
        <v>1042.8264034954416</v>
      </c>
      <c r="BH31" s="45">
        <f>'[2]Activity data'!BI552</f>
        <v>1047.8499468602079</v>
      </c>
      <c r="BI31" s="45">
        <f>'[2]Activity data'!BJ552</f>
        <v>1052.8734902249739</v>
      </c>
      <c r="BJ31" s="45">
        <f>'[2]Activity data'!BK552</f>
        <v>1057.8970335897402</v>
      </c>
      <c r="BK31" s="45">
        <f>'[2]Activity data'!BL552</f>
        <v>1062.9205769545065</v>
      </c>
      <c r="BL31" s="45">
        <f>'[2]Activity data'!BM552</f>
        <v>1067.9441203192728</v>
      </c>
      <c r="BM31" s="45">
        <f>'[2]Activity data'!BN552</f>
        <v>1072.9676636840391</v>
      </c>
      <c r="BN31" s="45">
        <f>'[2]Activity data'!BO552</f>
        <v>1077.9912070488053</v>
      </c>
      <c r="BO31" s="45">
        <f>'[2]Activity data'!BP552</f>
        <v>1083.0147504135714</v>
      </c>
      <c r="BP31" s="45">
        <f>'[2]Activity data'!BQ552</f>
        <v>1088.0382937783377</v>
      </c>
      <c r="BR31" s="23"/>
    </row>
    <row r="32" spans="1:72" x14ac:dyDescent="0.25">
      <c r="A32" t="str">
        <f t="shared" si="10"/>
        <v>3C Aggregated and non-CO2 emissions on land</v>
      </c>
      <c r="B32" t="str">
        <f t="shared" si="10"/>
        <v>3C1 Biomass burning (CH4)</v>
      </c>
      <c r="C32" t="str">
        <f>C31</f>
        <v>3C1b Biomass burning in Croplands</v>
      </c>
      <c r="D32" t="s">
        <v>359</v>
      </c>
      <c r="E32" t="str">
        <f t="shared" si="8"/>
        <v>Cropland subsistence - Burnt area</v>
      </c>
      <c r="F32" t="s">
        <v>366</v>
      </c>
      <c r="G32" t="s">
        <v>655</v>
      </c>
      <c r="H32" s="21">
        <v>121475.97716262956</v>
      </c>
      <c r="I32" s="21">
        <v>121475.97716262956</v>
      </c>
      <c r="J32" s="21">
        <v>121475.97716262956</v>
      </c>
      <c r="K32" s="21">
        <v>121475.97716262956</v>
      </c>
      <c r="L32" s="21">
        <v>121475.97716262956</v>
      </c>
      <c r="M32" s="21">
        <v>121475.97716262956</v>
      </c>
      <c r="N32" s="21">
        <v>121475.97716262956</v>
      </c>
      <c r="O32" s="21">
        <v>121475.97716262956</v>
      </c>
      <c r="P32" s="21">
        <v>121475.97716262956</v>
      </c>
      <c r="Q32" s="21">
        <v>121475.97716262956</v>
      </c>
      <c r="R32" s="21">
        <v>110986.48523197359</v>
      </c>
      <c r="S32" s="21">
        <v>166133.61614765276</v>
      </c>
      <c r="T32" s="21">
        <v>130807.14860292274</v>
      </c>
      <c r="U32" s="21">
        <v>110963.41111861976</v>
      </c>
      <c r="V32" s="21">
        <v>88489.224711978939</v>
      </c>
      <c r="W32" s="21">
        <v>191815.10431047744</v>
      </c>
      <c r="X32" s="21">
        <v>150304.77438691808</v>
      </c>
      <c r="Y32" s="21">
        <v>232748.58140019077</v>
      </c>
      <c r="Z32" s="21">
        <v>140036.793944459</v>
      </c>
      <c r="AA32" s="21">
        <v>165649.05976722212</v>
      </c>
      <c r="AB32" s="21">
        <v>111287.7</v>
      </c>
      <c r="AC32" s="21">
        <v>75544.47</v>
      </c>
      <c r="AD32" s="45">
        <f>'[2]Activity data'!AE553</f>
        <v>111446.90580100549</v>
      </c>
      <c r="AE32" s="45">
        <f>'[2]Activity data'!AF553</f>
        <v>111463.54344556993</v>
      </c>
      <c r="AF32" s="45">
        <f>'[2]Activity data'!AG553</f>
        <v>111480.18109013437</v>
      </c>
      <c r="AG32" s="45">
        <f>'[2]Activity data'!AH553</f>
        <v>111496.81873469881</v>
      </c>
      <c r="AH32" s="45">
        <f>'[2]Activity data'!AI553</f>
        <v>111513.45637926325</v>
      </c>
      <c r="AI32" s="45">
        <f>'[2]Activity data'!AJ553</f>
        <v>111530.0940238277</v>
      </c>
      <c r="AJ32" s="45">
        <f>'[2]Activity data'!AK553</f>
        <v>111546.73166839214</v>
      </c>
      <c r="AK32" s="45">
        <f>'[2]Activity data'!AL553</f>
        <v>111536.61656769083</v>
      </c>
      <c r="AL32" s="45">
        <f>'[2]Activity data'!AM553</f>
        <v>111526.50146698949</v>
      </c>
      <c r="AM32" s="45">
        <f>'[2]Activity data'!AN553</f>
        <v>111516.38636628815</v>
      </c>
      <c r="AN32" s="45">
        <f>'[2]Activity data'!AO553</f>
        <v>111506.27126558687</v>
      </c>
      <c r="AO32" s="45">
        <f>'[2]Activity data'!AP553</f>
        <v>111496.15616488553</v>
      </c>
      <c r="AP32" s="45">
        <f>'[2]Activity data'!AQ553</f>
        <v>111486.04106418419</v>
      </c>
      <c r="AQ32" s="45">
        <f>'[2]Activity data'!AR553</f>
        <v>111475.92596348285</v>
      </c>
      <c r="AR32" s="45">
        <f>'[2]Activity data'!AS553</f>
        <v>111465.81086278154</v>
      </c>
      <c r="AS32" s="45">
        <f>'[2]Activity data'!AT553</f>
        <v>111455.6957620802</v>
      </c>
      <c r="AT32" s="45">
        <f>'[2]Activity data'!AU553</f>
        <v>111445.58066137889</v>
      </c>
      <c r="AU32" s="45">
        <f>'[2]Activity data'!AV553</f>
        <v>111435.46556067755</v>
      </c>
      <c r="AV32" s="45">
        <f>'[2]Activity data'!AW553</f>
        <v>111425.35045997624</v>
      </c>
      <c r="AW32" s="45">
        <f>'[2]Activity data'!AX553</f>
        <v>111415.2353592749</v>
      </c>
      <c r="AX32" s="45">
        <f>'[2]Activity data'!AY553</f>
        <v>111405.12025857356</v>
      </c>
      <c r="AY32" s="45">
        <f>'[2]Activity data'!AZ553</f>
        <v>111395.00515787225</v>
      </c>
      <c r="AZ32" s="45">
        <f>'[2]Activity data'!BA553</f>
        <v>111384.89005717091</v>
      </c>
      <c r="BA32" s="45">
        <f>'[2]Activity data'!BB553</f>
        <v>111374.77495646957</v>
      </c>
      <c r="BB32" s="45">
        <f>'[2]Activity data'!BC553</f>
        <v>111364.65985576826</v>
      </c>
      <c r="BC32" s="45">
        <f>'[2]Activity data'!BD553</f>
        <v>111354.54475506692</v>
      </c>
      <c r="BD32" s="45">
        <f>'[2]Activity data'!BE553</f>
        <v>111344.42965436561</v>
      </c>
      <c r="BE32" s="45">
        <f>'[2]Activity data'!BF553</f>
        <v>111334.31455366427</v>
      </c>
      <c r="BF32" s="45">
        <f>'[2]Activity data'!BG553</f>
        <v>111324.19945296293</v>
      </c>
      <c r="BG32" s="45">
        <f>'[2]Activity data'!BH553</f>
        <v>111314.08435226159</v>
      </c>
      <c r="BH32" s="45">
        <f>'[2]Activity data'!BI553</f>
        <v>111303.96925156025</v>
      </c>
      <c r="BI32" s="45">
        <f>'[2]Activity data'!BJ553</f>
        <v>111293.85415085894</v>
      </c>
      <c r="BJ32" s="45">
        <f>'[2]Activity data'!BK553</f>
        <v>111283.7390501576</v>
      </c>
      <c r="BK32" s="45">
        <f>'[2]Activity data'!BL553</f>
        <v>111273.62394945626</v>
      </c>
      <c r="BL32" s="45">
        <f>'[2]Activity data'!BM553</f>
        <v>111263.50884875492</v>
      </c>
      <c r="BM32" s="45">
        <f>'[2]Activity data'!BN553</f>
        <v>111253.39374805358</v>
      </c>
      <c r="BN32" s="45">
        <f>'[2]Activity data'!BO553</f>
        <v>111243.27864735224</v>
      </c>
      <c r="BO32" s="45">
        <f>'[2]Activity data'!BP553</f>
        <v>111233.1635466509</v>
      </c>
      <c r="BP32" s="45">
        <f>'[2]Activity data'!BQ553</f>
        <v>111223.04844594956</v>
      </c>
      <c r="BR32" s="23"/>
    </row>
    <row r="33" spans="1:72" x14ac:dyDescent="0.25">
      <c r="A33" t="str">
        <f t="shared" si="10"/>
        <v>3C Aggregated and non-CO2 emissions on land</v>
      </c>
      <c r="B33" t="str">
        <f t="shared" si="10"/>
        <v>3C1 Biomass burning (CH4)</v>
      </c>
      <c r="C33" t="str">
        <f>'IPCC Categories'!C61</f>
        <v>3C1c Biomass burning in Grasslands</v>
      </c>
      <c r="D33" t="s">
        <v>360</v>
      </c>
      <c r="E33" t="str">
        <f t="shared" si="8"/>
        <v>Grasslands - Burnt area</v>
      </c>
      <c r="F33" t="s">
        <v>366</v>
      </c>
      <c r="G33" t="s">
        <v>656</v>
      </c>
      <c r="H33" s="21">
        <v>2387838.4648902137</v>
      </c>
      <c r="I33" s="21">
        <v>2387838.4648902137</v>
      </c>
      <c r="J33" s="21">
        <v>2387838.4648902137</v>
      </c>
      <c r="K33" s="21">
        <v>2387838.4648902137</v>
      </c>
      <c r="L33" s="21">
        <v>2387838.4648902137</v>
      </c>
      <c r="M33" s="21">
        <v>2387838.4648902137</v>
      </c>
      <c r="N33" s="21">
        <v>2387838.4648902137</v>
      </c>
      <c r="O33" s="21">
        <v>2387838.4648902137</v>
      </c>
      <c r="P33" s="21">
        <v>2387838.4648902137</v>
      </c>
      <c r="Q33" s="21">
        <v>2387838.4648902137</v>
      </c>
      <c r="R33" s="21">
        <v>2371995.7786614662</v>
      </c>
      <c r="S33" s="21">
        <v>2712685.0623309235</v>
      </c>
      <c r="T33" s="21">
        <v>2759663.9571193433</v>
      </c>
      <c r="U33" s="21">
        <v>2215091.8078553495</v>
      </c>
      <c r="V33" s="21">
        <v>1879755.7184839835</v>
      </c>
      <c r="W33" s="21">
        <v>2920305.9342887821</v>
      </c>
      <c r="X33" s="21">
        <v>2572463.6754796347</v>
      </c>
      <c r="Y33" s="21">
        <v>2423589.496120654</v>
      </c>
      <c r="Z33" s="21">
        <v>2252194.9821283258</v>
      </c>
      <c r="AA33" s="21">
        <v>2329700.9288838757</v>
      </c>
      <c r="AB33" s="21">
        <v>2008702.26</v>
      </c>
      <c r="AC33" s="21">
        <v>2040577.5599999998</v>
      </c>
      <c r="AD33" s="45">
        <f>'[2]Activity data'!AE554</f>
        <v>2070866.3984701198</v>
      </c>
      <c r="AE33" s="45">
        <f>'[2]Activity data'!AF554</f>
        <v>2063344.7414665131</v>
      </c>
      <c r="AF33" s="45">
        <f>'[2]Activity data'!AG554</f>
        <v>2055823.0844629062</v>
      </c>
      <c r="AG33" s="45">
        <f>'[2]Activity data'!AH554</f>
        <v>2054537.0161992817</v>
      </c>
      <c r="AH33" s="45">
        <f>'[2]Activity data'!AI554</f>
        <v>2053250.9479356571</v>
      </c>
      <c r="AI33" s="45">
        <f>'[2]Activity data'!AJ554</f>
        <v>2051964.8796720325</v>
      </c>
      <c r="AJ33" s="45">
        <f>'[2]Activity data'!AK554</f>
        <v>2050678.8114084082</v>
      </c>
      <c r="AK33" s="45">
        <f>'[2]Activity data'!AL554</f>
        <v>2048637.297919946</v>
      </c>
      <c r="AL33" s="45">
        <f>'[2]Activity data'!AM554</f>
        <v>2046595.7844314838</v>
      </c>
      <c r="AM33" s="45">
        <f>'[2]Activity data'!AN554</f>
        <v>2044554.2709430216</v>
      </c>
      <c r="AN33" s="45">
        <f>'[2]Activity data'!AO554</f>
        <v>2042512.7574545594</v>
      </c>
      <c r="AO33" s="45">
        <f>'[2]Activity data'!AP554</f>
        <v>2040471.2439660972</v>
      </c>
      <c r="AP33" s="45">
        <f>'[2]Activity data'!AQ554</f>
        <v>2038429.7304776351</v>
      </c>
      <c r="AQ33" s="45">
        <f>'[2]Activity data'!AR554</f>
        <v>2036388.2169891729</v>
      </c>
      <c r="AR33" s="45">
        <f>'[2]Activity data'!AS554</f>
        <v>2034346.7035007107</v>
      </c>
      <c r="AS33" s="45">
        <f>'[2]Activity data'!AT554</f>
        <v>2032305.1900122485</v>
      </c>
      <c r="AT33" s="45">
        <f>'[2]Activity data'!AU554</f>
        <v>2030263.6765237865</v>
      </c>
      <c r="AU33" s="45">
        <f>'[2]Activity data'!AV554</f>
        <v>2028222.1630353241</v>
      </c>
      <c r="AV33" s="45">
        <f>'[2]Activity data'!AW554</f>
        <v>2026180.6495468621</v>
      </c>
      <c r="AW33" s="45">
        <f>'[2]Activity data'!AX554</f>
        <v>2024637.8110583571</v>
      </c>
      <c r="AX33" s="45">
        <f>'[2]Activity data'!AY554</f>
        <v>2023094.9725698521</v>
      </c>
      <c r="AY33" s="45">
        <f>'[2]Activity data'!AZ554</f>
        <v>2021552.1340813474</v>
      </c>
      <c r="AZ33" s="45">
        <f>'[2]Activity data'!BA554</f>
        <v>2020009.2955928426</v>
      </c>
      <c r="BA33" s="45">
        <f>'[2]Activity data'!BB554</f>
        <v>2018466.4571043379</v>
      </c>
      <c r="BB33" s="45">
        <f>'[2]Activity data'!BC554</f>
        <v>2016923.6186158333</v>
      </c>
      <c r="BC33" s="45">
        <f>'[2]Activity data'!BD554</f>
        <v>2015380.7801273286</v>
      </c>
      <c r="BD33" s="45">
        <f>'[2]Activity data'!BE554</f>
        <v>2013837.9416388238</v>
      </c>
      <c r="BE33" s="45">
        <f>'[2]Activity data'!BF554</f>
        <v>2012295.1031503193</v>
      </c>
      <c r="BF33" s="45">
        <f>'[2]Activity data'!BG554</f>
        <v>2010752.2646618146</v>
      </c>
      <c r="BG33" s="45">
        <f>'[2]Activity data'!BH554</f>
        <v>2009209.42617331</v>
      </c>
      <c r="BH33" s="45">
        <f>'[2]Activity data'!BI554</f>
        <v>2007666.5876848055</v>
      </c>
      <c r="BI33" s="45">
        <f>'[2]Activity data'!BJ554</f>
        <v>2006123.7491963007</v>
      </c>
      <c r="BJ33" s="45">
        <f>'[2]Activity data'!BK554</f>
        <v>2004580.9107077962</v>
      </c>
      <c r="BK33" s="45">
        <f>'[2]Activity data'!BL554</f>
        <v>2003038.0722192915</v>
      </c>
      <c r="BL33" s="45">
        <f>'[2]Activity data'!BM554</f>
        <v>2001495.2337307869</v>
      </c>
      <c r="BM33" s="45">
        <f>'[2]Activity data'!BN554</f>
        <v>1999952.3952422822</v>
      </c>
      <c r="BN33" s="45">
        <f>'[2]Activity data'!BO554</f>
        <v>1998409.5567537777</v>
      </c>
      <c r="BO33" s="45">
        <f>'[2]Activity data'!BP554</f>
        <v>1996866.7182652729</v>
      </c>
      <c r="BP33" s="45">
        <f>'[2]Activity data'!BQ554</f>
        <v>1995323.8797767684</v>
      </c>
      <c r="BR33" s="23"/>
    </row>
    <row r="34" spans="1:72" x14ac:dyDescent="0.25">
      <c r="A34" t="str">
        <f t="shared" si="10"/>
        <v>3C Aggregated and non-CO2 emissions on land</v>
      </c>
      <c r="B34" t="str">
        <f t="shared" si="10"/>
        <v>3C1 Biomass burning (CH4)</v>
      </c>
      <c r="C34" t="str">
        <f>C33</f>
        <v>3C1c Biomass burning in Grasslands</v>
      </c>
      <c r="D34" t="s">
        <v>361</v>
      </c>
      <c r="E34" t="str">
        <f t="shared" si="8"/>
        <v>Low shrublands - Burnt area</v>
      </c>
      <c r="F34" t="s">
        <v>366</v>
      </c>
      <c r="G34" t="s">
        <v>657</v>
      </c>
      <c r="H34" s="21">
        <v>178542.87430934826</v>
      </c>
      <c r="I34" s="21">
        <v>178542.87430934826</v>
      </c>
      <c r="J34" s="21">
        <v>178542.87430934826</v>
      </c>
      <c r="K34" s="21">
        <v>178542.87430934826</v>
      </c>
      <c r="L34" s="21">
        <v>178542.87430934826</v>
      </c>
      <c r="M34" s="21">
        <v>178542.87430934826</v>
      </c>
      <c r="N34" s="21">
        <v>178542.87430934826</v>
      </c>
      <c r="O34" s="21">
        <v>178542.87430934826</v>
      </c>
      <c r="P34" s="21">
        <v>178542.87430934826</v>
      </c>
      <c r="Q34" s="21">
        <v>178542.87430934826</v>
      </c>
      <c r="R34" s="21">
        <v>150097.10736673351</v>
      </c>
      <c r="S34" s="21">
        <v>126284.62238556995</v>
      </c>
      <c r="T34" s="21">
        <v>307393.3380998653</v>
      </c>
      <c r="U34" s="21">
        <v>191745.88197041591</v>
      </c>
      <c r="V34" s="21">
        <v>117193.42172415672</v>
      </c>
      <c r="W34" s="21">
        <v>198875.78299675265</v>
      </c>
      <c r="X34" s="21">
        <v>154365.81833719404</v>
      </c>
      <c r="Y34" s="21">
        <v>132837.67057806067</v>
      </c>
      <c r="Z34" s="21">
        <v>160872.7183029771</v>
      </c>
      <c r="AA34" s="21">
        <v>215212.25525127185</v>
      </c>
      <c r="AB34" s="21">
        <v>515229.30000000005</v>
      </c>
      <c r="AC34" s="21">
        <v>517662.54000000004</v>
      </c>
      <c r="AD34" s="45">
        <f>'[2]Activity data'!AE555</f>
        <v>271246.56124026712</v>
      </c>
      <c r="AE34" s="45">
        <f>'[2]Activity data'!AF555</f>
        <v>271372.18137049471</v>
      </c>
      <c r="AF34" s="45">
        <f>'[2]Activity data'!AG555</f>
        <v>271497.8015007223</v>
      </c>
      <c r="AG34" s="45">
        <f>'[2]Activity data'!AH555</f>
        <v>271847.37986266846</v>
      </c>
      <c r="AH34" s="45">
        <f>'[2]Activity data'!AI555</f>
        <v>272196.95822461456</v>
      </c>
      <c r="AI34" s="45">
        <f>'[2]Activity data'!AJ555</f>
        <v>272546.53658656066</v>
      </c>
      <c r="AJ34" s="45">
        <f>'[2]Activity data'!AK555</f>
        <v>272896.11494850676</v>
      </c>
      <c r="AK34" s="45">
        <f>'[2]Activity data'!AL555</f>
        <v>273223.64443154004</v>
      </c>
      <c r="AL34" s="45">
        <f>'[2]Activity data'!AM555</f>
        <v>273551.17391457345</v>
      </c>
      <c r="AM34" s="45">
        <f>'[2]Activity data'!AN555</f>
        <v>273878.70339760685</v>
      </c>
      <c r="AN34" s="45">
        <f>'[2]Activity data'!AO555</f>
        <v>274206.23288064019</v>
      </c>
      <c r="AO34" s="45">
        <f>'[2]Activity data'!AP555</f>
        <v>274533.76236367354</v>
      </c>
      <c r="AP34" s="45">
        <f>'[2]Activity data'!AQ555</f>
        <v>274861.29184670688</v>
      </c>
      <c r="AQ34" s="45">
        <f>'[2]Activity data'!AR555</f>
        <v>275188.82132974028</v>
      </c>
      <c r="AR34" s="45">
        <f>'[2]Activity data'!AS555</f>
        <v>275516.35081277363</v>
      </c>
      <c r="AS34" s="45">
        <f>'[2]Activity data'!AT555</f>
        <v>275843.88029580697</v>
      </c>
      <c r="AT34" s="45">
        <f>'[2]Activity data'!AU555</f>
        <v>276171.40977884032</v>
      </c>
      <c r="AU34" s="45">
        <f>'[2]Activity data'!AV555</f>
        <v>276498.93926187372</v>
      </c>
      <c r="AV34" s="45">
        <f>'[2]Activity data'!AW555</f>
        <v>276826.46874490706</v>
      </c>
      <c r="AW34" s="45">
        <f>'[2]Activity data'!AX555</f>
        <v>277153.99822794046</v>
      </c>
      <c r="AX34" s="45">
        <f>'[2]Activity data'!AY555</f>
        <v>277481.52771097375</v>
      </c>
      <c r="AY34" s="45">
        <f>'[2]Activity data'!AZ555</f>
        <v>277809.05719400715</v>
      </c>
      <c r="AZ34" s="45">
        <f>'[2]Activity data'!BA555</f>
        <v>278136.58667704044</v>
      </c>
      <c r="BA34" s="45">
        <f>'[2]Activity data'!BB555</f>
        <v>278464.11616007384</v>
      </c>
      <c r="BB34" s="45">
        <f>'[2]Activity data'!BC555</f>
        <v>278791.64564310719</v>
      </c>
      <c r="BC34" s="45">
        <f>'[2]Activity data'!BD555</f>
        <v>279119.17512614053</v>
      </c>
      <c r="BD34" s="45">
        <f>'[2]Activity data'!BE555</f>
        <v>279446.70460917387</v>
      </c>
      <c r="BE34" s="45">
        <f>'[2]Activity data'!BF555</f>
        <v>279774.23409220722</v>
      </c>
      <c r="BF34" s="45">
        <f>'[2]Activity data'!BG555</f>
        <v>280101.76357524062</v>
      </c>
      <c r="BG34" s="45">
        <f>'[2]Activity data'!BH555</f>
        <v>280429.29305827396</v>
      </c>
      <c r="BH34" s="45">
        <f>'[2]Activity data'!BI555</f>
        <v>280756.82254130731</v>
      </c>
      <c r="BI34" s="45">
        <f>'[2]Activity data'!BJ555</f>
        <v>281084.35202434065</v>
      </c>
      <c r="BJ34" s="45">
        <f>'[2]Activity data'!BK555</f>
        <v>281411.881507374</v>
      </c>
      <c r="BK34" s="45">
        <f>'[2]Activity data'!BL555</f>
        <v>281739.4109904074</v>
      </c>
      <c r="BL34" s="45">
        <f>'[2]Activity data'!BM555</f>
        <v>282066.94047344069</v>
      </c>
      <c r="BM34" s="45">
        <f>'[2]Activity data'!BN555</f>
        <v>282394.46995647403</v>
      </c>
      <c r="BN34" s="45">
        <f>'[2]Activity data'!BO555</f>
        <v>282721.99943950743</v>
      </c>
      <c r="BO34" s="45">
        <f>'[2]Activity data'!BP555</f>
        <v>283049.52892254078</v>
      </c>
      <c r="BP34" s="45">
        <f>'[2]Activity data'!BQ555</f>
        <v>283377.05840557412</v>
      </c>
      <c r="BR34" s="23"/>
    </row>
    <row r="35" spans="1:72" x14ac:dyDescent="0.25">
      <c r="A35" t="str">
        <f>A39</f>
        <v>3C Aggregated and non-CO2 emissions on land</v>
      </c>
      <c r="B35" t="str">
        <f>B39</f>
        <v>3C1 Biomass burning (CH4)</v>
      </c>
      <c r="C35" t="str">
        <f>C39</f>
        <v>3C1f Biomass burning in Other lands</v>
      </c>
      <c r="D35" t="s">
        <v>365</v>
      </c>
      <c r="E35" t="str">
        <f t="shared" si="8"/>
        <v>Degraded land - Burnt area</v>
      </c>
      <c r="F35" t="s">
        <v>366</v>
      </c>
      <c r="G35" t="s">
        <v>647</v>
      </c>
      <c r="H35" s="21">
        <v>61714.023576182241</v>
      </c>
      <c r="I35" s="21">
        <v>61714.023576182241</v>
      </c>
      <c r="J35" s="21">
        <v>61714.023576182241</v>
      </c>
      <c r="K35" s="21">
        <v>61714.023576182241</v>
      </c>
      <c r="L35" s="21">
        <v>61714.023576182241</v>
      </c>
      <c r="M35" s="21">
        <v>61714.023576182241</v>
      </c>
      <c r="N35" s="21">
        <v>61714.023576182241</v>
      </c>
      <c r="O35" s="21">
        <v>61714.023576182241</v>
      </c>
      <c r="P35" s="21">
        <v>61714.023576182241</v>
      </c>
      <c r="Q35" s="21">
        <v>61714.023576182241</v>
      </c>
      <c r="R35" s="21">
        <v>67907.115600353078</v>
      </c>
      <c r="S35" s="21">
        <v>61469.437974631524</v>
      </c>
      <c r="T35" s="21">
        <v>82282.28821979581</v>
      </c>
      <c r="U35" s="21">
        <v>24204.744908178855</v>
      </c>
      <c r="V35" s="21">
        <v>72706.53117795194</v>
      </c>
      <c r="W35" s="21">
        <v>89066.077545824955</v>
      </c>
      <c r="X35" s="21">
        <v>131960.85427061474</v>
      </c>
      <c r="Y35" s="21">
        <v>20074.478617841378</v>
      </c>
      <c r="Z35" s="21">
        <v>93911.641350131511</v>
      </c>
      <c r="AA35" s="21">
        <v>60961.807480847041</v>
      </c>
      <c r="AB35" s="21">
        <v>82046.16</v>
      </c>
      <c r="AC35" s="21">
        <v>96577.74</v>
      </c>
      <c r="AD35" s="45">
        <f>'[2]Activity data'!AE556</f>
        <v>38718.002984087543</v>
      </c>
      <c r="AE35" s="45">
        <f>'[2]Activity data'!AF556</f>
        <v>38718.002984087543</v>
      </c>
      <c r="AF35" s="45">
        <f>'[2]Activity data'!AG556</f>
        <v>38718.002984087543</v>
      </c>
      <c r="AG35" s="45">
        <f>'[2]Activity data'!AH556</f>
        <v>38718.002984087543</v>
      </c>
      <c r="AH35" s="45">
        <f>'[2]Activity data'!AI556</f>
        <v>38718.002984087543</v>
      </c>
      <c r="AI35" s="45">
        <f>'[2]Activity data'!AJ556</f>
        <v>38718.002984087543</v>
      </c>
      <c r="AJ35" s="45">
        <f>'[2]Activity data'!AK556</f>
        <v>38718.002984087543</v>
      </c>
      <c r="AK35" s="45">
        <f>'[2]Activity data'!AL556</f>
        <v>38743.999391069934</v>
      </c>
      <c r="AL35" s="45">
        <f>'[2]Activity data'!AM556</f>
        <v>38769.995798052332</v>
      </c>
      <c r="AM35" s="45">
        <f>'[2]Activity data'!AN556</f>
        <v>38795.992205034723</v>
      </c>
      <c r="AN35" s="45">
        <f>'[2]Activity data'!AO556</f>
        <v>38821.988612017114</v>
      </c>
      <c r="AO35" s="45">
        <f>'[2]Activity data'!AP556</f>
        <v>38847.985018999512</v>
      </c>
      <c r="AP35" s="45">
        <f>'[2]Activity data'!AQ556</f>
        <v>38873.981425981903</v>
      </c>
      <c r="AQ35" s="45">
        <f>'[2]Activity data'!AR556</f>
        <v>38899.977832964294</v>
      </c>
      <c r="AR35" s="45">
        <f>'[2]Activity data'!AS556</f>
        <v>38925.974239946685</v>
      </c>
      <c r="AS35" s="45">
        <f>'[2]Activity data'!AT556</f>
        <v>38951.970646929083</v>
      </c>
      <c r="AT35" s="45">
        <f>'[2]Activity data'!AU556</f>
        <v>38977.967053911474</v>
      </c>
      <c r="AU35" s="45">
        <f>'[2]Activity data'!AV556</f>
        <v>39003.963460893865</v>
      </c>
      <c r="AV35" s="45">
        <f>'[2]Activity data'!AW556</f>
        <v>39029.959867876263</v>
      </c>
      <c r="AW35" s="45">
        <f>'[2]Activity data'!AX556</f>
        <v>39055.956274858654</v>
      </c>
      <c r="AX35" s="45">
        <f>'[2]Activity data'!AY556</f>
        <v>39081.952681841045</v>
      </c>
      <c r="AY35" s="45">
        <f>'[2]Activity data'!AZ556</f>
        <v>39107.949088823443</v>
      </c>
      <c r="AZ35" s="45">
        <f>'[2]Activity data'!BA556</f>
        <v>39133.945495805834</v>
      </c>
      <c r="BA35" s="45">
        <f>'[2]Activity data'!BB556</f>
        <v>39159.941902788225</v>
      </c>
      <c r="BB35" s="45">
        <f>'[2]Activity data'!BC556</f>
        <v>39185.938309770623</v>
      </c>
      <c r="BC35" s="45">
        <f>'[2]Activity data'!BD556</f>
        <v>39211.934716753014</v>
      </c>
      <c r="BD35" s="45">
        <f>'[2]Activity data'!BE556</f>
        <v>39237.931123735405</v>
      </c>
      <c r="BE35" s="45">
        <f>'[2]Activity data'!BF556</f>
        <v>39263.927530717796</v>
      </c>
      <c r="BF35" s="45">
        <f>'[2]Activity data'!BG556</f>
        <v>39289.923937700187</v>
      </c>
      <c r="BG35" s="45">
        <f>'[2]Activity data'!BH556</f>
        <v>39315.920344682585</v>
      </c>
      <c r="BH35" s="45">
        <f>'[2]Activity data'!BI556</f>
        <v>39341.916751664976</v>
      </c>
      <c r="BI35" s="45">
        <f>'[2]Activity data'!BJ556</f>
        <v>39367.913158647367</v>
      </c>
      <c r="BJ35" s="45">
        <f>'[2]Activity data'!BK556</f>
        <v>39393.909565629765</v>
      </c>
      <c r="BK35" s="45">
        <f>'[2]Activity data'!BL556</f>
        <v>39419.905972612156</v>
      </c>
      <c r="BL35" s="45">
        <f>'[2]Activity data'!BM556</f>
        <v>39445.902379594547</v>
      </c>
      <c r="BM35" s="45">
        <f>'[2]Activity data'!BN556</f>
        <v>39471.898786576938</v>
      </c>
      <c r="BN35" s="45">
        <f>'[2]Activity data'!BO556</f>
        <v>39497.895193559336</v>
      </c>
      <c r="BO35" s="45">
        <f>'[2]Activity data'!BP556</f>
        <v>39523.891600541727</v>
      </c>
      <c r="BP35" s="45">
        <f>'[2]Activity data'!BQ556</f>
        <v>39549.888007524118</v>
      </c>
      <c r="BR35" s="23"/>
    </row>
    <row r="36" spans="1:72" x14ac:dyDescent="0.25">
      <c r="A36" t="str">
        <f>A34</f>
        <v>3C Aggregated and non-CO2 emissions on land</v>
      </c>
      <c r="B36" t="str">
        <f>B34</f>
        <v>3C1 Biomass burning (CH4)</v>
      </c>
      <c r="C36" t="str">
        <f>'IPCC Categories'!C62</f>
        <v>3C1d Biomass burning in Wetlands</v>
      </c>
      <c r="D36" t="s">
        <v>106</v>
      </c>
      <c r="E36" t="str">
        <f t="shared" si="8"/>
        <v>Wetlands - Burnt area</v>
      </c>
      <c r="F36" t="s">
        <v>366</v>
      </c>
      <c r="G36" t="s">
        <v>658</v>
      </c>
      <c r="H36" s="21">
        <v>85448.056571942725</v>
      </c>
      <c r="I36" s="21">
        <v>85448.056571942725</v>
      </c>
      <c r="J36" s="21">
        <v>85448.056571942725</v>
      </c>
      <c r="K36" s="21">
        <v>85448.056571942725</v>
      </c>
      <c r="L36" s="21">
        <v>85448.056571942725</v>
      </c>
      <c r="M36" s="21">
        <v>85448.056571942725</v>
      </c>
      <c r="N36" s="21">
        <v>85448.056571942725</v>
      </c>
      <c r="O36" s="21">
        <v>85448.056571942725</v>
      </c>
      <c r="P36" s="21">
        <v>85448.056571942725</v>
      </c>
      <c r="Q36" s="21">
        <v>85448.056571942725</v>
      </c>
      <c r="R36" s="21">
        <v>75590.795347182022</v>
      </c>
      <c r="S36" s="21">
        <v>91304.266541147488</v>
      </c>
      <c r="T36" s="21">
        <v>103348.95371185233</v>
      </c>
      <c r="U36" s="21">
        <v>84543.551328472182</v>
      </c>
      <c r="V36" s="21">
        <v>72452.715931059676</v>
      </c>
      <c r="W36" s="21">
        <v>107202.33064194373</v>
      </c>
      <c r="X36" s="21">
        <v>95157.643471238887</v>
      </c>
      <c r="Y36" s="21">
        <v>83828.253814503129</v>
      </c>
      <c r="Z36" s="21">
        <v>76444.537541274112</v>
      </c>
      <c r="AA36" s="21">
        <v>85858.775789641106</v>
      </c>
      <c r="AB36" s="21">
        <v>114912.98999999999</v>
      </c>
      <c r="AC36" s="21">
        <v>124110.54</v>
      </c>
      <c r="AD36" s="45">
        <f>'[2]Activity data'!AE557</f>
        <v>91537.108006573035</v>
      </c>
      <c r="AE36" s="45">
        <f>'[2]Activity data'!AF557</f>
        <v>91537.108006573035</v>
      </c>
      <c r="AF36" s="45">
        <f>'[2]Activity data'!AG557</f>
        <v>91537.108006573035</v>
      </c>
      <c r="AG36" s="45">
        <f>'[2]Activity data'!AH557</f>
        <v>91537.108006573035</v>
      </c>
      <c r="AH36" s="45">
        <f>'[2]Activity data'!AI557</f>
        <v>91537.108006573035</v>
      </c>
      <c r="AI36" s="45">
        <f>'[2]Activity data'!AJ557</f>
        <v>91537.108006573035</v>
      </c>
      <c r="AJ36" s="45">
        <f>'[2]Activity data'!AK557</f>
        <v>91537.108006573035</v>
      </c>
      <c r="AK36" s="45">
        <f>'[2]Activity data'!AL557</f>
        <v>91537.108006573035</v>
      </c>
      <c r="AL36" s="45">
        <f>'[2]Activity data'!AM557</f>
        <v>91537.108006573035</v>
      </c>
      <c r="AM36" s="45">
        <f>'[2]Activity data'!AN557</f>
        <v>91537.108006573035</v>
      </c>
      <c r="AN36" s="45">
        <f>'[2]Activity data'!AO557</f>
        <v>91537.108006573035</v>
      </c>
      <c r="AO36" s="45">
        <f>'[2]Activity data'!AP557</f>
        <v>91537.108006573035</v>
      </c>
      <c r="AP36" s="45">
        <f>'[2]Activity data'!AQ557</f>
        <v>91537.108006573035</v>
      </c>
      <c r="AQ36" s="45">
        <f>'[2]Activity data'!AR557</f>
        <v>91537.108006573035</v>
      </c>
      <c r="AR36" s="45">
        <f>'[2]Activity data'!AS557</f>
        <v>91537.108006573035</v>
      </c>
      <c r="AS36" s="45">
        <f>'[2]Activity data'!AT557</f>
        <v>91537.108006573035</v>
      </c>
      <c r="AT36" s="45">
        <f>'[2]Activity data'!AU557</f>
        <v>91537.108006573035</v>
      </c>
      <c r="AU36" s="45">
        <f>'[2]Activity data'!AV557</f>
        <v>91537.108006573035</v>
      </c>
      <c r="AV36" s="45">
        <f>'[2]Activity data'!AW557</f>
        <v>91537.108006573035</v>
      </c>
      <c r="AW36" s="45">
        <f>'[2]Activity data'!AX557</f>
        <v>91537.108006573035</v>
      </c>
      <c r="AX36" s="45">
        <f>'[2]Activity data'!AY557</f>
        <v>91537.108006573035</v>
      </c>
      <c r="AY36" s="45">
        <f>'[2]Activity data'!AZ557</f>
        <v>91537.108006573035</v>
      </c>
      <c r="AZ36" s="45">
        <f>'[2]Activity data'!BA557</f>
        <v>91537.108006573035</v>
      </c>
      <c r="BA36" s="45">
        <f>'[2]Activity data'!BB557</f>
        <v>91537.108006573035</v>
      </c>
      <c r="BB36" s="45">
        <f>'[2]Activity data'!BC557</f>
        <v>91537.108006573035</v>
      </c>
      <c r="BC36" s="45">
        <f>'[2]Activity data'!BD557</f>
        <v>91537.108006573035</v>
      </c>
      <c r="BD36" s="45">
        <f>'[2]Activity data'!BE557</f>
        <v>91537.108006573035</v>
      </c>
      <c r="BE36" s="45">
        <f>'[2]Activity data'!BF557</f>
        <v>91537.108006573035</v>
      </c>
      <c r="BF36" s="45">
        <f>'[2]Activity data'!BG557</f>
        <v>91537.108006573035</v>
      </c>
      <c r="BG36" s="45">
        <f>'[2]Activity data'!BH557</f>
        <v>91537.108006573035</v>
      </c>
      <c r="BH36" s="45">
        <f>'[2]Activity data'!BI557</f>
        <v>91537.108006573035</v>
      </c>
      <c r="BI36" s="45">
        <f>'[2]Activity data'!BJ557</f>
        <v>91537.108006573035</v>
      </c>
      <c r="BJ36" s="45">
        <f>'[2]Activity data'!BK557</f>
        <v>91537.108006573035</v>
      </c>
      <c r="BK36" s="45">
        <f>'[2]Activity data'!BL557</f>
        <v>91537.108006573035</v>
      </c>
      <c r="BL36" s="45">
        <f>'[2]Activity data'!BM557</f>
        <v>91537.108006573035</v>
      </c>
      <c r="BM36" s="45">
        <f>'[2]Activity data'!BN557</f>
        <v>91537.108006573035</v>
      </c>
      <c r="BN36" s="45">
        <f>'[2]Activity data'!BO557</f>
        <v>91537.108006573035</v>
      </c>
      <c r="BO36" s="45">
        <f>'[2]Activity data'!BP557</f>
        <v>91537.108006573035</v>
      </c>
      <c r="BP36" s="45">
        <f>'[2]Activity data'!BQ557</f>
        <v>91537.108006573035</v>
      </c>
      <c r="BR36" s="23"/>
    </row>
    <row r="37" spans="1:72" x14ac:dyDescent="0.25">
      <c r="A37" t="str">
        <f t="shared" ref="A37:B39" si="11">A36</f>
        <v>3C Aggregated and non-CO2 emissions on land</v>
      </c>
      <c r="B37" t="str">
        <f t="shared" si="11"/>
        <v>3C1 Biomass burning (CH4)</v>
      </c>
      <c r="C37" t="str">
        <f>'IPCC Categories'!C63</f>
        <v>3C1e Biomass burning in Settlements</v>
      </c>
      <c r="D37" t="s">
        <v>362</v>
      </c>
      <c r="E37" t="str">
        <f t="shared" si="8"/>
        <v>Settlements - Burnt area</v>
      </c>
      <c r="F37" t="s">
        <v>366</v>
      </c>
      <c r="G37" t="s">
        <v>659</v>
      </c>
      <c r="H37" s="21">
        <v>51833.688238067662</v>
      </c>
      <c r="I37" s="21">
        <v>51833.688238067662</v>
      </c>
      <c r="J37" s="21">
        <v>51833.688238067662</v>
      </c>
      <c r="K37" s="21">
        <v>51833.688238067662</v>
      </c>
      <c r="L37" s="21">
        <v>51833.688238067662</v>
      </c>
      <c r="M37" s="21">
        <v>51833.688238067662</v>
      </c>
      <c r="N37" s="21">
        <v>51833.688238067662</v>
      </c>
      <c r="O37" s="21">
        <v>51833.688238067662</v>
      </c>
      <c r="P37" s="21">
        <v>51833.688238067662</v>
      </c>
      <c r="Q37" s="21">
        <v>51833.688238067662</v>
      </c>
      <c r="R37" s="21">
        <v>56462.3553768481</v>
      </c>
      <c r="S37" s="21">
        <v>62530.847188908192</v>
      </c>
      <c r="T37" s="21">
        <v>55285.57559580222</v>
      </c>
      <c r="U37" s="21">
        <v>47694.192302388648</v>
      </c>
      <c r="V37" s="21">
        <v>37195.470726391148</v>
      </c>
      <c r="W37" s="21">
        <v>84220.513741518429</v>
      </c>
      <c r="X37" s="21">
        <v>73767.9403922286</v>
      </c>
      <c r="Y37" s="21">
        <v>81590.064819180581</v>
      </c>
      <c r="Z37" s="21">
        <v>50370.789451434168</v>
      </c>
      <c r="AA37" s="21">
        <v>60615.69578053942</v>
      </c>
      <c r="AB37" s="21">
        <v>45329.58</v>
      </c>
      <c r="AC37" s="21">
        <v>31595.4</v>
      </c>
      <c r="AD37" s="45">
        <f>'[2]Activity data'!AE558</f>
        <v>45569.714076613083</v>
      </c>
      <c r="AE37" s="45">
        <f>'[2]Activity data'!AF558</f>
        <v>45666.022187618808</v>
      </c>
      <c r="AF37" s="45">
        <f>'[2]Activity data'!AG558</f>
        <v>45762.330298624533</v>
      </c>
      <c r="AG37" s="45">
        <f>'[2]Activity data'!AH558</f>
        <v>45858.638409630257</v>
      </c>
      <c r="AH37" s="45">
        <f>'[2]Activity data'!AI558</f>
        <v>45954.946520635982</v>
      </c>
      <c r="AI37" s="45">
        <f>'[2]Activity data'!AJ558</f>
        <v>46051.254631641707</v>
      </c>
      <c r="AJ37" s="45">
        <f>'[2]Activity data'!AK558</f>
        <v>46147.562742647431</v>
      </c>
      <c r="AK37" s="45">
        <f>'[2]Activity data'!AL558</f>
        <v>46240.210276657112</v>
      </c>
      <c r="AL37" s="45">
        <f>'[2]Activity data'!AM558</f>
        <v>46332.857810666792</v>
      </c>
      <c r="AM37" s="45">
        <f>'[2]Activity data'!AN558</f>
        <v>46425.505344676487</v>
      </c>
      <c r="AN37" s="45">
        <f>'[2]Activity data'!AO558</f>
        <v>46518.152878686167</v>
      </c>
      <c r="AO37" s="45">
        <f>'[2]Activity data'!AP558</f>
        <v>46610.800412695848</v>
      </c>
      <c r="AP37" s="45">
        <f>'[2]Activity data'!AQ558</f>
        <v>46703.447946705528</v>
      </c>
      <c r="AQ37" s="45">
        <f>'[2]Activity data'!AR558</f>
        <v>46796.095480715208</v>
      </c>
      <c r="AR37" s="45">
        <f>'[2]Activity data'!AS558</f>
        <v>46888.743014724896</v>
      </c>
      <c r="AS37" s="45">
        <f>'[2]Activity data'!AT558</f>
        <v>46981.390548734576</v>
      </c>
      <c r="AT37" s="45">
        <f>'[2]Activity data'!AU558</f>
        <v>47074.038082744257</v>
      </c>
      <c r="AU37" s="45">
        <f>'[2]Activity data'!AV558</f>
        <v>47166.685616753937</v>
      </c>
      <c r="AV37" s="45">
        <f>'[2]Activity data'!AW558</f>
        <v>47259.333150763618</v>
      </c>
      <c r="AW37" s="45">
        <f>'[2]Activity data'!AX558</f>
        <v>47351.980684773305</v>
      </c>
      <c r="AX37" s="45">
        <f>'[2]Activity data'!AY558</f>
        <v>47444.628218782986</v>
      </c>
      <c r="AY37" s="45">
        <f>'[2]Activity data'!AZ558</f>
        <v>47537.275752792666</v>
      </c>
      <c r="AZ37" s="45">
        <f>'[2]Activity data'!BA558</f>
        <v>47629.923286802346</v>
      </c>
      <c r="BA37" s="45">
        <f>'[2]Activity data'!BB558</f>
        <v>47722.570820812034</v>
      </c>
      <c r="BB37" s="45">
        <f>'[2]Activity data'!BC558</f>
        <v>47815.218354821714</v>
      </c>
      <c r="BC37" s="45">
        <f>'[2]Activity data'!BD558</f>
        <v>47907.865888831395</v>
      </c>
      <c r="BD37" s="45">
        <f>'[2]Activity data'!BE558</f>
        <v>48000.513422841083</v>
      </c>
      <c r="BE37" s="45">
        <f>'[2]Activity data'!BF558</f>
        <v>48093.160956850763</v>
      </c>
      <c r="BF37" s="45">
        <f>'[2]Activity data'!BG558</f>
        <v>48185.808490860443</v>
      </c>
      <c r="BG37" s="45">
        <f>'[2]Activity data'!BH558</f>
        <v>48278.456024870131</v>
      </c>
      <c r="BH37" s="45">
        <f>'[2]Activity data'!BI558</f>
        <v>48371.103558879811</v>
      </c>
      <c r="BI37" s="45">
        <f>'[2]Activity data'!BJ558</f>
        <v>48463.751092889499</v>
      </c>
      <c r="BJ37" s="45">
        <f>'[2]Activity data'!BK558</f>
        <v>48556.398626899179</v>
      </c>
      <c r="BK37" s="45">
        <f>'[2]Activity data'!BL558</f>
        <v>48649.04616090886</v>
      </c>
      <c r="BL37" s="45">
        <f>'[2]Activity data'!BM558</f>
        <v>48741.693694918547</v>
      </c>
      <c r="BM37" s="45">
        <f>'[2]Activity data'!BN558</f>
        <v>48834.341228928228</v>
      </c>
      <c r="BN37" s="45">
        <f>'[2]Activity data'!BO558</f>
        <v>48926.988762937908</v>
      </c>
      <c r="BO37" s="45">
        <f>'[2]Activity data'!BP558</f>
        <v>49019.636296947596</v>
      </c>
      <c r="BP37" s="45">
        <f>'[2]Activity data'!BQ558</f>
        <v>49112.283830957276</v>
      </c>
      <c r="BR37" s="23"/>
    </row>
    <row r="38" spans="1:72" x14ac:dyDescent="0.25">
      <c r="A38" t="str">
        <f t="shared" si="11"/>
        <v>3C Aggregated and non-CO2 emissions on land</v>
      </c>
      <c r="B38" t="str">
        <f t="shared" si="11"/>
        <v>3C1 Biomass burning (CH4)</v>
      </c>
      <c r="C38" t="str">
        <f>C37</f>
        <v>3C1e Biomass burning in Settlements</v>
      </c>
      <c r="D38" t="s">
        <v>363</v>
      </c>
      <c r="E38" t="str">
        <f t="shared" si="8"/>
        <v>Mines - Burnt area</v>
      </c>
      <c r="F38" t="s">
        <v>366</v>
      </c>
      <c r="G38" t="s">
        <v>660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45">
        <f>'[2]Activity data'!AE559</f>
        <v>0</v>
      </c>
      <c r="AE38" s="45">
        <f>'[2]Activity data'!AF559</f>
        <v>0</v>
      </c>
      <c r="AF38" s="45">
        <f>'[2]Activity data'!AG559</f>
        <v>0</v>
      </c>
      <c r="AG38" s="45">
        <f>'[2]Activity data'!AH559</f>
        <v>0</v>
      </c>
      <c r="AH38" s="45">
        <f>'[2]Activity data'!AI559</f>
        <v>0</v>
      </c>
      <c r="AI38" s="45">
        <f>'[2]Activity data'!AJ559</f>
        <v>0</v>
      </c>
      <c r="AJ38" s="45">
        <f>'[2]Activity data'!AK559</f>
        <v>0</v>
      </c>
      <c r="AK38" s="45">
        <f>'[2]Activity data'!AL559</f>
        <v>0</v>
      </c>
      <c r="AL38" s="45">
        <f>'[2]Activity data'!AM559</f>
        <v>0</v>
      </c>
      <c r="AM38" s="45">
        <f>'[2]Activity data'!AN559</f>
        <v>0</v>
      </c>
      <c r="AN38" s="45">
        <f>'[2]Activity data'!AO559</f>
        <v>0</v>
      </c>
      <c r="AO38" s="45">
        <f>'[2]Activity data'!AP559</f>
        <v>0</v>
      </c>
      <c r="AP38" s="45">
        <f>'[2]Activity data'!AQ559</f>
        <v>0</v>
      </c>
      <c r="AQ38" s="45">
        <f>'[2]Activity data'!AR559</f>
        <v>0</v>
      </c>
      <c r="AR38" s="45">
        <f>'[2]Activity data'!AS559</f>
        <v>0</v>
      </c>
      <c r="AS38" s="45">
        <f>'[2]Activity data'!AT559</f>
        <v>0</v>
      </c>
      <c r="AT38" s="45">
        <f>'[2]Activity data'!AU559</f>
        <v>0</v>
      </c>
      <c r="AU38" s="45">
        <f>'[2]Activity data'!AV559</f>
        <v>0</v>
      </c>
      <c r="AV38" s="45">
        <f>'[2]Activity data'!AW559</f>
        <v>0</v>
      </c>
      <c r="AW38" s="45">
        <f>'[2]Activity data'!AX559</f>
        <v>0</v>
      </c>
      <c r="AX38" s="45">
        <f>'[2]Activity data'!AY559</f>
        <v>0</v>
      </c>
      <c r="AY38" s="45">
        <f>'[2]Activity data'!AZ559</f>
        <v>0</v>
      </c>
      <c r="AZ38" s="45">
        <f>'[2]Activity data'!BA559</f>
        <v>0</v>
      </c>
      <c r="BA38" s="45">
        <f>'[2]Activity data'!BB559</f>
        <v>0</v>
      </c>
      <c r="BB38" s="45">
        <f>'[2]Activity data'!BC559</f>
        <v>0</v>
      </c>
      <c r="BC38" s="45">
        <f>'[2]Activity data'!BD559</f>
        <v>0</v>
      </c>
      <c r="BD38" s="45">
        <f>'[2]Activity data'!BE559</f>
        <v>0</v>
      </c>
      <c r="BE38" s="45">
        <f>'[2]Activity data'!BF559</f>
        <v>0</v>
      </c>
      <c r="BF38" s="45">
        <f>'[2]Activity data'!BG559</f>
        <v>0</v>
      </c>
      <c r="BG38" s="45">
        <f>'[2]Activity data'!BH559</f>
        <v>0</v>
      </c>
      <c r="BH38" s="45">
        <f>'[2]Activity data'!BI559</f>
        <v>0</v>
      </c>
      <c r="BI38" s="45">
        <f>'[2]Activity data'!BJ559</f>
        <v>0</v>
      </c>
      <c r="BJ38" s="45">
        <f>'[2]Activity data'!BK559</f>
        <v>0</v>
      </c>
      <c r="BK38" s="45">
        <f>'[2]Activity data'!BL559</f>
        <v>0</v>
      </c>
      <c r="BL38" s="45">
        <f>'[2]Activity data'!BM559</f>
        <v>0</v>
      </c>
      <c r="BM38" s="45">
        <f>'[2]Activity data'!BN559</f>
        <v>0</v>
      </c>
      <c r="BN38" s="45">
        <f>'[2]Activity data'!BO559</f>
        <v>0</v>
      </c>
      <c r="BO38" s="45">
        <f>'[2]Activity data'!BP559</f>
        <v>0</v>
      </c>
      <c r="BP38" s="45">
        <f>'[2]Activity data'!BQ559</f>
        <v>0</v>
      </c>
      <c r="BR38" s="23"/>
    </row>
    <row r="39" spans="1:72" x14ac:dyDescent="0.25">
      <c r="A39" t="str">
        <f t="shared" si="11"/>
        <v>3C Aggregated and non-CO2 emissions on land</v>
      </c>
      <c r="B39" t="str">
        <f t="shared" si="11"/>
        <v>3C1 Biomass burning (CH4)</v>
      </c>
      <c r="C39" t="str">
        <f>'IPCC Categories'!C64</f>
        <v>3C1f Biomass burning in Other lands</v>
      </c>
      <c r="D39" t="s">
        <v>364</v>
      </c>
      <c r="E39" t="str">
        <f t="shared" si="8"/>
        <v>Bare ground - Burnt area</v>
      </c>
      <c r="F39" t="s">
        <v>366</v>
      </c>
      <c r="G39" t="s">
        <v>661</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45">
        <f>'[2]Activity data'!AE560</f>
        <v>0</v>
      </c>
      <c r="AE39" s="45">
        <f>'[2]Activity data'!AF560</f>
        <v>0</v>
      </c>
      <c r="AF39" s="45">
        <f>'[2]Activity data'!AG560</f>
        <v>0</v>
      </c>
      <c r="AG39" s="45">
        <f>'[2]Activity data'!AH560</f>
        <v>0</v>
      </c>
      <c r="AH39" s="45">
        <f>'[2]Activity data'!AI560</f>
        <v>0</v>
      </c>
      <c r="AI39" s="45">
        <f>'[2]Activity data'!AJ560</f>
        <v>0</v>
      </c>
      <c r="AJ39" s="45">
        <f>'[2]Activity data'!AK560</f>
        <v>0</v>
      </c>
      <c r="AK39" s="45">
        <f>'[2]Activity data'!AL560</f>
        <v>0</v>
      </c>
      <c r="AL39" s="45">
        <f>'[2]Activity data'!AM560</f>
        <v>0</v>
      </c>
      <c r="AM39" s="45">
        <f>'[2]Activity data'!AN560</f>
        <v>0</v>
      </c>
      <c r="AN39" s="45">
        <f>'[2]Activity data'!AO560</f>
        <v>0</v>
      </c>
      <c r="AO39" s="45">
        <f>'[2]Activity data'!AP560</f>
        <v>0</v>
      </c>
      <c r="AP39" s="45">
        <f>'[2]Activity data'!AQ560</f>
        <v>0</v>
      </c>
      <c r="AQ39" s="45">
        <f>'[2]Activity data'!AR560</f>
        <v>0</v>
      </c>
      <c r="AR39" s="45">
        <f>'[2]Activity data'!AS560</f>
        <v>0</v>
      </c>
      <c r="AS39" s="45">
        <f>'[2]Activity data'!AT560</f>
        <v>0</v>
      </c>
      <c r="AT39" s="45">
        <f>'[2]Activity data'!AU560</f>
        <v>0</v>
      </c>
      <c r="AU39" s="45">
        <f>'[2]Activity data'!AV560</f>
        <v>0</v>
      </c>
      <c r="AV39" s="45">
        <f>'[2]Activity data'!AW560</f>
        <v>0</v>
      </c>
      <c r="AW39" s="45">
        <f>'[2]Activity data'!AX560</f>
        <v>0</v>
      </c>
      <c r="AX39" s="45">
        <f>'[2]Activity data'!AY560</f>
        <v>0</v>
      </c>
      <c r="AY39" s="45">
        <f>'[2]Activity data'!AZ560</f>
        <v>0</v>
      </c>
      <c r="AZ39" s="45">
        <f>'[2]Activity data'!BA560</f>
        <v>0</v>
      </c>
      <c r="BA39" s="45">
        <f>'[2]Activity data'!BB560</f>
        <v>0</v>
      </c>
      <c r="BB39" s="45">
        <f>'[2]Activity data'!BC560</f>
        <v>0</v>
      </c>
      <c r="BC39" s="45">
        <f>'[2]Activity data'!BD560</f>
        <v>0</v>
      </c>
      <c r="BD39" s="45">
        <f>'[2]Activity data'!BE560</f>
        <v>0</v>
      </c>
      <c r="BE39" s="45">
        <f>'[2]Activity data'!BF560</f>
        <v>0</v>
      </c>
      <c r="BF39" s="45">
        <f>'[2]Activity data'!BG560</f>
        <v>0</v>
      </c>
      <c r="BG39" s="45">
        <f>'[2]Activity data'!BH560</f>
        <v>0</v>
      </c>
      <c r="BH39" s="45">
        <f>'[2]Activity data'!BI560</f>
        <v>0</v>
      </c>
      <c r="BI39" s="45">
        <f>'[2]Activity data'!BJ560</f>
        <v>0</v>
      </c>
      <c r="BJ39" s="45">
        <f>'[2]Activity data'!BK560</f>
        <v>0</v>
      </c>
      <c r="BK39" s="45">
        <f>'[2]Activity data'!BL560</f>
        <v>0</v>
      </c>
      <c r="BL39" s="45">
        <f>'[2]Activity data'!BM560</f>
        <v>0</v>
      </c>
      <c r="BM39" s="45">
        <f>'[2]Activity data'!BN560</f>
        <v>0</v>
      </c>
      <c r="BN39" s="45">
        <f>'[2]Activity data'!BO560</f>
        <v>0</v>
      </c>
      <c r="BO39" s="45">
        <f>'[2]Activity data'!BP560</f>
        <v>0</v>
      </c>
      <c r="BP39" s="45">
        <f>'[2]Activity data'!BQ560</f>
        <v>0</v>
      </c>
      <c r="BR39" s="23"/>
    </row>
    <row r="40" spans="1:72" ht="18.75" customHeight="1" x14ac:dyDescent="0.25">
      <c r="A40" s="20" t="s">
        <v>373</v>
      </c>
      <c r="B40" s="20"/>
      <c r="C40" s="20"/>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S40" s="16"/>
      <c r="BT40" s="15"/>
    </row>
    <row r="41" spans="1:72" x14ac:dyDescent="0.25">
      <c r="A41" t="str">
        <f>'IPCC Categories'!A59</f>
        <v>3C Aggregated and non-CO2 emissions on land</v>
      </c>
      <c r="D41" t="s">
        <v>372</v>
      </c>
      <c r="F41" t="s">
        <v>366</v>
      </c>
      <c r="H41" s="21">
        <v>4163000</v>
      </c>
      <c r="I41" s="21">
        <v>3816000</v>
      </c>
      <c r="J41" s="21">
        <v>4173000</v>
      </c>
      <c r="K41" s="21">
        <v>4377000</v>
      </c>
      <c r="L41" s="21">
        <v>4661000</v>
      </c>
      <c r="M41" s="21">
        <v>3526000</v>
      </c>
      <c r="N41" s="21">
        <v>3761000</v>
      </c>
      <c r="O41" s="21">
        <v>4023000</v>
      </c>
      <c r="P41" s="21">
        <v>3560000</v>
      </c>
      <c r="Q41" s="21">
        <v>3567000</v>
      </c>
      <c r="R41" s="21">
        <v>4013000</v>
      </c>
      <c r="S41" s="21">
        <v>3189000</v>
      </c>
      <c r="T41" s="21">
        <v>3533000</v>
      </c>
      <c r="U41" s="21">
        <v>3651000</v>
      </c>
      <c r="V41" s="21">
        <v>3204000</v>
      </c>
      <c r="W41" s="21">
        <v>3223000</v>
      </c>
      <c r="X41" s="21">
        <v>2032000</v>
      </c>
      <c r="Y41" s="21">
        <v>2897000</v>
      </c>
      <c r="Z41" s="21">
        <v>3297000</v>
      </c>
      <c r="AA41" s="21">
        <v>2896000</v>
      </c>
      <c r="AB41" s="21">
        <v>3263000</v>
      </c>
      <c r="AC41" s="21">
        <v>2859000</v>
      </c>
      <c r="AD41" s="22">
        <f>((Relationships!$AI$34*'Intermediate calculations'!Y37)+Relationships!$AJ$34)</f>
        <v>2940961.6346233371</v>
      </c>
      <c r="AE41" s="22">
        <f>((Relationships!$AI$34*'Intermediate calculations'!Z37)+Relationships!$AJ$34)</f>
        <v>2913089.7958131786</v>
      </c>
      <c r="AF41" s="22">
        <f>((Relationships!$AI$34*'Intermediate calculations'!AA37)+Relationships!$AJ$34)</f>
        <v>2884964.8363180123</v>
      </c>
      <c r="AG41" s="22">
        <f>((Relationships!$AI$34*'Intermediate calculations'!AB37)+Relationships!$AJ$34)</f>
        <v>2856584.4573990884</v>
      </c>
      <c r="AH41" s="22">
        <f>((Relationships!$AI$34*'Intermediate calculations'!AC37)+Relationships!$AJ$34)</f>
        <v>2825653.1708134748</v>
      </c>
      <c r="AI41" s="22">
        <f>((Relationships!$AI$34*'Intermediate calculations'!AD37)+Relationships!$AJ$34)</f>
        <v>2794721.8842278621</v>
      </c>
      <c r="AJ41" s="22">
        <f>((Relationships!$AI$34*'Intermediate calculations'!AE37)+Relationships!$AJ$34)</f>
        <v>2763790.5976422494</v>
      </c>
      <c r="AK41" s="22">
        <f>((Relationships!$AI$34*'Intermediate calculations'!AF37)+Relationships!$AJ$34)</f>
        <v>2732859.3110566358</v>
      </c>
      <c r="AL41" s="22">
        <f>((Relationships!$AI$34*'Intermediate calculations'!AG37)+Relationships!$AJ$34)</f>
        <v>2701928.0244710231</v>
      </c>
      <c r="AM41" s="22">
        <f>((Relationships!$AI$34*'Intermediate calculations'!AH37)+Relationships!$AJ$34)</f>
        <v>2670575.8279871615</v>
      </c>
      <c r="AN41" s="22">
        <f>((Relationships!$AI$34*'Intermediate calculations'!AI37)+Relationships!$AJ$34)</f>
        <v>2639223.6320820106</v>
      </c>
      <c r="AO41" s="22">
        <f>((Relationships!$AI$34*'Intermediate calculations'!AJ37)+Relationships!$AJ$34)</f>
        <v>2607871.4361768612</v>
      </c>
      <c r="AP41" s="22">
        <f>AO41</f>
        <v>2607871.4361768612</v>
      </c>
      <c r="AQ41" s="22">
        <f t="shared" ref="AQ41:BP41" si="12">AP41</f>
        <v>2607871.4361768612</v>
      </c>
      <c r="AR41" s="22">
        <f t="shared" si="12"/>
        <v>2607871.4361768612</v>
      </c>
      <c r="AS41" s="22">
        <f t="shared" si="12"/>
        <v>2607871.4361768612</v>
      </c>
      <c r="AT41" s="22">
        <f t="shared" si="12"/>
        <v>2607871.4361768612</v>
      </c>
      <c r="AU41" s="22">
        <f t="shared" si="12"/>
        <v>2607871.4361768612</v>
      </c>
      <c r="AV41" s="22">
        <f t="shared" si="12"/>
        <v>2607871.4361768612</v>
      </c>
      <c r="AW41" s="22">
        <f t="shared" si="12"/>
        <v>2607871.4361768612</v>
      </c>
      <c r="AX41" s="22">
        <f t="shared" si="12"/>
        <v>2607871.4361768612</v>
      </c>
      <c r="AY41" s="22">
        <f t="shared" si="12"/>
        <v>2607871.4361768612</v>
      </c>
      <c r="AZ41" s="22">
        <f t="shared" si="12"/>
        <v>2607871.4361768612</v>
      </c>
      <c r="BA41" s="22">
        <f t="shared" si="12"/>
        <v>2607871.4361768612</v>
      </c>
      <c r="BB41" s="22">
        <f t="shared" si="12"/>
        <v>2607871.4361768612</v>
      </c>
      <c r="BC41" s="22">
        <f t="shared" si="12"/>
        <v>2607871.4361768612</v>
      </c>
      <c r="BD41" s="22">
        <f t="shared" si="12"/>
        <v>2607871.4361768612</v>
      </c>
      <c r="BE41" s="22">
        <f t="shared" si="12"/>
        <v>2607871.4361768612</v>
      </c>
      <c r="BF41" s="22">
        <f t="shared" si="12"/>
        <v>2607871.4361768612</v>
      </c>
      <c r="BG41" s="22">
        <f t="shared" si="12"/>
        <v>2607871.4361768612</v>
      </c>
      <c r="BH41" s="22">
        <f t="shared" si="12"/>
        <v>2607871.4361768612</v>
      </c>
      <c r="BI41" s="22">
        <f t="shared" si="12"/>
        <v>2607871.4361768612</v>
      </c>
      <c r="BJ41" s="22">
        <f t="shared" si="12"/>
        <v>2607871.4361768612</v>
      </c>
      <c r="BK41" s="22">
        <f t="shared" si="12"/>
        <v>2607871.4361768612</v>
      </c>
      <c r="BL41" s="22">
        <f t="shared" si="12"/>
        <v>2607871.4361768612</v>
      </c>
      <c r="BM41" s="22">
        <f t="shared" si="12"/>
        <v>2607871.4361768612</v>
      </c>
      <c r="BN41" s="22">
        <f t="shared" si="12"/>
        <v>2607871.4361768612</v>
      </c>
      <c r="BO41" s="22">
        <f t="shared" si="12"/>
        <v>2607871.4361768612</v>
      </c>
      <c r="BP41" s="22">
        <f t="shared" si="12"/>
        <v>2607871.4361768612</v>
      </c>
      <c r="BR41" s="23"/>
    </row>
    <row r="42" spans="1:72" x14ac:dyDescent="0.25">
      <c r="A42" t="str">
        <f>A41</f>
        <v>3C Aggregated and non-CO2 emissions on land</v>
      </c>
      <c r="D42" t="s">
        <v>375</v>
      </c>
      <c r="F42" t="s">
        <v>366</v>
      </c>
      <c r="H42" s="21">
        <v>1563000</v>
      </c>
      <c r="I42" s="21">
        <v>1436000</v>
      </c>
      <c r="J42" s="21">
        <v>750000</v>
      </c>
      <c r="K42" s="21">
        <v>1075000</v>
      </c>
      <c r="L42" s="21">
        <v>1048000</v>
      </c>
      <c r="M42" s="21">
        <v>1363000</v>
      </c>
      <c r="N42" s="21">
        <v>1294000</v>
      </c>
      <c r="O42" s="21">
        <v>1383000</v>
      </c>
      <c r="P42" s="21">
        <v>745000</v>
      </c>
      <c r="Q42" s="21">
        <v>718000</v>
      </c>
      <c r="R42" s="21">
        <v>934000</v>
      </c>
      <c r="S42" s="21">
        <v>974000</v>
      </c>
      <c r="T42" s="21">
        <v>941000</v>
      </c>
      <c r="U42" s="21">
        <v>748000</v>
      </c>
      <c r="V42" s="21">
        <v>830000</v>
      </c>
      <c r="W42" s="21">
        <v>805000</v>
      </c>
      <c r="X42" s="21">
        <v>765000</v>
      </c>
      <c r="Y42" s="21">
        <v>632000</v>
      </c>
      <c r="Z42" s="21">
        <v>748000</v>
      </c>
      <c r="AA42" s="21">
        <v>642000</v>
      </c>
      <c r="AB42" s="21">
        <v>558000</v>
      </c>
      <c r="AC42" s="21">
        <v>511000</v>
      </c>
      <c r="AD42" s="22">
        <f t="shared" ref="AD42" si="13">AC42</f>
        <v>511000</v>
      </c>
      <c r="AE42" s="22">
        <f t="shared" ref="AE42" si="14">AD42</f>
        <v>511000</v>
      </c>
      <c r="AF42" s="22">
        <f t="shared" ref="AF42" si="15">AE42</f>
        <v>511000</v>
      </c>
      <c r="AG42" s="22">
        <f t="shared" ref="AG42" si="16">AF42</f>
        <v>511000</v>
      </c>
      <c r="AH42" s="22">
        <f t="shared" ref="AH42" si="17">AG42</f>
        <v>511000</v>
      </c>
      <c r="AI42" s="22">
        <f t="shared" ref="AI42" si="18">AH42</f>
        <v>511000</v>
      </c>
      <c r="AJ42" s="22">
        <f t="shared" ref="AF42:BP43" si="19">AI42</f>
        <v>511000</v>
      </c>
      <c r="AK42" s="22">
        <f t="shared" si="19"/>
        <v>511000</v>
      </c>
      <c r="AL42" s="22">
        <f t="shared" si="19"/>
        <v>511000</v>
      </c>
      <c r="AM42" s="22">
        <f t="shared" si="19"/>
        <v>511000</v>
      </c>
      <c r="AN42" s="22">
        <f t="shared" si="19"/>
        <v>511000</v>
      </c>
      <c r="AO42" s="22">
        <f t="shared" si="19"/>
        <v>511000</v>
      </c>
      <c r="AP42" s="22">
        <f t="shared" si="19"/>
        <v>511000</v>
      </c>
      <c r="AQ42" s="22">
        <f t="shared" si="19"/>
        <v>511000</v>
      </c>
      <c r="AR42" s="22">
        <f t="shared" si="19"/>
        <v>511000</v>
      </c>
      <c r="AS42" s="22">
        <f t="shared" si="19"/>
        <v>511000</v>
      </c>
      <c r="AT42" s="22">
        <f t="shared" si="19"/>
        <v>511000</v>
      </c>
      <c r="AU42" s="22">
        <f t="shared" si="19"/>
        <v>511000</v>
      </c>
      <c r="AV42" s="22">
        <f t="shared" si="19"/>
        <v>511000</v>
      </c>
      <c r="AW42" s="22">
        <f t="shared" si="19"/>
        <v>511000</v>
      </c>
      <c r="AX42" s="22">
        <f t="shared" si="19"/>
        <v>511000</v>
      </c>
      <c r="AY42" s="22">
        <f t="shared" si="19"/>
        <v>511000</v>
      </c>
      <c r="AZ42" s="22">
        <f t="shared" si="19"/>
        <v>511000</v>
      </c>
      <c r="BA42" s="22">
        <f t="shared" si="19"/>
        <v>511000</v>
      </c>
      <c r="BB42" s="22">
        <f t="shared" si="19"/>
        <v>511000</v>
      </c>
      <c r="BC42" s="22">
        <f t="shared" si="19"/>
        <v>511000</v>
      </c>
      <c r="BD42" s="22">
        <f t="shared" si="19"/>
        <v>511000</v>
      </c>
      <c r="BE42" s="22">
        <f t="shared" si="19"/>
        <v>511000</v>
      </c>
      <c r="BF42" s="22">
        <f t="shared" si="19"/>
        <v>511000</v>
      </c>
      <c r="BG42" s="22">
        <f t="shared" si="19"/>
        <v>511000</v>
      </c>
      <c r="BH42" s="22">
        <f t="shared" si="19"/>
        <v>511000</v>
      </c>
      <c r="BI42" s="22">
        <f t="shared" si="19"/>
        <v>511000</v>
      </c>
      <c r="BJ42" s="22">
        <f t="shared" si="19"/>
        <v>511000</v>
      </c>
      <c r="BK42" s="22">
        <f t="shared" si="19"/>
        <v>511000</v>
      </c>
      <c r="BL42" s="22">
        <f t="shared" si="19"/>
        <v>511000</v>
      </c>
      <c r="BM42" s="22">
        <f t="shared" si="19"/>
        <v>511000</v>
      </c>
      <c r="BN42" s="22">
        <f t="shared" si="19"/>
        <v>511000</v>
      </c>
      <c r="BO42" s="22">
        <f t="shared" si="19"/>
        <v>511000</v>
      </c>
      <c r="BP42" s="22">
        <f t="shared" si="19"/>
        <v>511000</v>
      </c>
      <c r="BR42" s="23"/>
    </row>
    <row r="43" spans="1:72" x14ac:dyDescent="0.25">
      <c r="A43" t="str">
        <f>A42</f>
        <v>3C Aggregated and non-CO2 emissions on land</v>
      </c>
      <c r="D43" t="s">
        <v>377</v>
      </c>
      <c r="F43" t="s">
        <v>366</v>
      </c>
      <c r="H43" s="21">
        <v>341000</v>
      </c>
      <c r="I43" s="21">
        <v>302000</v>
      </c>
      <c r="J43" s="21">
        <v>118000</v>
      </c>
      <c r="K43" s="21">
        <v>515368</v>
      </c>
      <c r="L43" s="21">
        <v>520185</v>
      </c>
      <c r="M43" s="21">
        <v>290557</v>
      </c>
      <c r="N43" s="21">
        <v>535839</v>
      </c>
      <c r="O43" s="21">
        <v>433371</v>
      </c>
      <c r="P43" s="21">
        <v>358469</v>
      </c>
      <c r="Q43" s="21">
        <v>223530</v>
      </c>
      <c r="R43" s="21">
        <v>142000</v>
      </c>
      <c r="S43" s="21">
        <v>88000</v>
      </c>
      <c r="T43" s="21">
        <v>75000</v>
      </c>
      <c r="U43" s="21">
        <v>95000</v>
      </c>
      <c r="V43" s="21">
        <v>130000</v>
      </c>
      <c r="W43" s="21">
        <v>86000</v>
      </c>
      <c r="X43" s="21">
        <v>37000</v>
      </c>
      <c r="Y43" s="21">
        <v>69000</v>
      </c>
      <c r="Z43" s="21">
        <v>87000</v>
      </c>
      <c r="AA43" s="21">
        <v>86000</v>
      </c>
      <c r="AB43" s="21">
        <v>87000</v>
      </c>
      <c r="AC43" s="21">
        <v>69000</v>
      </c>
      <c r="AD43" s="22">
        <f>((Relationships!$AI$37*'Intermediate calculations'!Y43)+Relationships!$AJ$37)</f>
        <v>76621.48501275426</v>
      </c>
      <c r="AE43" s="22">
        <f>((Relationships!$AI$37*'Intermediate calculations'!Z43)+Relationships!$AJ$37)</f>
        <v>70016.289446477531</v>
      </c>
      <c r="AF43" s="22">
        <f>((Relationships!$AI$37*'Intermediate calculations'!AA43)+Relationships!$AJ$37)</f>
        <v>66120.112329026262</v>
      </c>
      <c r="AG43" s="22">
        <f>((Relationships!$AI$37*'Intermediate calculations'!AB43)+Relationships!$AJ$37)</f>
        <v>65136.723022507533</v>
      </c>
      <c r="AH43" s="22">
        <f>((Relationships!$AI$37*'Intermediate calculations'!AC43)+Relationships!$AJ$37)</f>
        <v>66970.10339382237</v>
      </c>
      <c r="AI43" s="22">
        <f>((Relationships!$AI$37*'Intermediate calculations'!AD43)+Relationships!$AJ$37)</f>
        <v>66782.783514215669</v>
      </c>
      <c r="AJ43" s="22">
        <f>((Relationships!$AI$37*'Intermediate calculations'!AE43)+Relationships!$AJ$37)</f>
        <v>67415.17256094281</v>
      </c>
      <c r="AK43" s="22">
        <f>((Relationships!$AI$37*'Intermediate calculations'!AF43)+Relationships!$AJ$37)</f>
        <v>68817.211211891714</v>
      </c>
      <c r="AL43" s="22">
        <f>((Relationships!$AI$37*'Intermediate calculations'!AG43)+Relationships!$AJ$37)</f>
        <v>113031.79491260969</v>
      </c>
      <c r="AM43" s="22">
        <f>((Relationships!$AI$37*'Intermediate calculations'!AH43)+Relationships!$AJ$37)</f>
        <v>108131.41635589449</v>
      </c>
      <c r="AN43" s="22">
        <f>((Relationships!$AI$37*'Intermediate calculations'!AI43)+Relationships!$AJ$37)</f>
        <v>103666.23780203336</v>
      </c>
      <c r="AO43" s="22">
        <f>((Relationships!$AI$37*'Intermediate calculations'!AJ43)+Relationships!$AJ$37)</f>
        <v>99103.36873053528</v>
      </c>
      <c r="AP43" s="22">
        <f>((Relationships!$AI$37*'Intermediate calculations'!AK43)+Relationships!$AJ$37)</f>
        <v>94915.146286685354</v>
      </c>
      <c r="AQ43" s="22">
        <f>((Relationships!$AI$37*'Intermediate calculations'!AL43)+Relationships!$AJ$37)</f>
        <v>90292.372449138231</v>
      </c>
      <c r="AR43" s="22">
        <f>((Relationships!$AI$37*'Intermediate calculations'!AM43)+Relationships!$AJ$37)</f>
        <v>84181.403900333084</v>
      </c>
      <c r="AS43" s="22">
        <f>((Relationships!$AI$37*'Intermediate calculations'!AN43)+Relationships!$AJ$37)</f>
        <v>78185.654947405739</v>
      </c>
      <c r="AT43" s="22">
        <f>((Relationships!$AI$37*'Intermediate calculations'!AO43)+Relationships!$AJ$37)</f>
        <v>71601.700644158482</v>
      </c>
      <c r="AU43" s="22">
        <f>((Relationships!$AI$37*'Intermediate calculations'!AP43)+Relationships!$AJ$37)</f>
        <v>64580.982913233456</v>
      </c>
      <c r="AV43" s="22">
        <f>((Relationships!$AI$37*'Intermediate calculations'!AQ43)+Relationships!$AJ$37)</f>
        <v>57083.637237985342</v>
      </c>
      <c r="AW43" s="22">
        <f>AV43</f>
        <v>57083.637237985342</v>
      </c>
      <c r="AX43" s="22">
        <f t="shared" si="19"/>
        <v>57083.637237985342</v>
      </c>
      <c r="AY43" s="22">
        <f t="shared" si="19"/>
        <v>57083.637237985342</v>
      </c>
      <c r="AZ43" s="22">
        <f t="shared" si="19"/>
        <v>57083.637237985342</v>
      </c>
      <c r="BA43" s="22">
        <f t="shared" si="19"/>
        <v>57083.637237985342</v>
      </c>
      <c r="BB43" s="22">
        <f t="shared" si="19"/>
        <v>57083.637237985342</v>
      </c>
      <c r="BC43" s="22">
        <f t="shared" si="19"/>
        <v>57083.637237985342</v>
      </c>
      <c r="BD43" s="22">
        <f t="shared" si="19"/>
        <v>57083.637237985342</v>
      </c>
      <c r="BE43" s="22">
        <f t="shared" si="19"/>
        <v>57083.637237985342</v>
      </c>
      <c r="BF43" s="22">
        <f t="shared" si="19"/>
        <v>57083.637237985342</v>
      </c>
      <c r="BG43" s="22">
        <f t="shared" si="19"/>
        <v>57083.637237985342</v>
      </c>
      <c r="BH43" s="22">
        <f t="shared" si="19"/>
        <v>57083.637237985342</v>
      </c>
      <c r="BI43" s="22">
        <f t="shared" si="19"/>
        <v>57083.637237985342</v>
      </c>
      <c r="BJ43" s="22">
        <f t="shared" si="19"/>
        <v>57083.637237985342</v>
      </c>
      <c r="BK43" s="22">
        <f t="shared" si="19"/>
        <v>57083.637237985342</v>
      </c>
      <c r="BL43" s="22">
        <f t="shared" si="19"/>
        <v>57083.637237985342</v>
      </c>
      <c r="BM43" s="22">
        <f t="shared" si="19"/>
        <v>57083.637237985342</v>
      </c>
      <c r="BN43" s="22">
        <f t="shared" si="19"/>
        <v>57083.637237985342</v>
      </c>
      <c r="BO43" s="22">
        <f t="shared" si="19"/>
        <v>57083.637237985342</v>
      </c>
      <c r="BP43" s="22">
        <f t="shared" si="19"/>
        <v>57083.637237985342</v>
      </c>
      <c r="BR43" s="23"/>
    </row>
    <row r="44" spans="1:72" ht="18.75" customHeight="1" x14ac:dyDescent="0.25">
      <c r="A44" s="20" t="s">
        <v>378</v>
      </c>
      <c r="B44" s="20"/>
      <c r="C44" s="20"/>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S44" s="16"/>
      <c r="BT44" s="15"/>
    </row>
    <row r="45" spans="1:72" x14ac:dyDescent="0.25">
      <c r="A45" t="str">
        <f>'IPCC Categories'!A59</f>
        <v>3C Aggregated and non-CO2 emissions on land</v>
      </c>
      <c r="B45" t="str">
        <f>'IPCC Categories'!B71</f>
        <v>3C2 Liming (CO2)</v>
      </c>
      <c r="C45" t="s">
        <v>388</v>
      </c>
      <c r="D45" t="s">
        <v>381</v>
      </c>
      <c r="E45" t="str">
        <f>C45&amp;D45</f>
        <v>Lime consumption - total</v>
      </c>
      <c r="F45" t="s">
        <v>321</v>
      </c>
      <c r="H45" s="21">
        <v>780000</v>
      </c>
      <c r="I45" s="21">
        <v>825000</v>
      </c>
      <c r="J45" s="21">
        <v>570000</v>
      </c>
      <c r="K45" s="21">
        <v>900000</v>
      </c>
      <c r="L45" s="21">
        <v>1299451</v>
      </c>
      <c r="M45" s="21">
        <v>1032745</v>
      </c>
      <c r="N45" s="21">
        <v>1263570</v>
      </c>
      <c r="O45" s="21">
        <v>1193985</v>
      </c>
      <c r="P45" s="21">
        <v>1244321</v>
      </c>
      <c r="Q45" s="21">
        <v>1237174</v>
      </c>
      <c r="R45" s="21">
        <v>825252</v>
      </c>
      <c r="S45" s="21">
        <v>1068357</v>
      </c>
      <c r="T45" s="21">
        <v>1467915</v>
      </c>
      <c r="U45" s="21">
        <v>1265742</v>
      </c>
      <c r="V45" s="21">
        <v>1264888</v>
      </c>
      <c r="W45" s="21">
        <v>580444</v>
      </c>
      <c r="X45" s="21">
        <v>963118</v>
      </c>
      <c r="Y45" s="21">
        <v>1137646</v>
      </c>
      <c r="Z45" s="21">
        <v>1429803</v>
      </c>
      <c r="AA45" s="21">
        <v>1517602.3688259386</v>
      </c>
      <c r="AB45" s="21">
        <v>1425245.0325037544</v>
      </c>
      <c r="AC45" s="21">
        <v>1576608.4448095565</v>
      </c>
      <c r="AD45" s="22">
        <f>((Relationships!$AI$38*'Activity data'!AD41)+Relationships!$AJ$38)</f>
        <v>1498520.0015515196</v>
      </c>
      <c r="AE45" s="22">
        <f>((Relationships!$AI$38*'Activity data'!AE41)+Relationships!$AJ$38)</f>
        <v>1506475.7920519472</v>
      </c>
      <c r="AF45" s="22">
        <f>((Relationships!$AI$38*'Activity data'!AF41)+Relationships!$AJ$38)</f>
        <v>1514503.8338004884</v>
      </c>
      <c r="AG45" s="22">
        <f>((Relationships!$AI$38*'Activity data'!AG41)+Relationships!$AJ$38)</f>
        <v>1522604.7829534886</v>
      </c>
      <c r="AH45" s="22">
        <f>((Relationships!$AI$38*'Activity data'!AH41)+Relationships!$AJ$38)</f>
        <v>1531433.8680260582</v>
      </c>
      <c r="AI45" s="22">
        <f>((Relationships!$AI$38*'Activity data'!AI41)+Relationships!$AJ$38)</f>
        <v>1540262.9530986273</v>
      </c>
      <c r="AJ45" s="22">
        <f>((Relationships!$AI$38*'Activity data'!AJ41)+Relationships!$AJ$38)</f>
        <v>1549092.0381711966</v>
      </c>
      <c r="AK45" s="22">
        <f>((Relationships!$AI$38*'Activity data'!AK41)+Relationships!$AJ$38)</f>
        <v>1557921.1232437659</v>
      </c>
      <c r="AL45" s="22">
        <f>((Relationships!$AI$38*'Activity data'!AL41)+Relationships!$AJ$38)</f>
        <v>1566750.2083163352</v>
      </c>
      <c r="AM45" s="22">
        <f>((Relationships!$AI$38*'Activity data'!AM41)+Relationships!$AJ$38)</f>
        <v>1575699.438708086</v>
      </c>
      <c r="AN45" s="22">
        <f>((Relationships!$AI$38*'Activity data'!AN41)+Relationships!$AJ$38)</f>
        <v>1584648.6689346484</v>
      </c>
      <c r="AO45" s="22">
        <f>((Relationships!$AI$38*'Activity data'!AO41)+Relationships!$AJ$38)</f>
        <v>1593597.8991612107</v>
      </c>
      <c r="AP45" s="22">
        <f>((Relationships!$AI$38*'Activity data'!AP41)+Relationships!$AJ$38)</f>
        <v>1593597.8991612107</v>
      </c>
      <c r="AQ45" s="22">
        <f>((Relationships!$AI$38*'Activity data'!AQ41)+Relationships!$AJ$38)</f>
        <v>1593597.8991612107</v>
      </c>
      <c r="AR45" s="22">
        <f>((Relationships!$AI$38*'Activity data'!AR41)+Relationships!$AJ$38)</f>
        <v>1593597.8991612107</v>
      </c>
      <c r="AS45" s="22">
        <f>((Relationships!$AI$38*'Activity data'!AS41)+Relationships!$AJ$38)</f>
        <v>1593597.8991612107</v>
      </c>
      <c r="AT45" s="22">
        <f>((Relationships!$AI$38*'Activity data'!AT41)+Relationships!$AJ$38)</f>
        <v>1593597.8991612107</v>
      </c>
      <c r="AU45" s="22">
        <f>((Relationships!$AI$38*'Activity data'!AU41)+Relationships!$AJ$38)</f>
        <v>1593597.8991612107</v>
      </c>
      <c r="AV45" s="22">
        <f>((Relationships!$AI$38*'Activity data'!AV41)+Relationships!$AJ$38)</f>
        <v>1593597.8991612107</v>
      </c>
      <c r="AW45" s="22">
        <f>((Relationships!$AI$38*'Activity data'!AW41)+Relationships!$AJ$38)</f>
        <v>1593597.8991612107</v>
      </c>
      <c r="AX45" s="22">
        <f>((Relationships!$AI$38*'Activity data'!AX41)+Relationships!$AJ$38)</f>
        <v>1593597.8991612107</v>
      </c>
      <c r="AY45" s="22">
        <f>((Relationships!$AI$38*'Activity data'!AY41)+Relationships!$AJ$38)</f>
        <v>1593597.8991612107</v>
      </c>
      <c r="AZ45" s="22">
        <f>((Relationships!$AI$38*'Activity data'!AZ41)+Relationships!$AJ$38)</f>
        <v>1593597.8991612107</v>
      </c>
      <c r="BA45" s="22">
        <f>((Relationships!$AI$38*'Activity data'!BA41)+Relationships!$AJ$38)</f>
        <v>1593597.8991612107</v>
      </c>
      <c r="BB45" s="22">
        <f>((Relationships!$AI$38*'Activity data'!BB41)+Relationships!$AJ$38)</f>
        <v>1593597.8991612107</v>
      </c>
      <c r="BC45" s="22">
        <f>((Relationships!$AI$38*'Activity data'!BC41)+Relationships!$AJ$38)</f>
        <v>1593597.8991612107</v>
      </c>
      <c r="BD45" s="22">
        <f>((Relationships!$AI$38*'Activity data'!BD41)+Relationships!$AJ$38)</f>
        <v>1593597.8991612107</v>
      </c>
      <c r="BE45" s="22">
        <f>((Relationships!$AI$38*'Activity data'!BE41)+Relationships!$AJ$38)</f>
        <v>1593597.8991612107</v>
      </c>
      <c r="BF45" s="22">
        <f>((Relationships!$AI$38*'Activity data'!BF41)+Relationships!$AJ$38)</f>
        <v>1593597.8991612107</v>
      </c>
      <c r="BG45" s="22">
        <f>((Relationships!$AI$38*'Activity data'!BG41)+Relationships!$AJ$38)</f>
        <v>1593597.8991612107</v>
      </c>
      <c r="BH45" s="22">
        <f>((Relationships!$AI$38*'Activity data'!BH41)+Relationships!$AJ$38)</f>
        <v>1593597.8991612107</v>
      </c>
      <c r="BI45" s="22">
        <f>((Relationships!$AI$38*'Activity data'!BI41)+Relationships!$AJ$38)</f>
        <v>1593597.8991612107</v>
      </c>
      <c r="BJ45" s="22">
        <f>((Relationships!$AI$38*'Activity data'!BJ41)+Relationships!$AJ$38)</f>
        <v>1593597.8991612107</v>
      </c>
      <c r="BK45" s="22">
        <f>((Relationships!$AI$38*'Activity data'!BK41)+Relationships!$AJ$38)</f>
        <v>1593597.8991612107</v>
      </c>
      <c r="BL45" s="22">
        <f>((Relationships!$AI$38*'Activity data'!BL41)+Relationships!$AJ$38)</f>
        <v>1593597.8991612107</v>
      </c>
      <c r="BM45" s="22">
        <f>((Relationships!$AI$38*'Activity data'!BM41)+Relationships!$AJ$38)</f>
        <v>1593597.8991612107</v>
      </c>
      <c r="BN45" s="22">
        <f>((Relationships!$AI$38*'Activity data'!BN41)+Relationships!$AJ$38)</f>
        <v>1593597.8991612107</v>
      </c>
      <c r="BO45" s="22">
        <f>((Relationships!$AI$38*'Activity data'!BO41)+Relationships!$AJ$38)</f>
        <v>1593597.8991612107</v>
      </c>
      <c r="BP45" s="22">
        <f>((Relationships!$AI$38*'Activity data'!BP41)+Relationships!$AJ$38)</f>
        <v>1593597.8991612107</v>
      </c>
      <c r="BR45" s="23"/>
    </row>
    <row r="46" spans="1:72" x14ac:dyDescent="0.25">
      <c r="A46" t="str">
        <f>A45</f>
        <v>3C Aggregated and non-CO2 emissions on land</v>
      </c>
      <c r="B46" t="str">
        <f>'IPCC Categories'!B72</f>
        <v>3C3 Urea application (CO2)</v>
      </c>
      <c r="C46" t="s">
        <v>114</v>
      </c>
      <c r="D46" t="s">
        <v>381</v>
      </c>
      <c r="E46" t="str">
        <f>C46&amp;D46</f>
        <v>Urea application - total</v>
      </c>
      <c r="F46" t="s">
        <v>321</v>
      </c>
      <c r="H46" s="21">
        <v>124083.5011138469</v>
      </c>
      <c r="I46" s="21">
        <v>152218.50271143019</v>
      </c>
      <c r="J46" s="21">
        <v>180353.50430901349</v>
      </c>
      <c r="K46" s="21">
        <v>208488.50590658933</v>
      </c>
      <c r="L46" s="21">
        <v>236623.50750417262</v>
      </c>
      <c r="M46" s="21">
        <v>264758.50910175592</v>
      </c>
      <c r="N46" s="21">
        <v>292893.51069933921</v>
      </c>
      <c r="O46" s="21">
        <v>321028.5122969225</v>
      </c>
      <c r="P46" s="21">
        <v>349163.5138945058</v>
      </c>
      <c r="Q46" s="21">
        <v>377298.51549208909</v>
      </c>
      <c r="R46" s="21">
        <v>405433.51708967239</v>
      </c>
      <c r="S46" s="21">
        <v>433568.51868725568</v>
      </c>
      <c r="T46" s="21">
        <v>461703.52028483152</v>
      </c>
      <c r="U46" s="21">
        <v>489838.52188241482</v>
      </c>
      <c r="V46" s="21">
        <v>594407</v>
      </c>
      <c r="W46" s="21">
        <v>484209</v>
      </c>
      <c r="X46" s="21">
        <v>536026</v>
      </c>
      <c r="Y46" s="21">
        <v>660755</v>
      </c>
      <c r="Z46" s="21">
        <v>654808</v>
      </c>
      <c r="AA46" s="21">
        <v>518924</v>
      </c>
      <c r="AB46" s="21">
        <v>683837</v>
      </c>
      <c r="AC46" s="21">
        <v>778897</v>
      </c>
      <c r="AD46" s="22">
        <f>((Relationships!$AI$39*'Activity data'!AD47)+Relationships!$AJ$39)</f>
        <v>645957.29103697021</v>
      </c>
      <c r="AE46" s="22">
        <f>((Relationships!$AI$39*'Activity data'!AE47)+Relationships!$AJ$39)</f>
        <v>646199.32931971399</v>
      </c>
      <c r="AF46" s="22">
        <f>((Relationships!$AI$39*'Activity data'!AF47)+Relationships!$AJ$39)</f>
        <v>646443.56569553458</v>
      </c>
      <c r="AG46" s="22">
        <f>((Relationships!$AI$39*'Activity data'!AG47)+Relationships!$AJ$39)</f>
        <v>646690.02012661612</v>
      </c>
      <c r="AH46" s="22">
        <f>((Relationships!$AI$39*'Activity data'!AH47)+Relationships!$AJ$39)</f>
        <v>646958.62656981614</v>
      </c>
      <c r="AI46" s="22">
        <f>((Relationships!$AI$39*'Activity data'!AI47)+Relationships!$AJ$39)</f>
        <v>647227.23301301606</v>
      </c>
      <c r="AJ46" s="22">
        <f>((Relationships!$AI$39*'Activity data'!AJ47)+Relationships!$AJ$39)</f>
        <v>647495.83945621585</v>
      </c>
      <c r="AK46" s="22">
        <f>((Relationships!$AI$39*'Activity data'!AK47)+Relationships!$AJ$39)</f>
        <v>647764.44589941588</v>
      </c>
      <c r="AL46" s="22">
        <f>((Relationships!$AI$39*'Activity data'!AL47)+Relationships!$AJ$39)</f>
        <v>648033.05234261579</v>
      </c>
      <c r="AM46" s="22">
        <f>((Relationships!$AI$39*'Activity data'!AM47)+Relationships!$AJ$39)</f>
        <v>648305.31395581202</v>
      </c>
      <c r="AN46" s="22">
        <f>((Relationships!$AI$39*'Activity data'!AN47)+Relationships!$AJ$39)</f>
        <v>648577.57556398271</v>
      </c>
      <c r="AO46" s="22">
        <f>((Relationships!$AI$39*'Activity data'!AO47)+Relationships!$AJ$39)</f>
        <v>648849.83717215352</v>
      </c>
      <c r="AP46" s="22">
        <f>((Relationships!$AI$39*'Activity data'!AP47)+Relationships!$AJ$39)</f>
        <v>648849.83717215352</v>
      </c>
      <c r="AQ46" s="22">
        <f>((Relationships!$AI$39*'Activity data'!AQ47)+Relationships!$AJ$39)</f>
        <v>648849.83717215352</v>
      </c>
      <c r="AR46" s="22">
        <f>((Relationships!$AI$39*'Activity data'!AR47)+Relationships!$AJ$39)</f>
        <v>648849.83717215352</v>
      </c>
      <c r="AS46" s="22">
        <f>((Relationships!$AI$39*'Activity data'!AS47)+Relationships!$AJ$39)</f>
        <v>648849.83717215352</v>
      </c>
      <c r="AT46" s="22">
        <f>((Relationships!$AI$39*'Activity data'!AT47)+Relationships!$AJ$39)</f>
        <v>648849.83717215352</v>
      </c>
      <c r="AU46" s="22">
        <f>((Relationships!$AI$39*'Activity data'!AU47)+Relationships!$AJ$39)</f>
        <v>648849.83717215352</v>
      </c>
      <c r="AV46" s="22">
        <f>((Relationships!$AI$39*'Activity data'!AV47)+Relationships!$AJ$39)</f>
        <v>648849.83717215352</v>
      </c>
      <c r="AW46" s="22">
        <f>((Relationships!$AI$39*'Activity data'!AW47)+Relationships!$AJ$39)</f>
        <v>648849.83717215352</v>
      </c>
      <c r="AX46" s="22">
        <f>((Relationships!$AI$39*'Activity data'!AX47)+Relationships!$AJ$39)</f>
        <v>648849.83717215352</v>
      </c>
      <c r="AY46" s="22">
        <f>((Relationships!$AI$39*'Activity data'!AY47)+Relationships!$AJ$39)</f>
        <v>648849.83717215352</v>
      </c>
      <c r="AZ46" s="22">
        <f>((Relationships!$AI$39*'Activity data'!AZ47)+Relationships!$AJ$39)</f>
        <v>648849.83717215352</v>
      </c>
      <c r="BA46" s="22">
        <f>((Relationships!$AI$39*'Activity data'!BA47)+Relationships!$AJ$39)</f>
        <v>648849.83717215352</v>
      </c>
      <c r="BB46" s="22">
        <f>((Relationships!$AI$39*'Activity data'!BB47)+Relationships!$AJ$39)</f>
        <v>648849.83717215352</v>
      </c>
      <c r="BC46" s="22">
        <f>((Relationships!$AI$39*'Activity data'!BC47)+Relationships!$AJ$39)</f>
        <v>648849.83717215352</v>
      </c>
      <c r="BD46" s="22">
        <f>((Relationships!$AI$39*'Activity data'!BD47)+Relationships!$AJ$39)</f>
        <v>648849.83717215352</v>
      </c>
      <c r="BE46" s="22">
        <f>((Relationships!$AI$39*'Activity data'!BE47)+Relationships!$AJ$39)</f>
        <v>648849.83717215352</v>
      </c>
      <c r="BF46" s="22">
        <f>((Relationships!$AI$39*'Activity data'!BF47)+Relationships!$AJ$39)</f>
        <v>648849.83717215352</v>
      </c>
      <c r="BG46" s="22">
        <f>((Relationships!$AI$39*'Activity data'!BG47)+Relationships!$AJ$39)</f>
        <v>648849.83717215352</v>
      </c>
      <c r="BH46" s="22">
        <f>((Relationships!$AI$39*'Activity data'!BH47)+Relationships!$AJ$39)</f>
        <v>648849.83717215352</v>
      </c>
      <c r="BI46" s="22">
        <f>((Relationships!$AI$39*'Activity data'!BI47)+Relationships!$AJ$39)</f>
        <v>648849.83717215352</v>
      </c>
      <c r="BJ46" s="22">
        <f>((Relationships!$AI$39*'Activity data'!BJ47)+Relationships!$AJ$39)</f>
        <v>648849.83717215352</v>
      </c>
      <c r="BK46" s="22">
        <f>((Relationships!$AI$39*'Activity data'!BK47)+Relationships!$AJ$39)</f>
        <v>648849.83717215352</v>
      </c>
      <c r="BL46" s="22">
        <f>((Relationships!$AI$39*'Activity data'!BL47)+Relationships!$AJ$39)</f>
        <v>648849.83717215352</v>
      </c>
      <c r="BM46" s="22">
        <f>((Relationships!$AI$39*'Activity data'!BM47)+Relationships!$AJ$39)</f>
        <v>648849.83717215352</v>
      </c>
      <c r="BN46" s="22">
        <f>((Relationships!$AI$39*'Activity data'!BN47)+Relationships!$AJ$39)</f>
        <v>648849.83717215352</v>
      </c>
      <c r="BO46" s="22">
        <f>((Relationships!$AI$39*'Activity data'!BO47)+Relationships!$AJ$39)</f>
        <v>648849.83717215352</v>
      </c>
      <c r="BP46" s="22">
        <f>((Relationships!$AI$39*'Activity data'!BP47)+Relationships!$AJ$39)</f>
        <v>648849.83717215352</v>
      </c>
      <c r="BR46" s="23"/>
    </row>
    <row r="47" spans="1:72" x14ac:dyDescent="0.25">
      <c r="A47" t="str">
        <f>A45</f>
        <v>3C Aggregated and non-CO2 emissions on land</v>
      </c>
      <c r="B47" t="str">
        <f>'IPCC Categories'!B73</f>
        <v>3C4 Direct N2O from managed soils (N2O)</v>
      </c>
      <c r="C47" t="s">
        <v>389</v>
      </c>
      <c r="D47" t="s">
        <v>381</v>
      </c>
      <c r="E47" t="str">
        <f>C47&amp;D47</f>
        <v>Inorganic N application - total</v>
      </c>
      <c r="F47" t="s">
        <v>321</v>
      </c>
      <c r="H47" s="21">
        <v>343689</v>
      </c>
      <c r="I47" s="21">
        <v>365035</v>
      </c>
      <c r="J47" s="21">
        <v>347525</v>
      </c>
      <c r="K47" s="21">
        <v>408459</v>
      </c>
      <c r="L47" s="21">
        <v>375066</v>
      </c>
      <c r="M47" s="21">
        <v>371491</v>
      </c>
      <c r="N47" s="21">
        <v>415084</v>
      </c>
      <c r="O47" s="21">
        <v>406914</v>
      </c>
      <c r="P47" s="21">
        <v>415521</v>
      </c>
      <c r="Q47" s="21">
        <v>413045</v>
      </c>
      <c r="R47" s="21">
        <v>415933</v>
      </c>
      <c r="S47" s="21">
        <v>395813</v>
      </c>
      <c r="T47" s="21">
        <v>477072</v>
      </c>
      <c r="U47" s="21">
        <v>420827</v>
      </c>
      <c r="V47" s="21">
        <v>427571</v>
      </c>
      <c r="W47" s="21">
        <v>347260</v>
      </c>
      <c r="X47" s="21">
        <v>428719</v>
      </c>
      <c r="Y47" s="21">
        <v>439480</v>
      </c>
      <c r="Z47" s="21">
        <v>424123</v>
      </c>
      <c r="AA47" s="21">
        <v>453777</v>
      </c>
      <c r="AB47" s="21">
        <v>395000</v>
      </c>
      <c r="AC47" s="21">
        <v>419000</v>
      </c>
      <c r="AD47" s="22">
        <f>((Relationships!$AI$40*'Activity data'!AD41)+Relationships!$AJ$40)</f>
        <v>424029.71648626716</v>
      </c>
      <c r="AE47" s="22">
        <f>((Relationships!$AI$40*'Activity data'!AE41)+Relationships!$AJ$40)</f>
        <v>424207.74136614887</v>
      </c>
      <c r="AF47" s="22">
        <f>((Relationships!$AI$40*'Activity data'!AF41)+Relationships!$AJ$40)</f>
        <v>424387.38299546181</v>
      </c>
      <c r="AG47" s="22">
        <f>((Relationships!$AI$40*'Activity data'!AG41)+Relationships!$AJ$40)</f>
        <v>424568.65605686442</v>
      </c>
      <c r="AH47" s="22">
        <f>((Relationships!$AI$40*'Activity data'!AH41)+Relationships!$AJ$40)</f>
        <v>424766.22244695789</v>
      </c>
      <c r="AI47" s="22">
        <f>((Relationships!$AI$40*'Activity data'!AI41)+Relationships!$AJ$40)</f>
        <v>424963.78883705137</v>
      </c>
      <c r="AJ47" s="22">
        <f>((Relationships!$AI$40*'Activity data'!AJ41)+Relationships!$AJ$40)</f>
        <v>425161.35522714478</v>
      </c>
      <c r="AK47" s="22">
        <f>((Relationships!$AI$40*'Activity data'!AK41)+Relationships!$AJ$40)</f>
        <v>425358.92161723826</v>
      </c>
      <c r="AL47" s="22">
        <f>((Relationships!$AI$40*'Activity data'!AL41)+Relationships!$AJ$40)</f>
        <v>425556.48800733173</v>
      </c>
      <c r="AM47" s="22">
        <f>((Relationships!$AI$40*'Activity data'!AM41)+Relationships!$AJ$40)</f>
        <v>425756.7428613829</v>
      </c>
      <c r="AN47" s="22">
        <f>((Relationships!$AI$40*'Activity data'!AN41)+Relationships!$AJ$40)</f>
        <v>425956.9977117377</v>
      </c>
      <c r="AO47" s="22">
        <f>((Relationships!$AI$40*'Activity data'!AO41)+Relationships!$AJ$40)</f>
        <v>426157.2525620925</v>
      </c>
      <c r="AP47" s="22">
        <f>((Relationships!$AI$40*'Activity data'!AP41)+Relationships!$AJ$40)</f>
        <v>426157.2525620925</v>
      </c>
      <c r="AQ47" s="22">
        <f>((Relationships!$AI$40*'Activity data'!AQ41)+Relationships!$AJ$40)</f>
        <v>426157.2525620925</v>
      </c>
      <c r="AR47" s="22">
        <f>((Relationships!$AI$40*'Activity data'!AR41)+Relationships!$AJ$40)</f>
        <v>426157.2525620925</v>
      </c>
      <c r="AS47" s="22">
        <f>((Relationships!$AI$40*'Activity data'!AS41)+Relationships!$AJ$40)</f>
        <v>426157.2525620925</v>
      </c>
      <c r="AT47" s="22">
        <f>((Relationships!$AI$40*'Activity data'!AT41)+Relationships!$AJ$40)</f>
        <v>426157.2525620925</v>
      </c>
      <c r="AU47" s="22">
        <f>((Relationships!$AI$40*'Activity data'!AU41)+Relationships!$AJ$40)</f>
        <v>426157.2525620925</v>
      </c>
      <c r="AV47" s="22">
        <f>((Relationships!$AI$40*'Activity data'!AV41)+Relationships!$AJ$40)</f>
        <v>426157.2525620925</v>
      </c>
      <c r="AW47" s="22">
        <f>((Relationships!$AI$40*'Activity data'!AW41)+Relationships!$AJ$40)</f>
        <v>426157.2525620925</v>
      </c>
      <c r="AX47" s="22">
        <f>((Relationships!$AI$40*'Activity data'!AX41)+Relationships!$AJ$40)</f>
        <v>426157.2525620925</v>
      </c>
      <c r="AY47" s="22">
        <f>((Relationships!$AI$40*'Activity data'!AY41)+Relationships!$AJ$40)</f>
        <v>426157.2525620925</v>
      </c>
      <c r="AZ47" s="22">
        <f>((Relationships!$AI$40*'Activity data'!AZ41)+Relationships!$AJ$40)</f>
        <v>426157.2525620925</v>
      </c>
      <c r="BA47" s="22">
        <f>((Relationships!$AI$40*'Activity data'!BA41)+Relationships!$AJ$40)</f>
        <v>426157.2525620925</v>
      </c>
      <c r="BB47" s="22">
        <f>((Relationships!$AI$40*'Activity data'!BB41)+Relationships!$AJ$40)</f>
        <v>426157.2525620925</v>
      </c>
      <c r="BC47" s="22">
        <f>((Relationships!$AI$40*'Activity data'!BC41)+Relationships!$AJ$40)</f>
        <v>426157.2525620925</v>
      </c>
      <c r="BD47" s="22">
        <f>((Relationships!$AI$40*'Activity data'!BD41)+Relationships!$AJ$40)</f>
        <v>426157.2525620925</v>
      </c>
      <c r="BE47" s="22">
        <f>((Relationships!$AI$40*'Activity data'!BE41)+Relationships!$AJ$40)</f>
        <v>426157.2525620925</v>
      </c>
      <c r="BF47" s="22">
        <f>((Relationships!$AI$40*'Activity data'!BF41)+Relationships!$AJ$40)</f>
        <v>426157.2525620925</v>
      </c>
      <c r="BG47" s="22">
        <f>((Relationships!$AI$40*'Activity data'!BG41)+Relationships!$AJ$40)</f>
        <v>426157.2525620925</v>
      </c>
      <c r="BH47" s="22">
        <f>((Relationships!$AI$40*'Activity data'!BH41)+Relationships!$AJ$40)</f>
        <v>426157.2525620925</v>
      </c>
      <c r="BI47" s="22">
        <f>((Relationships!$AI$40*'Activity data'!BI41)+Relationships!$AJ$40)</f>
        <v>426157.2525620925</v>
      </c>
      <c r="BJ47" s="22">
        <f>((Relationships!$AI$40*'Activity data'!BJ41)+Relationships!$AJ$40)</f>
        <v>426157.2525620925</v>
      </c>
      <c r="BK47" s="22">
        <f>((Relationships!$AI$40*'Activity data'!BK41)+Relationships!$AJ$40)</f>
        <v>426157.2525620925</v>
      </c>
      <c r="BL47" s="22">
        <f>((Relationships!$AI$40*'Activity data'!BL41)+Relationships!$AJ$40)</f>
        <v>426157.2525620925</v>
      </c>
      <c r="BM47" s="22">
        <f>((Relationships!$AI$40*'Activity data'!BM41)+Relationships!$AJ$40)</f>
        <v>426157.2525620925</v>
      </c>
      <c r="BN47" s="22">
        <f>((Relationships!$AI$40*'Activity data'!BN41)+Relationships!$AJ$40)</f>
        <v>426157.2525620925</v>
      </c>
      <c r="BO47" s="22">
        <f>((Relationships!$AI$40*'Activity data'!BO41)+Relationships!$AJ$40)</f>
        <v>426157.2525620925</v>
      </c>
      <c r="BP47" s="22">
        <f>((Relationships!$AI$40*'Activity data'!BP41)+Relationships!$AJ$40)</f>
        <v>426157.2525620925</v>
      </c>
      <c r="BR47" s="23"/>
    </row>
    <row r="48" spans="1:72" x14ac:dyDescent="0.25">
      <c r="A48" t="str">
        <f>A47</f>
        <v>3C Aggregated and non-CO2 emissions on land</v>
      </c>
      <c r="B48" t="str">
        <f>B47</f>
        <v>3C4 Direct N2O from managed soils (N2O)</v>
      </c>
      <c r="C48" t="s">
        <v>395</v>
      </c>
      <c r="D48" t="s">
        <v>381</v>
      </c>
      <c r="E48" t="str">
        <f>C48&amp;D48</f>
        <v>Compost N - total</v>
      </c>
      <c r="F48" t="s">
        <v>321</v>
      </c>
      <c r="H48" s="22">
        <f t="shared" ref="H48:AM48" si="20">H47*0.05*0.33*0.8*0.5</f>
        <v>2268.3474000000001</v>
      </c>
      <c r="I48" s="22">
        <f t="shared" si="20"/>
        <v>2409.2310000000002</v>
      </c>
      <c r="J48" s="22">
        <f t="shared" si="20"/>
        <v>2293.6650000000004</v>
      </c>
      <c r="K48" s="22">
        <f t="shared" si="20"/>
        <v>2695.8294000000005</v>
      </c>
      <c r="L48" s="22">
        <f t="shared" si="20"/>
        <v>2475.4356000000002</v>
      </c>
      <c r="M48" s="22">
        <f t="shared" si="20"/>
        <v>2451.8406</v>
      </c>
      <c r="N48" s="22">
        <f t="shared" si="20"/>
        <v>2739.5544000000004</v>
      </c>
      <c r="O48" s="22">
        <f t="shared" si="20"/>
        <v>2685.6324000000004</v>
      </c>
      <c r="P48" s="22">
        <f t="shared" si="20"/>
        <v>2742.4386000000009</v>
      </c>
      <c r="Q48" s="22">
        <f t="shared" si="20"/>
        <v>2726.0970000000002</v>
      </c>
      <c r="R48" s="22">
        <f t="shared" si="20"/>
        <v>2745.1578000000009</v>
      </c>
      <c r="S48" s="22">
        <f t="shared" si="20"/>
        <v>2612.3658000000005</v>
      </c>
      <c r="T48" s="22">
        <f t="shared" si="20"/>
        <v>3148.6752000000006</v>
      </c>
      <c r="U48" s="22">
        <f t="shared" si="20"/>
        <v>2777.4582000000009</v>
      </c>
      <c r="V48" s="22">
        <f t="shared" si="20"/>
        <v>2821.9686000000006</v>
      </c>
      <c r="W48" s="22">
        <f t="shared" si="20"/>
        <v>2291.9160000000002</v>
      </c>
      <c r="X48" s="22">
        <f t="shared" si="20"/>
        <v>2829.5454000000004</v>
      </c>
      <c r="Y48" s="22">
        <f t="shared" si="20"/>
        <v>2900.5680000000002</v>
      </c>
      <c r="Z48" s="22">
        <f t="shared" si="20"/>
        <v>2799.2118000000005</v>
      </c>
      <c r="AA48" s="22">
        <f t="shared" si="20"/>
        <v>2994.9282000000003</v>
      </c>
      <c r="AB48" s="22">
        <f t="shared" si="20"/>
        <v>2607</v>
      </c>
      <c r="AC48" s="22">
        <f t="shared" si="20"/>
        <v>2765.4</v>
      </c>
      <c r="AD48" s="22">
        <f t="shared" ref="AD48:AI48" si="21">AD47*0.05*0.33*0.8*0.5</f>
        <v>2798.596128809364</v>
      </c>
      <c r="AE48" s="22">
        <f t="shared" si="21"/>
        <v>2799.7710930165831</v>
      </c>
      <c r="AF48" s="22">
        <f t="shared" si="21"/>
        <v>2800.956727770048</v>
      </c>
      <c r="AG48" s="22">
        <f t="shared" si="21"/>
        <v>2802.1531299753055</v>
      </c>
      <c r="AH48" s="22">
        <f t="shared" si="21"/>
        <v>2803.4570681499226</v>
      </c>
      <c r="AI48" s="22">
        <f t="shared" si="21"/>
        <v>2804.7610063245393</v>
      </c>
      <c r="AJ48" s="22">
        <f t="shared" si="20"/>
        <v>2806.0649444991559</v>
      </c>
      <c r="AK48" s="22">
        <f t="shared" si="20"/>
        <v>2807.368882673773</v>
      </c>
      <c r="AL48" s="22">
        <f t="shared" si="20"/>
        <v>2808.6728208483901</v>
      </c>
      <c r="AM48" s="22">
        <f t="shared" si="20"/>
        <v>2809.994502885128</v>
      </c>
      <c r="AN48" s="22">
        <f t="shared" ref="AN48:BP48" si="22">AN47*0.05*0.33*0.8*0.5</f>
        <v>2811.3161848974692</v>
      </c>
      <c r="AO48" s="22">
        <f t="shared" si="22"/>
        <v>2812.6378669098112</v>
      </c>
      <c r="AP48" s="22">
        <f t="shared" si="22"/>
        <v>2812.6378669098112</v>
      </c>
      <c r="AQ48" s="22">
        <f t="shared" si="22"/>
        <v>2812.6378669098112</v>
      </c>
      <c r="AR48" s="22">
        <f t="shared" si="22"/>
        <v>2812.6378669098112</v>
      </c>
      <c r="AS48" s="22">
        <f t="shared" si="22"/>
        <v>2812.6378669098112</v>
      </c>
      <c r="AT48" s="22">
        <f t="shared" si="22"/>
        <v>2812.6378669098112</v>
      </c>
      <c r="AU48" s="22">
        <f t="shared" si="22"/>
        <v>2812.6378669098112</v>
      </c>
      <c r="AV48" s="22">
        <f t="shared" si="22"/>
        <v>2812.6378669098112</v>
      </c>
      <c r="AW48" s="22">
        <f t="shared" si="22"/>
        <v>2812.6378669098112</v>
      </c>
      <c r="AX48" s="22">
        <f t="shared" si="22"/>
        <v>2812.6378669098112</v>
      </c>
      <c r="AY48" s="22">
        <f t="shared" si="22"/>
        <v>2812.6378669098112</v>
      </c>
      <c r="AZ48" s="22">
        <f t="shared" si="22"/>
        <v>2812.6378669098112</v>
      </c>
      <c r="BA48" s="22">
        <f t="shared" si="22"/>
        <v>2812.6378669098112</v>
      </c>
      <c r="BB48" s="22">
        <f t="shared" si="22"/>
        <v>2812.6378669098112</v>
      </c>
      <c r="BC48" s="22">
        <f t="shared" si="22"/>
        <v>2812.6378669098112</v>
      </c>
      <c r="BD48" s="22">
        <f t="shared" si="22"/>
        <v>2812.6378669098112</v>
      </c>
      <c r="BE48" s="22">
        <f t="shared" si="22"/>
        <v>2812.6378669098112</v>
      </c>
      <c r="BF48" s="22">
        <f t="shared" si="22"/>
        <v>2812.6378669098112</v>
      </c>
      <c r="BG48" s="22">
        <f t="shared" si="22"/>
        <v>2812.6378669098112</v>
      </c>
      <c r="BH48" s="22">
        <f t="shared" si="22"/>
        <v>2812.6378669098112</v>
      </c>
      <c r="BI48" s="22">
        <f t="shared" si="22"/>
        <v>2812.6378669098112</v>
      </c>
      <c r="BJ48" s="22">
        <f t="shared" si="22"/>
        <v>2812.6378669098112</v>
      </c>
      <c r="BK48" s="22">
        <f t="shared" si="22"/>
        <v>2812.6378669098112</v>
      </c>
      <c r="BL48" s="22">
        <f t="shared" si="22"/>
        <v>2812.6378669098112</v>
      </c>
      <c r="BM48" s="22">
        <f t="shared" si="22"/>
        <v>2812.6378669098112</v>
      </c>
      <c r="BN48" s="22">
        <f t="shared" si="22"/>
        <v>2812.6378669098112</v>
      </c>
      <c r="BO48" s="22">
        <f t="shared" si="22"/>
        <v>2812.6378669098112</v>
      </c>
      <c r="BP48" s="22">
        <f t="shared" si="22"/>
        <v>2812.6378669098112</v>
      </c>
      <c r="BR48" s="23"/>
    </row>
    <row r="49" spans="1:72" ht="18.75" customHeight="1" x14ac:dyDescent="0.25">
      <c r="A49" s="20" t="s">
        <v>635</v>
      </c>
      <c r="B49" s="20"/>
      <c r="C49" s="20"/>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S49" s="16"/>
      <c r="BT49" s="15"/>
    </row>
    <row r="50" spans="1:72" x14ac:dyDescent="0.25">
      <c r="A50" t="str">
        <f>Constants!A107</f>
        <v>3C Aggregated and non-CO2 emissions on land</v>
      </c>
      <c r="B50" t="str">
        <f>Constants!B107</f>
        <v>3C4 Direct N2O from managed soils (N2O)</v>
      </c>
      <c r="C50" t="s">
        <v>414</v>
      </c>
      <c r="D50" t="str">
        <f>Constants!D92</f>
        <v xml:space="preserve"> - TMR</v>
      </c>
      <c r="E50" t="str">
        <f>C50&amp;D50</f>
        <v>MM N available - TMR</v>
      </c>
      <c r="F50" t="s">
        <v>412</v>
      </c>
      <c r="H50" s="22">
        <f>((H5*Constants!$H40*Constants!$H58*(1-Constants!$H76))+(H5*Constants!$H40*Constants!$H92))</f>
        <v>16768553.295054734</v>
      </c>
      <c r="I50" s="22">
        <f>((I5*Constants!$H40*Constants!$H58*(1-Constants!$H76))+(I5*Constants!$H40*Constants!$H92))</f>
        <v>19304960.418965299</v>
      </c>
      <c r="J50" s="22">
        <f>((J5*Constants!$H40*Constants!$H58*(1-Constants!$H76))+(J5*Constants!$H40*Constants!$H92))</f>
        <v>16701288.624605378</v>
      </c>
      <c r="K50" s="22">
        <f>((K5*Constants!$H40*Constants!$H58*(1-Constants!$H76))+(K5*Constants!$H40*Constants!$H92))</f>
        <v>17713281.812601872</v>
      </c>
      <c r="L50" s="22">
        <f>((L5*Constants!$H40*Constants!$H58*(1-Constants!$H76))+(L5*Constants!$H40*Constants!$H92))</f>
        <v>16432229.94280795</v>
      </c>
      <c r="M50" s="22">
        <f>((M5*Constants!$H40*Constants!$H58*(1-Constants!$H76))+(M5*Constants!$H40*Constants!$H92))</f>
        <v>17578752.471703161</v>
      </c>
      <c r="N50" s="22">
        <f>((N5*Constants!$H40*Constants!$H58*(1-Constants!$H76))+(N5*Constants!$H40*Constants!$H92))</f>
        <v>17646017.142152518</v>
      </c>
      <c r="O50" s="22">
        <f>((O5*Constants!$H40*Constants!$H58*(1-Constants!$H76))+(O5*Constants!$H40*Constants!$H92))</f>
        <v>17011915.361174878</v>
      </c>
      <c r="P50" s="22">
        <f>((P5*Constants!$H40*Constants!$H58*(1-Constants!$H76))+(P5*Constants!$H40*Constants!$H92))</f>
        <v>16810121.349826809</v>
      </c>
      <c r="Q50" s="22">
        <f>((Q5*Constants!$H40*Constants!$H58*(1-Constants!$H76))+(Q5*Constants!$H40*Constants!$H92))</f>
        <v>16512342.921095951</v>
      </c>
      <c r="R50" s="22">
        <f>((R5*Constants!$H40*Constants!$H58*(1-Constants!$H76))+(R5*Constants!$H40*Constants!$H92))</f>
        <v>21261682.124508936</v>
      </c>
      <c r="S50" s="22">
        <f>((S5*Constants!$H40*Constants!$H58*(1-Constants!$H76))+(S5*Constants!$H40*Constants!$H92))</f>
        <v>21194417.454059578</v>
      </c>
      <c r="T50" s="22">
        <f>((T5*Constants!$H40*Constants!$H58*(1-Constants!$H76))+(T5*Constants!$H40*Constants!$H92))</f>
        <v>18481912.934478231</v>
      </c>
      <c r="U50" s="22">
        <f>((U5*Constants!$H40*Constants!$H58*(1-Constants!$H76))+(U5*Constants!$H40*Constants!$H92))</f>
        <v>16810121.349826809</v>
      </c>
      <c r="V50" s="22">
        <f>((V5*Constants!$H40*Constants!$H58*(1-Constants!$H76))+(V5*Constants!$H40*Constants!$H92))</f>
        <v>16230435.931459881</v>
      </c>
      <c r="W50" s="22">
        <f>((W5*Constants!$H40*Constants!$H58*(1-Constants!$H76))+(W5*Constants!$H40*Constants!$H92))</f>
        <v>17376958.460355092</v>
      </c>
      <c r="X50" s="22">
        <f>((X5*Constants!$H40*Constants!$H58*(1-Constants!$H76))+(X5*Constants!$H40*Constants!$H92))</f>
        <v>16999067.053336237</v>
      </c>
      <c r="Y50" s="22">
        <f>((Y5*Constants!$H40*Constants!$H58*(1-Constants!$H76))+(Y5*Constants!$H40*Constants!$H92))</f>
        <v>16877386.020276166</v>
      </c>
      <c r="Z50" s="22">
        <f>((Z5*Constants!$H40*Constants!$H58*(1-Constants!$H76))+(Z5*Constants!$H40*Constants!$H92))</f>
        <v>20669148.398303367</v>
      </c>
      <c r="AA50" s="22">
        <f>((AA5*Constants!$H40*Constants!$H58*(1-Constants!$H76))+(AA5*Constants!$H40*Constants!$H92))</f>
        <v>21181569.146220937</v>
      </c>
      <c r="AB50" s="22">
        <f>((AB5*Constants!$H40*Constants!$H58*(1-Constants!$H76))+(AB5*Constants!$H40*Constants!$H92))</f>
        <v>21181569.146220937</v>
      </c>
      <c r="AC50" s="22">
        <f>((AC5*Constants!$H40*Constants!$H58*(1-Constants!$H76))+(AC5*Constants!$H40*Constants!$H92))</f>
        <v>20412938.024344582</v>
      </c>
      <c r="AD50" s="22">
        <f>((AD5*Constants!$H40*Constants!$H58*(1-Constants!$H76))+(AD5*Constants!$H40*Constants!$H92))</f>
        <v>20313711.383939967</v>
      </c>
      <c r="AE50" s="22">
        <f>((AE5*Constants!$H40*Constants!$H58*(1-Constants!$H76))+(AE5*Constants!$H40*Constants!$H92))</f>
        <v>20505986.910982244</v>
      </c>
      <c r="AF50" s="22">
        <f>((AF5*Constants!$H40*Constants!$H58*(1-Constants!$H76))+(AF5*Constants!$H40*Constants!$H92))</f>
        <v>20652745.486727018</v>
      </c>
      <c r="AG50" s="22">
        <f>((AG5*Constants!$H40*Constants!$H58*(1-Constants!$H76))+(AG5*Constants!$H40*Constants!$H92))</f>
        <v>20751985.609719183</v>
      </c>
      <c r="AH50" s="22">
        <f>((AH5*Constants!$H40*Constants!$H58*(1-Constants!$H76))+(AH5*Constants!$H40*Constants!$H92))</f>
        <v>20812532.024667501</v>
      </c>
      <c r="AI50" s="22">
        <f>((AI5*Constants!$H40*Constants!$H58*(1-Constants!$H76))+(AI5*Constants!$H40*Constants!$H92))</f>
        <v>20906172.692244697</v>
      </c>
      <c r="AJ50" s="22">
        <f>((AJ5*Constants!$H40*Constants!$H58*(1-Constants!$H76))+(AJ5*Constants!$H40*Constants!$H92))</f>
        <v>20986383.450403027</v>
      </c>
      <c r="AK50" s="22">
        <f>((AK5*Constants!$H40*Constants!$H58*(1-Constants!$H76))+(AK5*Constants!$H40*Constants!$H92))</f>
        <v>21054005.33823159</v>
      </c>
      <c r="AL50" s="22">
        <f>((AL5*Constants!$H40*Constants!$H58*(1-Constants!$H76))+(AL5*Constants!$H40*Constants!$H92))</f>
        <v>20390574.47892404</v>
      </c>
      <c r="AM50" s="22">
        <f>((AM5*Constants!$H40*Constants!$H58*(1-Constants!$H76))+(AM5*Constants!$H40*Constants!$H92))</f>
        <v>20570595.4773033</v>
      </c>
      <c r="AN50" s="22">
        <f>((AN5*Constants!$H40*Constants!$H58*(1-Constants!$H76))+(AN5*Constants!$H40*Constants!$H92))</f>
        <v>20741711.708929561</v>
      </c>
      <c r="AO50" s="22">
        <f>((AO5*Constants!$H40*Constants!$H58*(1-Constants!$H76))+(AO5*Constants!$H40*Constants!$H92))</f>
        <v>20913408.251784682</v>
      </c>
      <c r="AP50" s="22">
        <f>((AP5*Constants!$H40*Constants!$H58*(1-Constants!$H76))+(AP5*Constants!$H40*Constants!$H92))</f>
        <v>21077645.841657717</v>
      </c>
      <c r="AQ50" s="22">
        <f>((AQ5*Constants!$H40*Constants!$H58*(1-Constants!$H76))+(AQ5*Constants!$H40*Constants!$H92))</f>
        <v>21248305.127276938</v>
      </c>
      <c r="AR50" s="22">
        <f>((AR5*Constants!$H40*Constants!$H58*(1-Constants!$H76))+(AR5*Constants!$H40*Constants!$H92))</f>
        <v>21450414.004802555</v>
      </c>
      <c r="AS50" s="22">
        <f>((AS5*Constants!$H40*Constants!$H58*(1-Constants!$H76))+(AS5*Constants!$H40*Constants!$H92))</f>
        <v>21649080.418198388</v>
      </c>
      <c r="AT50" s="22">
        <f>((AT5*Constants!$H40*Constants!$H58*(1-Constants!$H76))+(AT5*Constants!$H40*Constants!$H92))</f>
        <v>21855859.872709379</v>
      </c>
      <c r="AU50" s="22">
        <f>((AU5*Constants!$H40*Constants!$H58*(1-Constants!$H76))+(AU5*Constants!$H40*Constants!$H92))</f>
        <v>22068042.355781302</v>
      </c>
      <c r="AV50" s="22">
        <f>((AV5*Constants!$H40*Constants!$H58*(1-Constants!$H76))+(AV5*Constants!$H40*Constants!$H92))</f>
        <v>22286067.413328268</v>
      </c>
      <c r="AW50" s="22">
        <f>((AW5*Constants!$H40*Constants!$H58*(1-Constants!$H76))+(AW5*Constants!$H40*Constants!$H92))</f>
        <v>22545812.844593383</v>
      </c>
      <c r="AX50" s="22">
        <f>((AX5*Constants!$H40*Constants!$H58*(1-Constants!$H76))+(AX5*Constants!$H40*Constants!$H92))</f>
        <v>22790534.247882955</v>
      </c>
      <c r="AY50" s="22">
        <f>((AY5*Constants!$H40*Constants!$H58*(1-Constants!$H76))+(AY5*Constants!$H40*Constants!$H92))</f>
        <v>23059193.938649733</v>
      </c>
      <c r="AZ50" s="22">
        <f>((AZ5*Constants!$H40*Constants!$H58*(1-Constants!$H76))+(AZ5*Constants!$H40*Constants!$H92))</f>
        <v>23342734.593131583</v>
      </c>
      <c r="BA50" s="22">
        <f>((BA5*Constants!$H40*Constants!$H58*(1-Constants!$H76))+(BA5*Constants!$H40*Constants!$H92))</f>
        <v>23641289.460699182</v>
      </c>
      <c r="BB50" s="22">
        <f>((BB5*Constants!$H40*Constants!$H58*(1-Constants!$H76))+(BB5*Constants!$H40*Constants!$H92))</f>
        <v>23944342.730495792</v>
      </c>
      <c r="BC50" s="22">
        <f>((BC5*Constants!$H40*Constants!$H58*(1-Constants!$H76))+(BC5*Constants!$H40*Constants!$H92))</f>
        <v>24255631.947518993</v>
      </c>
      <c r="BD50" s="22">
        <f>((BD5*Constants!$H40*Constants!$H58*(1-Constants!$H76))+(BD5*Constants!$H40*Constants!$H92))</f>
        <v>24567084.360863399</v>
      </c>
      <c r="BE50" s="22">
        <f>((BE5*Constants!$H40*Constants!$H58*(1-Constants!$H76))+(BE5*Constants!$H40*Constants!$H92))</f>
        <v>24886268.131025065</v>
      </c>
      <c r="BF50" s="22">
        <f>((BF5*Constants!$H40*Constants!$H58*(1-Constants!$H76))+(BF5*Constants!$H40*Constants!$H92))</f>
        <v>25219276.284183383</v>
      </c>
      <c r="BG50" s="22">
        <f>((BG5*Constants!$H40*Constants!$H58*(1-Constants!$H76))+(BG5*Constants!$H40*Constants!$H92))</f>
        <v>25562515.859778084</v>
      </c>
      <c r="BH50" s="22">
        <f>((BH5*Constants!$H40*Constants!$H58*(1-Constants!$H76))+(BH5*Constants!$H40*Constants!$H92))</f>
        <v>25914626.175210219</v>
      </c>
      <c r="BI50" s="22">
        <f>((BI5*Constants!$H40*Constants!$H58*(1-Constants!$H76))+(BI5*Constants!$H40*Constants!$H92))</f>
        <v>26274339.357546896</v>
      </c>
      <c r="BJ50" s="22">
        <f>((BJ5*Constants!$H40*Constants!$H58*(1-Constants!$H76))+(BJ5*Constants!$H40*Constants!$H92))</f>
        <v>26643012.377799165</v>
      </c>
      <c r="BK50" s="22">
        <f>((BK5*Constants!$H40*Constants!$H58*(1-Constants!$H76))+(BK5*Constants!$H40*Constants!$H92))</f>
        <v>27027093.621484376</v>
      </c>
      <c r="BL50" s="22">
        <f>((BL5*Constants!$H40*Constants!$H58*(1-Constants!$H76))+(BL5*Constants!$H40*Constants!$H92))</f>
        <v>27421445.302263204</v>
      </c>
      <c r="BM50" s="22">
        <f>((BM5*Constants!$H40*Constants!$H58*(1-Constants!$H76))+(BM5*Constants!$H40*Constants!$H92))</f>
        <v>27826484.676127024</v>
      </c>
      <c r="BN50" s="22">
        <f>((BN5*Constants!$H40*Constants!$H58*(1-Constants!$H76))+(BN5*Constants!$H40*Constants!$H92))</f>
        <v>28229110.390638016</v>
      </c>
      <c r="BO50" s="22">
        <f>((BO5*Constants!$H40*Constants!$H58*(1-Constants!$H76))+(BO5*Constants!$H40*Constants!$H92))</f>
        <v>28643029.691980034</v>
      </c>
      <c r="BP50" s="22">
        <f>((BP5*Constants!$H40*Constants!$H58*(1-Constants!$H76))+(BP5*Constants!$H40*Constants!$H92))</f>
        <v>29068877.498705164</v>
      </c>
    </row>
    <row r="51" spans="1:72" x14ac:dyDescent="0.25">
      <c r="A51" t="str">
        <f t="shared" ref="A51:A65" si="23">A50</f>
        <v>3C Aggregated and non-CO2 emissions on land</v>
      </c>
      <c r="B51" t="str">
        <f t="shared" ref="B51:B65" si="24">B50</f>
        <v>3C4 Direct N2O from managed soils (N2O)</v>
      </c>
      <c r="C51" t="s">
        <v>414</v>
      </c>
      <c r="D51" t="str">
        <f>Constants!D93</f>
        <v xml:space="preserve"> - Pasture</v>
      </c>
      <c r="E51" t="str">
        <f t="shared" ref="E51" si="25">C51&amp;D51</f>
        <v>MM N available - Pasture</v>
      </c>
      <c r="F51" t="str">
        <f>F50</f>
        <v>kg N</v>
      </c>
      <c r="H51" s="22">
        <f>((H6*Constants!$H41*Constants!$H59*(1-Constants!$H77))+(H6*Constants!$H41*Constants!$H93))</f>
        <v>48497097.884958483</v>
      </c>
      <c r="I51" s="22">
        <f>((I6*Constants!$H41*Constants!$H59*(1-Constants!$H77))+(I6*Constants!$H41*Constants!$H93))</f>
        <v>55832756.626650497</v>
      </c>
      <c r="J51" s="22">
        <f>((J6*Constants!$H41*Constants!$H59*(1-Constants!$H77))+(J6*Constants!$H41*Constants!$H93))</f>
        <v>48302558.663262829</v>
      </c>
      <c r="K51" s="22">
        <f>((K6*Constants!$H41*Constants!$H59*(1-Constants!$H77))+(K6*Constants!$H41*Constants!$H93))</f>
        <v>51229390.324504077</v>
      </c>
      <c r="L51" s="22">
        <f>((L6*Constants!$H41*Constants!$H59*(1-Constants!$H77))+(L6*Constants!$H41*Constants!$H93))</f>
        <v>47524401.776480258</v>
      </c>
      <c r="M51" s="22">
        <f>((M6*Constants!$H41*Constants!$H59*(1-Constants!$H77))+(M6*Constants!$H41*Constants!$H93))</f>
        <v>50840311.881112777</v>
      </c>
      <c r="N51" s="22">
        <f>((N6*Constants!$H41*Constants!$H59*(1-Constants!$H77))+(N6*Constants!$H41*Constants!$H93))</f>
        <v>51034851.102808431</v>
      </c>
      <c r="O51" s="22">
        <f>((O6*Constants!$H41*Constants!$H59*(1-Constants!$H77))+(O6*Constants!$H41*Constants!$H93))</f>
        <v>49200936.417385429</v>
      </c>
      <c r="P51" s="22">
        <f>((P6*Constants!$H41*Constants!$H59*(1-Constants!$H77))+(P6*Constants!$H41*Constants!$H93))</f>
        <v>48617318.752298489</v>
      </c>
      <c r="Q51" s="22">
        <f>((Q6*Constants!$H41*Constants!$H59*(1-Constants!$H77))+(Q6*Constants!$H41*Constants!$H93))</f>
        <v>47756100.175353706</v>
      </c>
      <c r="R51" s="22">
        <f>((R6*Constants!$H41*Constants!$H59*(1-Constants!$H77))+(R6*Constants!$H41*Constants!$H93))</f>
        <v>61491880.727437332</v>
      </c>
      <c r="S51" s="22">
        <f>((S6*Constants!$H41*Constants!$H59*(1-Constants!$H77))+(S6*Constants!$H41*Constants!$H93))</f>
        <v>61297341.505741686</v>
      </c>
      <c r="T51" s="22">
        <f>((T6*Constants!$H41*Constants!$H59*(1-Constants!$H77))+(T6*Constants!$H41*Constants!$H93))</f>
        <v>53452383.453318357</v>
      </c>
      <c r="U51" s="22">
        <f>((U6*Constants!$H41*Constants!$H59*(1-Constants!$H77))+(U6*Constants!$H41*Constants!$H93))</f>
        <v>48617318.752298489</v>
      </c>
      <c r="V51" s="22">
        <f>((V6*Constants!$H41*Constants!$H59*(1-Constants!$H77))+(V6*Constants!$H41*Constants!$H93))</f>
        <v>46940784.111393303</v>
      </c>
      <c r="W51" s="22">
        <f>((W6*Constants!$H41*Constants!$H59*(1-Constants!$H77))+(W6*Constants!$H41*Constants!$H93))</f>
        <v>50256694.216025844</v>
      </c>
      <c r="X51" s="22">
        <f>((X6*Constants!$H41*Constants!$H59*(1-Constants!$H77))+(X6*Constants!$H41*Constants!$H93))</f>
        <v>49163777.240207598</v>
      </c>
      <c r="Y51" s="22">
        <f>((Y6*Constants!$H41*Constants!$H59*(1-Constants!$H77))+(Y6*Constants!$H41*Constants!$H93))</f>
        <v>48811857.973994136</v>
      </c>
      <c r="Z51" s="22">
        <f>((Z6*Constants!$H41*Constants!$H59*(1-Constants!$H77))+(Z6*Constants!$H41*Constants!$H93))</f>
        <v>59778186.909354329</v>
      </c>
      <c r="AA51" s="22">
        <f>((AA6*Constants!$H41*Constants!$H59*(1-Constants!$H77))+(AA6*Constants!$H41*Constants!$H93))</f>
        <v>61260182.328563854</v>
      </c>
      <c r="AB51" s="22">
        <f>((AB6*Constants!$H41*Constants!$H59*(1-Constants!$H77))+(AB6*Constants!$H41*Constants!$H93))</f>
        <v>61260182.328563854</v>
      </c>
      <c r="AC51" s="22">
        <f>((AC6*Constants!$H41*Constants!$H59*(1-Constants!$H77))+(AC6*Constants!$H41*Constants!$H93))</f>
        <v>59037189.199749559</v>
      </c>
      <c r="AD51" s="22">
        <f>((AD6*Constants!$H41*Constants!$H59*(1-Constants!$H77))+(AD6*Constants!$H41*Constants!$H93))</f>
        <v>58651912.012919366</v>
      </c>
      <c r="AE51" s="22">
        <f>((AE6*Constants!$H41*Constants!$H59*(1-Constants!$H77))+(AE6*Constants!$H41*Constants!$H93))</f>
        <v>59207070.40230345</v>
      </c>
      <c r="AF51" s="22">
        <f>((AF6*Constants!$H41*Constants!$H59*(1-Constants!$H77))+(AF6*Constants!$H41*Constants!$H93))</f>
        <v>59630807.399892613</v>
      </c>
      <c r="AG51" s="22">
        <f>((AG6*Constants!$H41*Constants!$H59*(1-Constants!$H77))+(AG6*Constants!$H41*Constants!$H93))</f>
        <v>59917344.057417944</v>
      </c>
      <c r="AH51" s="22">
        <f>((AH6*Constants!$H41*Constants!$H59*(1-Constants!$H77))+(AH6*Constants!$H41*Constants!$H93))</f>
        <v>60092160.118113473</v>
      </c>
      <c r="AI51" s="22">
        <f>((AI6*Constants!$H41*Constants!$H59*(1-Constants!$H77))+(AI6*Constants!$H41*Constants!$H93))</f>
        <v>60362529.431320846</v>
      </c>
      <c r="AJ51" s="22">
        <f>((AJ6*Constants!$H41*Constants!$H59*(1-Constants!$H77))+(AJ6*Constants!$H41*Constants!$H93))</f>
        <v>60594122.479044825</v>
      </c>
      <c r="AK51" s="22">
        <f>((AK6*Constants!$H41*Constants!$H59*(1-Constants!$H77))+(AK6*Constants!$H41*Constants!$H93))</f>
        <v>60789367.598959439</v>
      </c>
      <c r="AL51" s="22">
        <f>((AL6*Constants!$H41*Constants!$H59*(1-Constants!$H77))+(AL6*Constants!$H41*Constants!$H93))</f>
        <v>58873839.330820024</v>
      </c>
      <c r="AM51" s="22">
        <f>((AM6*Constants!$H41*Constants!$H59*(1-Constants!$H77))+(AM6*Constants!$H41*Constants!$H93))</f>
        <v>59393615.139280424</v>
      </c>
      <c r="AN51" s="22">
        <f>((AN6*Constants!$H41*Constants!$H59*(1-Constants!$H77))+(AN6*Constants!$H41*Constants!$H93))</f>
        <v>59887680.156333901</v>
      </c>
      <c r="AO51" s="22">
        <f>((AO6*Constants!$H41*Constants!$H59*(1-Constants!$H77))+(AO6*Constants!$H41*Constants!$H93))</f>
        <v>60383420.709801763</v>
      </c>
      <c r="AP51" s="22">
        <f>((AP6*Constants!$H41*Constants!$H59*(1-Constants!$H77))+(AP6*Constants!$H41*Constants!$H93))</f>
        <v>60857624.979439229</v>
      </c>
      <c r="AQ51" s="22">
        <f>((AQ6*Constants!$H41*Constants!$H59*(1-Constants!$H77))+(AQ6*Constants!$H41*Constants!$H93))</f>
        <v>61350370.653291807</v>
      </c>
      <c r="AR51" s="22">
        <f>((AR6*Constants!$H41*Constants!$H59*(1-Constants!$H77))+(AR6*Constants!$H41*Constants!$H93))</f>
        <v>61933920.93997325</v>
      </c>
      <c r="AS51" s="22">
        <f>((AS6*Constants!$H41*Constants!$H59*(1-Constants!$H77))+(AS6*Constants!$H41*Constants!$H93))</f>
        <v>62507531.777411208</v>
      </c>
      <c r="AT51" s="22">
        <f>((AT6*Constants!$H41*Constants!$H59*(1-Constants!$H77))+(AT6*Constants!$H41*Constants!$H93))</f>
        <v>63104567.451633036</v>
      </c>
      <c r="AU51" s="22">
        <f>((AU6*Constants!$H41*Constants!$H59*(1-Constants!$H77))+(AU6*Constants!$H41*Constants!$H93))</f>
        <v>63717203.325629741</v>
      </c>
      <c r="AV51" s="22">
        <f>((AV6*Constants!$H41*Constants!$H59*(1-Constants!$H77))+(AV6*Constants!$H41*Constants!$H93))</f>
        <v>64346708.503199913</v>
      </c>
      <c r="AW51" s="22">
        <f>((AW6*Constants!$H41*Constants!$H59*(1-Constants!$H77))+(AW6*Constants!$H41*Constants!$H93))</f>
        <v>65096673.189237721</v>
      </c>
      <c r="AX51" s="22">
        <f>((AX6*Constants!$H41*Constants!$H59*(1-Constants!$H77))+(AX6*Constants!$H41*Constants!$H93))</f>
        <v>65803258.900835767</v>
      </c>
      <c r="AY51" s="22">
        <f>((AY6*Constants!$H41*Constants!$H59*(1-Constants!$H77))+(AY6*Constants!$H41*Constants!$H93))</f>
        <v>66578961.786755919</v>
      </c>
      <c r="AZ51" s="22">
        <f>((AZ6*Constants!$H41*Constants!$H59*(1-Constants!$H77))+(AZ6*Constants!$H41*Constants!$H93))</f>
        <v>67397630.576738954</v>
      </c>
      <c r="BA51" s="22">
        <f>((BA6*Constants!$H41*Constants!$H59*(1-Constants!$H77))+(BA6*Constants!$H41*Constants!$H93))</f>
        <v>68259650.002566174</v>
      </c>
      <c r="BB51" s="22">
        <f>((BB6*Constants!$H41*Constants!$H59*(1-Constants!$H77))+(BB6*Constants!$H41*Constants!$H93))</f>
        <v>69134657.694631279</v>
      </c>
      <c r="BC51" s="22">
        <f>((BC6*Constants!$H41*Constants!$H59*(1-Constants!$H77))+(BC6*Constants!$H41*Constants!$H93))</f>
        <v>70033445.091101348</v>
      </c>
      <c r="BD51" s="22">
        <f>((BD6*Constants!$H41*Constants!$H59*(1-Constants!$H77))+(BD6*Constants!$H41*Constants!$H93))</f>
        <v>70932703.685379192</v>
      </c>
      <c r="BE51" s="22">
        <f>((BE6*Constants!$H41*Constants!$H59*(1-Constants!$H77))+(BE6*Constants!$H41*Constants!$H93))</f>
        <v>71854285.076866031</v>
      </c>
      <c r="BF51" s="22">
        <f>((BF6*Constants!$H41*Constants!$H59*(1-Constants!$H77))+(BF6*Constants!$H41*Constants!$H93))</f>
        <v>72815781.699982777</v>
      </c>
      <c r="BG51" s="22">
        <f>((BG6*Constants!$H41*Constants!$H59*(1-Constants!$H77))+(BG6*Constants!$H41*Constants!$H93))</f>
        <v>73806819.576155841</v>
      </c>
      <c r="BH51" s="22">
        <f>((BH6*Constants!$H41*Constants!$H59*(1-Constants!$H77))+(BH6*Constants!$H41*Constants!$H93))</f>
        <v>74823469.997599453</v>
      </c>
      <c r="BI51" s="22">
        <f>((BI6*Constants!$H41*Constants!$H59*(1-Constants!$H77))+(BI6*Constants!$H41*Constants!$H93))</f>
        <v>75862072.226485014</v>
      </c>
      <c r="BJ51" s="22">
        <f>((BJ6*Constants!$H41*Constants!$H59*(1-Constants!$H77))+(BJ6*Constants!$H41*Constants!$H93))</f>
        <v>76926544.254106134</v>
      </c>
      <c r="BK51" s="22">
        <f>((BK6*Constants!$H41*Constants!$H59*(1-Constants!$H77))+(BK6*Constants!$H41*Constants!$H93))</f>
        <v>78035504.546229243</v>
      </c>
      <c r="BL51" s="22">
        <f>((BL6*Constants!$H41*Constants!$H59*(1-Constants!$H77))+(BL6*Constants!$H41*Constants!$H93))</f>
        <v>79174118.738684118</v>
      </c>
      <c r="BM51" s="22">
        <f>((BM6*Constants!$H41*Constants!$H59*(1-Constants!$H77))+(BM6*Constants!$H41*Constants!$H93))</f>
        <v>80343591.577429384</v>
      </c>
      <c r="BN51" s="22">
        <f>((BN6*Constants!$H41*Constants!$H59*(1-Constants!$H77))+(BN6*Constants!$H41*Constants!$H93))</f>
        <v>81506095.441706389</v>
      </c>
      <c r="BO51" s="22">
        <f>((BO6*Constants!$H41*Constants!$H59*(1-Constants!$H77))+(BO6*Constants!$H41*Constants!$H93))</f>
        <v>82701207.353257641</v>
      </c>
      <c r="BP51" s="22">
        <f>((BP6*Constants!$H41*Constants!$H59*(1-Constants!$H77))+(BP6*Constants!$H41*Constants!$H93))</f>
        <v>83930760.516579822</v>
      </c>
    </row>
    <row r="52" spans="1:72" x14ac:dyDescent="0.25">
      <c r="A52" t="str">
        <f t="shared" si="23"/>
        <v>3C Aggregated and non-CO2 emissions on land</v>
      </c>
      <c r="B52" t="str">
        <f t="shared" si="24"/>
        <v>3C4 Direct N2O from managed soils (N2O)</v>
      </c>
      <c r="C52" t="s">
        <v>414</v>
      </c>
      <c r="D52" t="str">
        <f>Constants!D94</f>
        <v xml:space="preserve"> - Non-lactating</v>
      </c>
      <c r="E52" t="str">
        <f t="shared" ref="E52:E66" si="26">C52&amp;D52</f>
        <v>MM N available - Non-lactating</v>
      </c>
      <c r="F52" t="str">
        <f t="shared" ref="F52:F66" si="27">F51</f>
        <v>kg N</v>
      </c>
      <c r="H52" s="22">
        <f>((H7*Constants!$H42*Constants!$H60*(1-Constants!$H78))+(H7*Constants!$H42*Constants!$H94))</f>
        <v>3062615.1790069034</v>
      </c>
      <c r="I52" s="22">
        <f>((I7*Constants!$H42*Constants!$H60*(1-Constants!$H78))+(I7*Constants!$H42*Constants!$H94))</f>
        <v>3481151.0311277835</v>
      </c>
      <c r="J52" s="22">
        <f>((J7*Constants!$H42*Constants!$H60*(1-Constants!$H78))+(J7*Constants!$H42*Constants!$H94))</f>
        <v>3011204.707020822</v>
      </c>
      <c r="K52" s="22">
        <f>((K7*Constants!$H42*Constants!$H60*(1-Constants!$H78))+(K7*Constants!$H42*Constants!$H94))</f>
        <v>3151320.9974138029</v>
      </c>
      <c r="L52" s="22">
        <f>((L7*Constants!$H42*Constants!$H60*(1-Constants!$H78))+(L7*Constants!$H42*Constants!$H94))</f>
        <v>2805562.8190765027</v>
      </c>
      <c r="M52" s="22">
        <f>((M7*Constants!$H42*Constants!$H60*(1-Constants!$H78))+(M7*Constants!$H42*Constants!$H94))</f>
        <v>3048500.0534416419</v>
      </c>
      <c r="N52" s="22">
        <f>((N7*Constants!$H42*Constants!$H60*(1-Constants!$H78))+(N7*Constants!$H42*Constants!$H94))</f>
        <v>3099910.5254277219</v>
      </c>
      <c r="O52" s="22">
        <f>((O7*Constants!$H42*Constants!$H60*(1-Constants!$H78))+(O7*Constants!$H42*Constants!$H94))</f>
        <v>2995276.5623975019</v>
      </c>
      <c r="P52" s="22">
        <f>((P7*Constants!$H42*Constants!$H60*(1-Constants!$H78))+(P7*Constants!$H42*Constants!$H94))</f>
        <v>2841045.1464392617</v>
      </c>
      <c r="Q52" s="22">
        <f>((Q7*Constants!$H42*Constants!$H60*(1-Constants!$H78))+(Q7*Constants!$H42*Constants!$H94))</f>
        <v>2993463.5433394425</v>
      </c>
      <c r="R52" s="22">
        <f>((R7*Constants!$H42*Constants!$H60*(1-Constants!$H78))+(R7*Constants!$H42*Constants!$H94))</f>
        <v>3709973.1399276629</v>
      </c>
      <c r="S52" s="22">
        <f>((S7*Constants!$H42*Constants!$H60*(1-Constants!$H78))+(S7*Constants!$H42*Constants!$H94))</f>
        <v>3658562.6679415829</v>
      </c>
      <c r="T52" s="22">
        <f>((T7*Constants!$H42*Constants!$H60*(1-Constants!$H78))+(T7*Constants!$H42*Constants!$H94))</f>
        <v>3358775.904416183</v>
      </c>
      <c r="U52" s="22">
        <f>((U7*Constants!$H42*Constants!$H60*(1-Constants!$H78))+(U7*Constants!$H42*Constants!$H94))</f>
        <v>2841045.1464392617</v>
      </c>
      <c r="V52" s="22">
        <f>((V7*Constants!$H42*Constants!$H60*(1-Constants!$H78))+(V7*Constants!$H42*Constants!$H94))</f>
        <v>2651331.4031182611</v>
      </c>
      <c r="W52" s="22">
        <f>((W7*Constants!$H42*Constants!$H60*(1-Constants!$H78))+(W7*Constants!$H42*Constants!$H94))</f>
        <v>2894268.6374834022</v>
      </c>
      <c r="X52" s="22">
        <f>((X7*Constants!$H42*Constants!$H60*(1-Constants!$H78))+(X7*Constants!$H42*Constants!$H94))</f>
        <v>2858786.3101206413</v>
      </c>
      <c r="Y52" s="22">
        <f>((Y7*Constants!$H42*Constants!$H60*(1-Constants!$H78))+(Y7*Constants!$H42*Constants!$H94))</f>
        <v>2892455.6184253423</v>
      </c>
      <c r="Z52" s="22">
        <f>((Z7*Constants!$H42*Constants!$H60*(1-Constants!$H78))+(Z7*Constants!$H42*Constants!$H94))</f>
        <v>3383769.1443298031</v>
      </c>
      <c r="AA52" s="22">
        <f>((AA7*Constants!$H42*Constants!$H60*(1-Constants!$H78))+(AA7*Constants!$H42*Constants!$H94))</f>
        <v>3522072.4156647222</v>
      </c>
      <c r="AB52" s="22">
        <f>((AB7*Constants!$H42*Constants!$H60*(1-Constants!$H78))+(AB7*Constants!$H42*Constants!$H94))</f>
        <v>3522072.4156647222</v>
      </c>
      <c r="AC52" s="22">
        <f>((AC7*Constants!$H42*Constants!$H60*(1-Constants!$H78))+(AC7*Constants!$H42*Constants!$H94))</f>
        <v>3314617.5086623426</v>
      </c>
      <c r="AD52" s="22">
        <f>((AD7*Constants!$H42*Constants!$H60*(1-Constants!$H78))+(AD7*Constants!$H42*Constants!$H94))</f>
        <v>3372490.8469079882</v>
      </c>
      <c r="AE52" s="22">
        <f>((AE7*Constants!$H42*Constants!$H60*(1-Constants!$H78))+(AE7*Constants!$H42*Constants!$H94))</f>
        <v>3401767.9476368851</v>
      </c>
      <c r="AF52" s="22">
        <f>((AF7*Constants!$H42*Constants!$H60*(1-Constants!$H78))+(AF7*Constants!$H42*Constants!$H94))</f>
        <v>3424114.3464272236</v>
      </c>
      <c r="AG52" s="22">
        <f>((AG7*Constants!$H42*Constants!$H60*(1-Constants!$H78))+(AG7*Constants!$H42*Constants!$H94))</f>
        <v>3439225.2818743074</v>
      </c>
      <c r="AH52" s="22">
        <f>((AH7*Constants!$H42*Constants!$H60*(1-Constants!$H78))+(AH7*Constants!$H42*Constants!$H94))</f>
        <v>3448444.4660132527</v>
      </c>
      <c r="AI52" s="22">
        <f>((AI7*Constants!$H42*Constants!$H60*(1-Constants!$H78))+(AI7*Constants!$H42*Constants!$H94))</f>
        <v>3462702.7925884072</v>
      </c>
      <c r="AJ52" s="22">
        <f>((AJ7*Constants!$H42*Constants!$H60*(1-Constants!$H78))+(AJ7*Constants!$H42*Constants!$H94))</f>
        <v>3474916.1953145186</v>
      </c>
      <c r="AK52" s="22">
        <f>((AK7*Constants!$H42*Constants!$H60*(1-Constants!$H78))+(AK7*Constants!$H42*Constants!$H94))</f>
        <v>3485212.736179023</v>
      </c>
      <c r="AL52" s="22">
        <f>((AL7*Constants!$H42*Constants!$H60*(1-Constants!$H78))+(AL7*Constants!$H42*Constants!$H94))</f>
        <v>3384194.5130416844</v>
      </c>
      <c r="AM52" s="22">
        <f>((AM7*Constants!$H42*Constants!$H60*(1-Constants!$H78))+(AM7*Constants!$H42*Constants!$H94))</f>
        <v>3411605.660908191</v>
      </c>
      <c r="AN52" s="22">
        <f>((AN7*Constants!$H42*Constants!$H60*(1-Constants!$H78))+(AN7*Constants!$H42*Constants!$H94))</f>
        <v>3437660.9120716411</v>
      </c>
      <c r="AO52" s="22">
        <f>((AO7*Constants!$H42*Constants!$H60*(1-Constants!$H78))+(AO7*Constants!$H42*Constants!$H94))</f>
        <v>3463804.5251320153</v>
      </c>
      <c r="AP52" s="22">
        <f>((AP7*Constants!$H42*Constants!$H60*(1-Constants!$H78))+(AP7*Constants!$H42*Constants!$H94))</f>
        <v>3488812.3903354066</v>
      </c>
      <c r="AQ52" s="22">
        <f>((AQ7*Constants!$H42*Constants!$H60*(1-Constants!$H78))+(AQ7*Constants!$H42*Constants!$H94))</f>
        <v>3514798.0639791312</v>
      </c>
      <c r="AR52" s="22">
        <f>((AR7*Constants!$H42*Constants!$H60*(1-Constants!$H78))+(AR7*Constants!$H42*Constants!$H94))</f>
        <v>3545572.4535051617</v>
      </c>
      <c r="AS52" s="22">
        <f>((AS7*Constants!$H42*Constants!$H60*(1-Constants!$H78))+(AS7*Constants!$H42*Constants!$H94))</f>
        <v>3575822.6714393431</v>
      </c>
      <c r="AT52" s="22">
        <f>((AT7*Constants!$H42*Constants!$H60*(1-Constants!$H78))+(AT7*Constants!$H42*Constants!$H94))</f>
        <v>3607308.232870433</v>
      </c>
      <c r="AU52" s="22">
        <f>((AU7*Constants!$H42*Constants!$H60*(1-Constants!$H78))+(AU7*Constants!$H42*Constants!$H94))</f>
        <v>3639616.4939651396</v>
      </c>
      <c r="AV52" s="22">
        <f>((AV7*Constants!$H42*Constants!$H60*(1-Constants!$H78))+(AV7*Constants!$H42*Constants!$H94))</f>
        <v>3672814.3827938242</v>
      </c>
      <c r="AW52" s="22">
        <f>((AW7*Constants!$H42*Constants!$H60*(1-Constants!$H78))+(AW7*Constants!$H42*Constants!$H94))</f>
        <v>3712364.8823919743</v>
      </c>
      <c r="AX52" s="22">
        <f>((AX7*Constants!$H42*Constants!$H60*(1-Constants!$H78))+(AX7*Constants!$H42*Constants!$H94))</f>
        <v>3749627.7274603979</v>
      </c>
      <c r="AY52" s="22">
        <f>((AY7*Constants!$H42*Constants!$H60*(1-Constants!$H78))+(AY7*Constants!$H42*Constants!$H94))</f>
        <v>3790535.5691881916</v>
      </c>
      <c r="AZ52" s="22">
        <f>((AZ7*Constants!$H42*Constants!$H60*(1-Constants!$H78))+(AZ7*Constants!$H42*Constants!$H94))</f>
        <v>3833709.2815669766</v>
      </c>
      <c r="BA52" s="22">
        <f>((BA7*Constants!$H42*Constants!$H60*(1-Constants!$H78))+(BA7*Constants!$H42*Constants!$H94))</f>
        <v>3879169.1539976327</v>
      </c>
      <c r="BB52" s="22">
        <f>((BB7*Constants!$H42*Constants!$H60*(1-Constants!$H78))+(BB7*Constants!$H42*Constants!$H94))</f>
        <v>3925313.9819044429</v>
      </c>
      <c r="BC52" s="22">
        <f>((BC7*Constants!$H42*Constants!$H60*(1-Constants!$H78))+(BC7*Constants!$H42*Constants!$H94))</f>
        <v>3972712.8677782761</v>
      </c>
      <c r="BD52" s="22">
        <f>((BD7*Constants!$H42*Constants!$H60*(1-Constants!$H78))+(BD7*Constants!$H42*Constants!$H94))</f>
        <v>4020136.602967089</v>
      </c>
      <c r="BE52" s="22">
        <f>((BE7*Constants!$H42*Constants!$H60*(1-Constants!$H78))+(BE7*Constants!$H42*Constants!$H94))</f>
        <v>4068737.563961972</v>
      </c>
      <c r="BF52" s="22">
        <f>((BF7*Constants!$H42*Constants!$H60*(1-Constants!$H78))+(BF7*Constants!$H42*Constants!$H94))</f>
        <v>4119443.5138742374</v>
      </c>
      <c r="BG52" s="22">
        <f>((BG7*Constants!$H42*Constants!$H60*(1-Constants!$H78))+(BG7*Constants!$H42*Constants!$H94))</f>
        <v>4171707.3655635919</v>
      </c>
      <c r="BH52" s="22">
        <f>((BH7*Constants!$H42*Constants!$H60*(1-Constants!$H78))+(BH7*Constants!$H42*Constants!$H94))</f>
        <v>4225321.9328003461</v>
      </c>
      <c r="BI52" s="22">
        <f>((BI7*Constants!$H42*Constants!$H60*(1-Constants!$H78))+(BI7*Constants!$H42*Constants!$H94))</f>
        <v>4280094.1611477816</v>
      </c>
      <c r="BJ52" s="22">
        <f>((BJ7*Constants!$H42*Constants!$H60*(1-Constants!$H78))+(BJ7*Constants!$H42*Constants!$H94))</f>
        <v>4336230.6716854908</v>
      </c>
      <c r="BK52" s="22">
        <f>((BK7*Constants!$H42*Constants!$H60*(1-Constants!$H78))+(BK7*Constants!$H42*Constants!$H94))</f>
        <v>4394713.3368089627</v>
      </c>
      <c r="BL52" s="22">
        <f>((BL7*Constants!$H42*Constants!$H60*(1-Constants!$H78))+(BL7*Constants!$H42*Constants!$H94))</f>
        <v>4454759.8443306033</v>
      </c>
      <c r="BM52" s="22">
        <f>((BM7*Constants!$H42*Constants!$H60*(1-Constants!$H78))+(BM7*Constants!$H42*Constants!$H94))</f>
        <v>4516433.7283146679</v>
      </c>
      <c r="BN52" s="22">
        <f>((BN7*Constants!$H42*Constants!$H60*(1-Constants!$H78))+(BN7*Constants!$H42*Constants!$H94))</f>
        <v>4577740.0930981133</v>
      </c>
      <c r="BO52" s="22">
        <f>((BO7*Constants!$H42*Constants!$H60*(1-Constants!$H78))+(BO7*Constants!$H42*Constants!$H94))</f>
        <v>4640766.0915984856</v>
      </c>
      <c r="BP52" s="22">
        <f>((BP7*Constants!$H42*Constants!$H60*(1-Constants!$H78))+(BP7*Constants!$H42*Constants!$H94))</f>
        <v>4705608.4005727861</v>
      </c>
    </row>
    <row r="53" spans="1:72" x14ac:dyDescent="0.25">
      <c r="A53" t="str">
        <f t="shared" si="23"/>
        <v>3C Aggregated and non-CO2 emissions on land</v>
      </c>
      <c r="B53" t="str">
        <f t="shared" si="24"/>
        <v>3C4 Direct N2O from managed soils (N2O)</v>
      </c>
      <c r="C53" t="s">
        <v>414</v>
      </c>
      <c r="D53" t="str">
        <f>Constants!D95</f>
        <v xml:space="preserve"> - Commercial cattle</v>
      </c>
      <c r="E53" t="str">
        <f t="shared" si="26"/>
        <v>MM N available - Commercial cattle</v>
      </c>
      <c r="F53" t="str">
        <f t="shared" si="27"/>
        <v>kg N</v>
      </c>
      <c r="H53" s="22">
        <f>((H8*Constants!$H43*Constants!$H61*(1-Constants!$H79))+(H8*Constants!$H43*Constants!$H95))</f>
        <v>29140148.242835071</v>
      </c>
      <c r="I53" s="22">
        <f>((I8*Constants!$H43*Constants!$H61*(1-Constants!$H79))+(I8*Constants!$H43*Constants!$H95))</f>
        <v>27882399.754625745</v>
      </c>
      <c r="J53" s="22">
        <f>((J8*Constants!$H43*Constants!$H61*(1-Constants!$H79))+(J8*Constants!$H43*Constants!$H95))</f>
        <v>27872269.031688493</v>
      </c>
      <c r="K53" s="22">
        <f>((K8*Constants!$H43*Constants!$H61*(1-Constants!$H79))+(K8*Constants!$H43*Constants!$H95))</f>
        <v>26075497.690151285</v>
      </c>
      <c r="L53" s="22">
        <f>((L8*Constants!$H43*Constants!$H61*(1-Constants!$H79))+(L8*Constants!$H43*Constants!$H95))</f>
        <v>26861590.495282121</v>
      </c>
      <c r="M53" s="22">
        <f>((M8*Constants!$H43*Constants!$H61*(1-Constants!$H79))+(M8*Constants!$H43*Constants!$H95))</f>
        <v>27472340.576832376</v>
      </c>
      <c r="N53" s="22">
        <f>((N8*Constants!$H43*Constants!$H61*(1-Constants!$H79))+(N8*Constants!$H43*Constants!$H95))</f>
        <v>28611982.788773268</v>
      </c>
      <c r="O53" s="22">
        <f>((O8*Constants!$H43*Constants!$H61*(1-Constants!$H79))+(O8*Constants!$H43*Constants!$H95))</f>
        <v>29695841.906059686</v>
      </c>
      <c r="P53" s="22">
        <f>((P8*Constants!$H43*Constants!$H61*(1-Constants!$H79))+(P8*Constants!$H43*Constants!$H95))</f>
        <v>29953042.580799885</v>
      </c>
      <c r="Q53" s="22">
        <f>((Q8*Constants!$H43*Constants!$H61*(1-Constants!$H79))+(Q8*Constants!$H43*Constants!$H95))</f>
        <v>29468349.46946881</v>
      </c>
      <c r="R53" s="22">
        <f>((R8*Constants!$H43*Constants!$H61*(1-Constants!$H79))+(R8*Constants!$H43*Constants!$H95))</f>
        <v>27466527.166201718</v>
      </c>
      <c r="S53" s="22">
        <f>((S8*Constants!$H43*Constants!$H61*(1-Constants!$H79))+(S8*Constants!$H43*Constants!$H95))</f>
        <v>27609254.946317643</v>
      </c>
      <c r="T53" s="22">
        <f>((T8*Constants!$H43*Constants!$H61*(1-Constants!$H79))+(T8*Constants!$H43*Constants!$H95))</f>
        <v>25732079.006278474</v>
      </c>
      <c r="U53" s="22">
        <f>((U8*Constants!$H43*Constants!$H61*(1-Constants!$H79))+(U8*Constants!$H43*Constants!$H95))</f>
        <v>26405152.269442696</v>
      </c>
      <c r="V53" s="22">
        <f>((V8*Constants!$H43*Constants!$H61*(1-Constants!$H79))+(V8*Constants!$H43*Constants!$H95))</f>
        <v>26648588.839601479</v>
      </c>
      <c r="W53" s="22">
        <f>((W8*Constants!$H43*Constants!$H61*(1-Constants!$H79))+(W8*Constants!$H43*Constants!$H95))</f>
        <v>26874627.923534695</v>
      </c>
      <c r="X53" s="22">
        <f>((X8*Constants!$H43*Constants!$H61*(1-Constants!$H79))+(X8*Constants!$H43*Constants!$H95))</f>
        <v>26262424.489326771</v>
      </c>
      <c r="Y53" s="22">
        <f>((Y8*Constants!$H43*Constants!$H61*(1-Constants!$H79))+(Y8*Constants!$H43*Constants!$H95))</f>
        <v>27031846.484560855</v>
      </c>
      <c r="Z53" s="22">
        <f>((Z8*Constants!$H43*Constants!$H61*(1-Constants!$H79))+(Z8*Constants!$H43*Constants!$H95))</f>
        <v>26280686.506655321</v>
      </c>
      <c r="AA53" s="22">
        <f>((AA8*Constants!$H43*Constants!$H61*(1-Constants!$H79))+(AA8*Constants!$H43*Constants!$H95))</f>
        <v>25839415.868110832</v>
      </c>
      <c r="AB53" s="22">
        <f>((AB8*Constants!$H43*Constants!$H61*(1-Constants!$H79))+(AB8*Constants!$H43*Constants!$H95))</f>
        <v>25758186.634461202</v>
      </c>
      <c r="AC53" s="22">
        <f>((AC8*Constants!$H43*Constants!$H61*(1-Constants!$H79))+(AC8*Constants!$H43*Constants!$H95))</f>
        <v>25665694.273928557</v>
      </c>
      <c r="AD53" s="22">
        <f>((AD8*Constants!$H43*Constants!$H61*(1-Constants!$H79))+(AD8*Constants!$H43*Constants!$H95))</f>
        <v>25471833.030157432</v>
      </c>
      <c r="AE53" s="22">
        <f>((AE8*Constants!$H43*Constants!$H61*(1-Constants!$H79))+(AE8*Constants!$H43*Constants!$H95))</f>
        <v>25328685.858008809</v>
      </c>
      <c r="AF53" s="22">
        <f>((AF8*Constants!$H43*Constants!$H61*(1-Constants!$H79))+(AF8*Constants!$H43*Constants!$H95))</f>
        <v>25227501.009095214</v>
      </c>
      <c r="AG53" s="22">
        <f>((AG8*Constants!$H43*Constants!$H61*(1-Constants!$H79))+(AG8*Constants!$H43*Constants!$H95))</f>
        <v>25166554.389585566</v>
      </c>
      <c r="AH53" s="22">
        <f>((AH8*Constants!$H43*Constants!$H61*(1-Constants!$H79))+(AH8*Constants!$H43*Constants!$H95))</f>
        <v>25138397.12875405</v>
      </c>
      <c r="AI53" s="22">
        <f>((AI8*Constants!$H43*Constants!$H61*(1-Constants!$H79))+(AI8*Constants!$H43*Constants!$H95))</f>
        <v>25084810.883593038</v>
      </c>
      <c r="AJ53" s="22">
        <f>((AJ8*Constants!$H43*Constants!$H61*(1-Constants!$H79))+(AJ8*Constants!$H43*Constants!$H95))</f>
        <v>25042238.916190512</v>
      </c>
      <c r="AK53" s="22">
        <f>((AK8*Constants!$H43*Constants!$H61*(1-Constants!$H79))+(AK8*Constants!$H43*Constants!$H95))</f>
        <v>25009669.700955901</v>
      </c>
      <c r="AL53" s="22">
        <f>((AL8*Constants!$H43*Constants!$H61*(1-Constants!$H79))+(AL8*Constants!$H43*Constants!$H95))</f>
        <v>25571496.467123944</v>
      </c>
      <c r="AM53" s="22">
        <f>((AM8*Constants!$H43*Constants!$H61*(1-Constants!$H79))+(AM8*Constants!$H43*Constants!$H95))</f>
        <v>25437221.505575415</v>
      </c>
      <c r="AN53" s="22">
        <f>((AN8*Constants!$H43*Constants!$H61*(1-Constants!$H79))+(AN8*Constants!$H43*Constants!$H95))</f>
        <v>25315052.363014027</v>
      </c>
      <c r="AO53" s="22">
        <f>((AO8*Constants!$H43*Constants!$H61*(1-Constants!$H79))+(AO8*Constants!$H43*Constants!$H95))</f>
        <v>25196396.570840821</v>
      </c>
      <c r="AP53" s="22">
        <f>((AP8*Constants!$H43*Constants!$H61*(1-Constants!$H79))+(AP8*Constants!$H43*Constants!$H95))</f>
        <v>25087253.459972281</v>
      </c>
      <c r="AQ53" s="22">
        <f>((AQ8*Constants!$H43*Constants!$H61*(1-Constants!$H79))+(AQ8*Constants!$H43*Constants!$H95))</f>
        <v>24976477.959576745</v>
      </c>
      <c r="AR53" s="22">
        <f>((AR8*Constants!$H43*Constants!$H61*(1-Constants!$H79))+(AR8*Constants!$H43*Constants!$H95))</f>
        <v>24847681.736604657</v>
      </c>
      <c r="AS53" s="22">
        <f>((AS8*Constants!$H43*Constants!$H61*(1-Constants!$H79))+(AS8*Constants!$H43*Constants!$H95))</f>
        <v>24725703.479215711</v>
      </c>
      <c r="AT53" s="22">
        <f>((AT8*Constants!$H43*Constants!$H61*(1-Constants!$H79))+(AT8*Constants!$H43*Constants!$H95))</f>
        <v>24602198.898815103</v>
      </c>
      <c r="AU53" s="22">
        <f>((AU8*Constants!$H43*Constants!$H61*(1-Constants!$H79))+(AU8*Constants!$H43*Constants!$H95))</f>
        <v>24479222.500870351</v>
      </c>
      <c r="AV53" s="22">
        <f>((AV8*Constants!$H43*Constants!$H61*(1-Constants!$H79))+(AV8*Constants!$H43*Constants!$H95))</f>
        <v>24356579.510327462</v>
      </c>
      <c r="AW53" s="22">
        <f>((AW8*Constants!$H43*Constants!$H61*(1-Constants!$H79))+(AW8*Constants!$H43*Constants!$H95))</f>
        <v>24583217.109120712</v>
      </c>
      <c r="AX53" s="22">
        <f>((AX8*Constants!$H43*Constants!$H61*(1-Constants!$H79))+(AX8*Constants!$H43*Constants!$H95))</f>
        <v>24690490.549625654</v>
      </c>
      <c r="AY53" s="22">
        <f>((AY8*Constants!$H43*Constants!$H61*(1-Constants!$H79))+(AY8*Constants!$H43*Constants!$H95))</f>
        <v>24834332.044290293</v>
      </c>
      <c r="AZ53" s="22">
        <f>((AZ8*Constants!$H43*Constants!$H61*(1-Constants!$H79))+(AZ8*Constants!$H43*Constants!$H95))</f>
        <v>24971827.538871367</v>
      </c>
      <c r="BA53" s="22">
        <f>((BA8*Constants!$H43*Constants!$H61*(1-Constants!$H79))+(BA8*Constants!$H43*Constants!$H95))</f>
        <v>25097764.893337768</v>
      </c>
      <c r="BB53" s="22">
        <f>((BB8*Constants!$H43*Constants!$H61*(1-Constants!$H79))+(BB8*Constants!$H43*Constants!$H95))</f>
        <v>25166303.940109577</v>
      </c>
      <c r="BC53" s="22">
        <f>((BC8*Constants!$H43*Constants!$H61*(1-Constants!$H79))+(BC8*Constants!$H43*Constants!$H95))</f>
        <v>25192073.087083757</v>
      </c>
      <c r="BD53" s="22">
        <f>((BD8*Constants!$H43*Constants!$H61*(1-Constants!$H79))+(BD8*Constants!$H43*Constants!$H95))</f>
        <v>25145950.851630583</v>
      </c>
      <c r="BE53" s="22">
        <f>((BE8*Constants!$H43*Constants!$H61*(1-Constants!$H79))+(BE8*Constants!$H43*Constants!$H95))</f>
        <v>25051257.885527156</v>
      </c>
      <c r="BF53" s="22">
        <f>((BF8*Constants!$H43*Constants!$H61*(1-Constants!$H79))+(BF8*Constants!$H43*Constants!$H95))</f>
        <v>24923085.608884331</v>
      </c>
      <c r="BG53" s="22">
        <f>((BG8*Constants!$H43*Constants!$H61*(1-Constants!$H79))+(BG8*Constants!$H43*Constants!$H95))</f>
        <v>25013140.036793783</v>
      </c>
      <c r="BH53" s="22">
        <f>((BH8*Constants!$H43*Constants!$H61*(1-Constants!$H79))+(BH8*Constants!$H43*Constants!$H95))</f>
        <v>25068090.752749626</v>
      </c>
      <c r="BI53" s="22">
        <f>((BI8*Constants!$H43*Constants!$H61*(1-Constants!$H79))+(BI8*Constants!$H43*Constants!$H95))</f>
        <v>25082001.097445134</v>
      </c>
      <c r="BJ53" s="22">
        <f>((BJ8*Constants!$H43*Constants!$H61*(1-Constants!$H79))+(BJ8*Constants!$H43*Constants!$H95))</f>
        <v>25056190.620105755</v>
      </c>
      <c r="BK53" s="22">
        <f>((BK8*Constants!$H43*Constants!$H61*(1-Constants!$H79))+(BK8*Constants!$H43*Constants!$H95))</f>
        <v>25004107.214691311</v>
      </c>
      <c r="BL53" s="22">
        <f>((BL8*Constants!$H43*Constants!$H61*(1-Constants!$H79))+(BL8*Constants!$H43*Constants!$H95))</f>
        <v>24911685.999089792</v>
      </c>
      <c r="BM53" s="22">
        <f>((BM8*Constants!$H43*Constants!$H61*(1-Constants!$H79))+(BM8*Constants!$H43*Constants!$H95))</f>
        <v>24774100.631533515</v>
      </c>
      <c r="BN53" s="22">
        <f>((BN8*Constants!$H43*Constants!$H61*(1-Constants!$H79))+(BN8*Constants!$H43*Constants!$H95))</f>
        <v>24559498.982786912</v>
      </c>
      <c r="BO53" s="22">
        <f>((BO8*Constants!$H43*Constants!$H61*(1-Constants!$H79))+(BO8*Constants!$H43*Constants!$H95))</f>
        <v>24297380.195720155</v>
      </c>
      <c r="BP53" s="22">
        <f>((BP8*Constants!$H43*Constants!$H61*(1-Constants!$H79))+(BP8*Constants!$H43*Constants!$H95))</f>
        <v>23985778.137684237</v>
      </c>
    </row>
    <row r="54" spans="1:72" x14ac:dyDescent="0.25">
      <c r="A54" t="str">
        <f t="shared" si="23"/>
        <v>3C Aggregated and non-CO2 emissions on land</v>
      </c>
      <c r="B54" t="str">
        <f t="shared" si="24"/>
        <v>3C4 Direct N2O from managed soils (N2O)</v>
      </c>
      <c r="C54" t="s">
        <v>414</v>
      </c>
      <c r="D54" t="str">
        <f>Constants!D96</f>
        <v xml:space="preserve"> - Subsistence cattle</v>
      </c>
      <c r="E54" t="str">
        <f t="shared" si="26"/>
        <v>MM N available - Subsistence cattle</v>
      </c>
      <c r="F54" t="str">
        <f t="shared" si="27"/>
        <v>kg N</v>
      </c>
      <c r="H54" s="22">
        <f>((H9*Constants!$H44*Constants!$H62*(1-Constants!$H80))+(H9*Constants!$H44*Constants!$H96))</f>
        <v>182411844.37290692</v>
      </c>
      <c r="I54" s="22">
        <f>((I9*Constants!$H44*Constants!$H62*(1-Constants!$H80))+(I9*Constants!$H44*Constants!$H96))</f>
        <v>196517505.44919503</v>
      </c>
      <c r="J54" s="22">
        <f>((J9*Constants!$H44*Constants!$H62*(1-Constants!$H80))+(J9*Constants!$H44*Constants!$H96))</f>
        <v>198441004.68687069</v>
      </c>
      <c r="K54" s="22">
        <f>((K9*Constants!$H44*Constants!$H62*(1-Constants!$H80))+(K9*Constants!$H44*Constants!$H96))</f>
        <v>198441004.68687063</v>
      </c>
      <c r="L54" s="22">
        <f>((L9*Constants!$H44*Constants!$H62*(1-Constants!$H80))+(L9*Constants!$H44*Constants!$H96))</f>
        <v>174397264.2159251</v>
      </c>
      <c r="M54" s="22">
        <f>((M9*Constants!$H44*Constants!$H62*(1-Constants!$H80))+(M9*Constants!$H44*Constants!$H96))</f>
        <v>172153181.77197015</v>
      </c>
      <c r="N54" s="22">
        <f>((N9*Constants!$H44*Constants!$H62*(1-Constants!$H80))+(N9*Constants!$H44*Constants!$H96))</f>
        <v>176320763.45360076</v>
      </c>
      <c r="O54" s="22">
        <f>((O9*Constants!$H44*Constants!$H62*(1-Constants!$H80))+(O9*Constants!$H44*Constants!$H96))</f>
        <v>181450094.75406912</v>
      </c>
      <c r="P54" s="22">
        <f>((P9*Constants!$H44*Constants!$H62*(1-Constants!$H80))+(P9*Constants!$H44*Constants!$H96))</f>
        <v>189464674.91105106</v>
      </c>
      <c r="Q54" s="22">
        <f>((Q9*Constants!$H44*Constants!$H62*(1-Constants!$H80))+(Q9*Constants!$H44*Constants!$H96))</f>
        <v>196196922.24291572</v>
      </c>
      <c r="R54" s="22">
        <f>((R9*Constants!$H44*Constants!$H62*(1-Constants!$H80))+(R9*Constants!$H44*Constants!$H96))</f>
        <v>201646836.74966344</v>
      </c>
      <c r="S54" s="22">
        <f>((S9*Constants!$H44*Constants!$H62*(1-Constants!$H80))+(S9*Constants!$H44*Constants!$H96))</f>
        <v>197479255.06803286</v>
      </c>
      <c r="T54" s="22">
        <f>((T9*Constants!$H44*Constants!$H62*(1-Constants!$H80))+(T9*Constants!$H44*Constants!$H96))</f>
        <v>213187832.17571726</v>
      </c>
      <c r="U54" s="22">
        <f>((U9*Constants!$H44*Constants!$H62*(1-Constants!$H80))+(U9*Constants!$H44*Constants!$H96))</f>
        <v>212867248.96943805</v>
      </c>
      <c r="V54" s="22">
        <f>((V9*Constants!$H44*Constants!$H62*(1-Constants!$H80))+(V9*Constants!$H44*Constants!$H96))</f>
        <v>208379084.08152822</v>
      </c>
      <c r="W54" s="22">
        <f>((W9*Constants!$H44*Constants!$H62*(1-Constants!$H80))+(W9*Constants!$H44*Constants!$H96))</f>
        <v>205814418.43129396</v>
      </c>
      <c r="X54" s="22">
        <f>((X9*Constants!$H44*Constants!$H62*(1-Constants!$H80))+(X9*Constants!$H44*Constants!$H96))</f>
        <v>210623166.5254831</v>
      </c>
      <c r="Y54" s="22">
        <f>((Y9*Constants!$H44*Constants!$H62*(1-Constants!$H80))+(Y9*Constants!$H44*Constants!$H96))</f>
        <v>217675997.06362709</v>
      </c>
      <c r="Z54" s="22">
        <f>((Z9*Constants!$H44*Constants!$H62*(1-Constants!$H80))+(Z9*Constants!$H44*Constants!$H96))</f>
        <v>221843578.74525771</v>
      </c>
      <c r="AA54" s="22">
        <f>((AA9*Constants!$H44*Constants!$H62*(1-Constants!$H80))+(AA9*Constants!$H44*Constants!$H96))</f>
        <v>221202412.33269918</v>
      </c>
      <c r="AB54" s="22">
        <f>((AB9*Constants!$H44*Constants!$H62*(1-Constants!$H80))+(AB9*Constants!$H44*Constants!$H96))</f>
        <v>218637746.68246496</v>
      </c>
      <c r="AC54" s="22">
        <f>((AC9*Constants!$H44*Constants!$H62*(1-Constants!$H80))+(AC9*Constants!$H44*Constants!$H96))</f>
        <v>217996580.2699064</v>
      </c>
      <c r="AD54" s="22">
        <f>((AD9*Constants!$H44*Constants!$H62*(1-Constants!$H80))+(AD9*Constants!$H44*Constants!$H96))</f>
        <v>216306714.38706008</v>
      </c>
      <c r="AE54" s="22">
        <f>((AE9*Constants!$H44*Constants!$H62*(1-Constants!$H80))+(AE9*Constants!$H44*Constants!$H96))</f>
        <v>216874015.01005799</v>
      </c>
      <c r="AF54" s="22">
        <f>((AF9*Constants!$H44*Constants!$H62*(1-Constants!$H80))+(AF9*Constants!$H44*Constants!$H96))</f>
        <v>217446467.62619406</v>
      </c>
      <c r="AG54" s="22">
        <f>((AG9*Constants!$H44*Constants!$H62*(1-Constants!$H80))+(AG9*Constants!$H44*Constants!$H96))</f>
        <v>218024119.02376723</v>
      </c>
      <c r="AH54" s="22">
        <f>((AH9*Constants!$H44*Constants!$H62*(1-Constants!$H80))+(AH9*Constants!$H44*Constants!$H96))</f>
        <v>218653691.34117559</v>
      </c>
      <c r="AI54" s="22">
        <f>((AI9*Constants!$H44*Constants!$H62*(1-Constants!$H80))+(AI9*Constants!$H44*Constants!$H96))</f>
        <v>219283263.658584</v>
      </c>
      <c r="AJ54" s="22">
        <f>((AJ9*Constants!$H44*Constants!$H62*(1-Constants!$H80))+(AJ9*Constants!$H44*Constants!$H96))</f>
        <v>219912835.97599235</v>
      </c>
      <c r="AK54" s="22">
        <f>((AK9*Constants!$H44*Constants!$H62*(1-Constants!$H80))+(AK9*Constants!$H44*Constants!$H96))</f>
        <v>220542408.29340073</v>
      </c>
      <c r="AL54" s="22">
        <f>((AL9*Constants!$H44*Constants!$H62*(1-Constants!$H80))+(AL9*Constants!$H44*Constants!$H96))</f>
        <v>221171980.61080918</v>
      </c>
      <c r="AM54" s="22">
        <f>((AM9*Constants!$H44*Constants!$H62*(1-Constants!$H80))+(AM9*Constants!$H44*Constants!$H96))</f>
        <v>221810120.08624142</v>
      </c>
      <c r="AN54" s="22">
        <f>((AN9*Constants!$H44*Constants!$H62*(1-Constants!$H80))+(AN9*Constants!$H44*Constants!$H96))</f>
        <v>222448259.54989466</v>
      </c>
      <c r="AO54" s="22">
        <f>((AO9*Constants!$H44*Constants!$H62*(1-Constants!$H80))+(AO9*Constants!$H44*Constants!$H96))</f>
        <v>223086399.01354784</v>
      </c>
      <c r="AP54" s="22">
        <f>((AP9*Constants!$H44*Constants!$H62*(1-Constants!$H80))+(AP9*Constants!$H44*Constants!$H96))</f>
        <v>223724538.47720107</v>
      </c>
      <c r="AQ54" s="22">
        <f>((AQ9*Constants!$H44*Constants!$H62*(1-Constants!$H80))+(AQ9*Constants!$H44*Constants!$H96))</f>
        <v>224362677.95263329</v>
      </c>
      <c r="AR54" s="22">
        <f>((AR9*Constants!$H44*Constants!$H62*(1-Constants!$H80))+(AR9*Constants!$H44*Constants!$H96))</f>
        <v>225054033.60694396</v>
      </c>
      <c r="AS54" s="22">
        <f>((AS9*Constants!$H44*Constants!$H62*(1-Constants!$H80))+(AS9*Constants!$H44*Constants!$H96))</f>
        <v>225745389.26125458</v>
      </c>
      <c r="AT54" s="22">
        <f>((AT9*Constants!$H44*Constants!$H62*(1-Constants!$H80))+(AT9*Constants!$H44*Constants!$H96))</f>
        <v>226436744.91556522</v>
      </c>
      <c r="AU54" s="22">
        <f>((AU9*Constants!$H44*Constants!$H62*(1-Constants!$H80))+(AU9*Constants!$H44*Constants!$H96))</f>
        <v>227128100.56987587</v>
      </c>
      <c r="AV54" s="22">
        <f>((AV9*Constants!$H44*Constants!$H62*(1-Constants!$H80))+(AV9*Constants!$H44*Constants!$H96))</f>
        <v>227819456.22418648</v>
      </c>
      <c r="AW54" s="22">
        <f>((AW9*Constants!$H44*Constants!$H62*(1-Constants!$H80))+(AW9*Constants!$H44*Constants!$H96))</f>
        <v>228487340.25995576</v>
      </c>
      <c r="AX54" s="22">
        <f>((AX9*Constants!$H44*Constants!$H62*(1-Constants!$H80))+(AX9*Constants!$H44*Constants!$H96))</f>
        <v>229155224.28394607</v>
      </c>
      <c r="AY54" s="22">
        <f>((AY9*Constants!$H44*Constants!$H62*(1-Constants!$H80))+(AY9*Constants!$H44*Constants!$H96))</f>
        <v>229823108.31971544</v>
      </c>
      <c r="AZ54" s="22">
        <f>((AZ9*Constants!$H44*Constants!$H62*(1-Constants!$H80))+(AZ9*Constants!$H44*Constants!$H96))</f>
        <v>230490992.34370568</v>
      </c>
      <c r="BA54" s="22">
        <f>((BA9*Constants!$H44*Constants!$H62*(1-Constants!$H80))+(BA9*Constants!$H44*Constants!$H96))</f>
        <v>231158876.36769602</v>
      </c>
      <c r="BB54" s="22">
        <f>((BB9*Constants!$H44*Constants!$H62*(1-Constants!$H80))+(BB9*Constants!$H44*Constants!$H96))</f>
        <v>231853018.0486694</v>
      </c>
      <c r="BC54" s="22">
        <f>((BC9*Constants!$H44*Constants!$H62*(1-Constants!$H80))+(BC9*Constants!$H44*Constants!$H96))</f>
        <v>232547159.72964281</v>
      </c>
      <c r="BD54" s="22">
        <f>((BD9*Constants!$H44*Constants!$H62*(1-Constants!$H80))+(BD9*Constants!$H44*Constants!$H96))</f>
        <v>233241301.39883718</v>
      </c>
      <c r="BE54" s="22">
        <f>((BE9*Constants!$H44*Constants!$H62*(1-Constants!$H80))+(BE9*Constants!$H44*Constants!$H96))</f>
        <v>233935443.07981068</v>
      </c>
      <c r="BF54" s="22">
        <f>((BF9*Constants!$H44*Constants!$H62*(1-Constants!$H80))+(BF9*Constants!$H44*Constants!$H96))</f>
        <v>234629584.76078406</v>
      </c>
      <c r="BG54" s="22">
        <f>((BG9*Constants!$H44*Constants!$H62*(1-Constants!$H80))+(BG9*Constants!$H44*Constants!$H96))</f>
        <v>235421967.16920018</v>
      </c>
      <c r="BH54" s="22">
        <f>((BH9*Constants!$H44*Constants!$H62*(1-Constants!$H80))+(BH9*Constants!$H44*Constants!$H96))</f>
        <v>236214349.56583723</v>
      </c>
      <c r="BI54" s="22">
        <f>((BI9*Constants!$H44*Constants!$H62*(1-Constants!$H80))+(BI9*Constants!$H44*Constants!$H96))</f>
        <v>237006731.97425336</v>
      </c>
      <c r="BJ54" s="22">
        <f>((BJ9*Constants!$H44*Constants!$H62*(1-Constants!$H80))+(BJ9*Constants!$H44*Constants!$H96))</f>
        <v>237799114.38266948</v>
      </c>
      <c r="BK54" s="22">
        <f>((BK9*Constants!$H44*Constants!$H62*(1-Constants!$H80))+(BK9*Constants!$H44*Constants!$H96))</f>
        <v>238591496.79108554</v>
      </c>
      <c r="BL54" s="22">
        <f>((BL9*Constants!$H44*Constants!$H62*(1-Constants!$H80))+(BL9*Constants!$H44*Constants!$H96))</f>
        <v>239355912.73301071</v>
      </c>
      <c r="BM54" s="22">
        <f>((BM9*Constants!$H44*Constants!$H62*(1-Constants!$H80))+(BM9*Constants!$H44*Constants!$H96))</f>
        <v>240120328.67493588</v>
      </c>
      <c r="BN54" s="22">
        <f>((BN9*Constants!$H44*Constants!$H62*(1-Constants!$H80))+(BN9*Constants!$H44*Constants!$H96))</f>
        <v>240884744.62864006</v>
      </c>
      <c r="BO54" s="22">
        <f>((BO9*Constants!$H44*Constants!$H62*(1-Constants!$H80))+(BO9*Constants!$H44*Constants!$H96))</f>
        <v>241649160.57056519</v>
      </c>
      <c r="BP54" s="22">
        <f>((BP9*Constants!$H44*Constants!$H62*(1-Constants!$H80))+(BP9*Constants!$H44*Constants!$H96))</f>
        <v>242413576.5124903</v>
      </c>
    </row>
    <row r="55" spans="1:72" x14ac:dyDescent="0.25">
      <c r="A55" t="str">
        <f t="shared" si="23"/>
        <v>3C Aggregated and non-CO2 emissions on land</v>
      </c>
      <c r="B55" t="str">
        <f t="shared" si="24"/>
        <v>3C4 Direct N2O from managed soils (N2O)</v>
      </c>
      <c r="C55" t="s">
        <v>414</v>
      </c>
      <c r="D55" t="str">
        <f>Constants!D97</f>
        <v xml:space="preserve"> - Feedlot</v>
      </c>
      <c r="E55" t="str">
        <f t="shared" si="26"/>
        <v>MM N available - Feedlot</v>
      </c>
      <c r="F55" t="str">
        <f t="shared" si="27"/>
        <v>kg N</v>
      </c>
      <c r="H55" s="22">
        <f>((H10*Constants!$H45*Constants!$H63*(1-Constants!$H81))+(H10*Constants!$H45*Constants!$H97))</f>
        <v>16959658.715999998</v>
      </c>
      <c r="I55" s="22">
        <f>((I10*Constants!$H45*Constants!$H63*(1-Constants!$H81))+(I10*Constants!$H45*Constants!$H97))</f>
        <v>16959658.715999998</v>
      </c>
      <c r="J55" s="22">
        <f>((J10*Constants!$H45*Constants!$H63*(1-Constants!$H81))+(J10*Constants!$H45*Constants!$H97))</f>
        <v>16959658.715999998</v>
      </c>
      <c r="K55" s="22">
        <f>((K10*Constants!$H45*Constants!$H63*(1-Constants!$H81))+(K10*Constants!$H45*Constants!$H97))</f>
        <v>16959658.715999998</v>
      </c>
      <c r="L55" s="22">
        <f>((L10*Constants!$H45*Constants!$H63*(1-Constants!$H81))+(L10*Constants!$H45*Constants!$H97))</f>
        <v>16959658.715999998</v>
      </c>
      <c r="M55" s="22">
        <f>((M10*Constants!$H45*Constants!$H63*(1-Constants!$H81))+(M10*Constants!$H45*Constants!$H97))</f>
        <v>16959658.715999998</v>
      </c>
      <c r="N55" s="22">
        <f>((N10*Constants!$H45*Constants!$H63*(1-Constants!$H81))+(N10*Constants!$H45*Constants!$H97))</f>
        <v>16959658.715999998</v>
      </c>
      <c r="O55" s="22">
        <f>((O10*Constants!$H45*Constants!$H63*(1-Constants!$H81))+(O10*Constants!$H45*Constants!$H97))</f>
        <v>16959658.715999998</v>
      </c>
      <c r="P55" s="22">
        <f>((P10*Constants!$H45*Constants!$H63*(1-Constants!$H81))+(P10*Constants!$H45*Constants!$H97))</f>
        <v>16959658.715999998</v>
      </c>
      <c r="Q55" s="22">
        <f>((Q10*Constants!$H45*Constants!$H63*(1-Constants!$H81))+(Q10*Constants!$H45*Constants!$H97))</f>
        <v>16959658.715999998</v>
      </c>
      <c r="R55" s="22">
        <f>((R10*Constants!$H45*Constants!$H63*(1-Constants!$H81))+(R10*Constants!$H45*Constants!$H97))</f>
        <v>16959658.715999998</v>
      </c>
      <c r="S55" s="22">
        <f>((S10*Constants!$H45*Constants!$H63*(1-Constants!$H81))+(S10*Constants!$H45*Constants!$H97))</f>
        <v>16959658.715999998</v>
      </c>
      <c r="T55" s="22">
        <f>((T10*Constants!$H45*Constants!$H63*(1-Constants!$H81))+(T10*Constants!$H45*Constants!$H97))</f>
        <v>16959658.715999998</v>
      </c>
      <c r="U55" s="22">
        <f>((U10*Constants!$H45*Constants!$H63*(1-Constants!$H81))+(U10*Constants!$H45*Constants!$H97))</f>
        <v>16959658.715999998</v>
      </c>
      <c r="V55" s="22">
        <f>((V10*Constants!$H45*Constants!$H63*(1-Constants!$H81))+(V10*Constants!$H45*Constants!$H97))</f>
        <v>16959658.715999998</v>
      </c>
      <c r="W55" s="22">
        <f>((W10*Constants!$H45*Constants!$H63*(1-Constants!$H81))+(W10*Constants!$H45*Constants!$H97))</f>
        <v>16959658.715999998</v>
      </c>
      <c r="X55" s="22">
        <f>((X10*Constants!$H45*Constants!$H63*(1-Constants!$H81))+(X10*Constants!$H45*Constants!$H97))</f>
        <v>16959658.715999998</v>
      </c>
      <c r="Y55" s="22">
        <f>((Y10*Constants!$H45*Constants!$H63*(1-Constants!$H81))+(Y10*Constants!$H45*Constants!$H97))</f>
        <v>16959658.715999998</v>
      </c>
      <c r="Z55" s="22">
        <f>((Z10*Constants!$H45*Constants!$H63*(1-Constants!$H81))+(Z10*Constants!$H45*Constants!$H97))</f>
        <v>15794600.827455448</v>
      </c>
      <c r="AA55" s="22">
        <f>((AA10*Constants!$H45*Constants!$H63*(1-Constants!$H81))+(AA10*Constants!$H45*Constants!$H97))</f>
        <v>16185144.079554448</v>
      </c>
      <c r="AB55" s="22">
        <f>((AB10*Constants!$H45*Constants!$H63*(1-Constants!$H81))+(AB10*Constants!$H45*Constants!$H97))</f>
        <v>16144881.715162199</v>
      </c>
      <c r="AC55" s="22">
        <f>((AC10*Constants!$H45*Constants!$H63*(1-Constants!$H81))+(AC10*Constants!$H45*Constants!$H97))</f>
        <v>18647555.2896633</v>
      </c>
      <c r="AD55" s="22">
        <f>((AD10*Constants!$H45*Constants!$H63*(1-Constants!$H81))+(AD10*Constants!$H45*Constants!$H97))</f>
        <v>19206981.948353197</v>
      </c>
      <c r="AE55" s="22">
        <f>((AE10*Constants!$H45*Constants!$H63*(1-Constants!$H81))+(AE10*Constants!$H45*Constants!$H97))</f>
        <v>19783191.406803794</v>
      </c>
      <c r="AF55" s="22">
        <f>((AF10*Constants!$H45*Constants!$H63*(1-Constants!$H81))+(AF10*Constants!$H45*Constants!$H97))</f>
        <v>20376687.149007909</v>
      </c>
      <c r="AG55" s="22">
        <f>((AG10*Constants!$H45*Constants!$H63*(1-Constants!$H81))+(AG10*Constants!$H45*Constants!$H97))</f>
        <v>20987987.763478145</v>
      </c>
      <c r="AH55" s="22">
        <f>((AH10*Constants!$H45*Constants!$H63*(1-Constants!$H81))+(AH10*Constants!$H45*Constants!$H97))</f>
        <v>21617627.396382492</v>
      </c>
      <c r="AI55" s="22">
        <f>((AI10*Constants!$H45*Constants!$H63*(1-Constants!$H81))+(AI10*Constants!$H45*Constants!$H97))</f>
        <v>22266156.218273968</v>
      </c>
      <c r="AJ55" s="22">
        <f>((AJ10*Constants!$H45*Constants!$H63*(1-Constants!$H81))+(AJ10*Constants!$H45*Constants!$H97))</f>
        <v>22934140.904822182</v>
      </c>
      <c r="AK55" s="22">
        <f>((AK10*Constants!$H45*Constants!$H63*(1-Constants!$H81))+(AK10*Constants!$H45*Constants!$H97))</f>
        <v>23622165.131966848</v>
      </c>
      <c r="AL55" s="22">
        <f>((AL10*Constants!$H45*Constants!$H63*(1-Constants!$H81))+(AL10*Constants!$H45*Constants!$H97))</f>
        <v>24330830.085925851</v>
      </c>
      <c r="AM55" s="22">
        <f>((AM10*Constants!$H45*Constants!$H63*(1-Constants!$H81))+(AM10*Constants!$H45*Constants!$H97))</f>
        <v>25060754.988503631</v>
      </c>
      <c r="AN55" s="22">
        <f>((AN10*Constants!$H45*Constants!$H63*(1-Constants!$H81))+(AN10*Constants!$H45*Constants!$H97))</f>
        <v>25812577.638158739</v>
      </c>
      <c r="AO55" s="22">
        <f>((AO10*Constants!$H45*Constants!$H63*(1-Constants!$H81))+(AO10*Constants!$H45*Constants!$H97))</f>
        <v>26586954.967303503</v>
      </c>
      <c r="AP55" s="22">
        <f>((AP10*Constants!$H45*Constants!$H63*(1-Constants!$H81))+(AP10*Constants!$H45*Constants!$H97))</f>
        <v>27384563.616322611</v>
      </c>
      <c r="AQ55" s="22">
        <f>((AQ10*Constants!$H45*Constants!$H63*(1-Constants!$H81))+(AQ10*Constants!$H45*Constants!$H97))</f>
        <v>28206100.524812292</v>
      </c>
      <c r="AR55" s="22">
        <f>((AR10*Constants!$H45*Constants!$H63*(1-Constants!$H81))+(AR10*Constants!$H45*Constants!$H97))</f>
        <v>29052283.540556658</v>
      </c>
      <c r="AS55" s="22">
        <f>((AS10*Constants!$H45*Constants!$H63*(1-Constants!$H81))+(AS10*Constants!$H45*Constants!$H97))</f>
        <v>29923852.046773359</v>
      </c>
      <c r="AT55" s="22">
        <f>((AT10*Constants!$H45*Constants!$H63*(1-Constants!$H81))+(AT10*Constants!$H45*Constants!$H97))</f>
        <v>30821567.608176559</v>
      </c>
      <c r="AU55" s="22">
        <f>((AU10*Constants!$H45*Constants!$H63*(1-Constants!$H81))+(AU10*Constants!$H45*Constants!$H97))</f>
        <v>31746214.636421859</v>
      </c>
      <c r="AV55" s="22">
        <f>((AV10*Constants!$H45*Constants!$H63*(1-Constants!$H81))+(AV10*Constants!$H45*Constants!$H97))</f>
        <v>32698601.075514514</v>
      </c>
      <c r="AW55" s="22">
        <f>((AW10*Constants!$H45*Constants!$H63*(1-Constants!$H81))+(AW10*Constants!$H45*Constants!$H97))</f>
        <v>33679559.10777995</v>
      </c>
      <c r="AX55" s="22">
        <f>((AX10*Constants!$H45*Constants!$H63*(1-Constants!$H81))+(AX10*Constants!$H45*Constants!$H97))</f>
        <v>34689945.881013349</v>
      </c>
      <c r="AY55" s="22">
        <f>((AY10*Constants!$H45*Constants!$H63*(1-Constants!$H81))+(AY10*Constants!$H45*Constants!$H97))</f>
        <v>35730644.257443756</v>
      </c>
      <c r="AZ55" s="22">
        <f>((AZ10*Constants!$H45*Constants!$H63*(1-Constants!$H81))+(AZ10*Constants!$H45*Constants!$H97))</f>
        <v>36802563.585167065</v>
      </c>
      <c r="BA55" s="22">
        <f>((BA10*Constants!$H45*Constants!$H63*(1-Constants!$H81))+(BA10*Constants!$H45*Constants!$H97))</f>
        <v>37906640.492722079</v>
      </c>
      <c r="BB55" s="22">
        <f>((BB10*Constants!$H45*Constants!$H63*(1-Constants!$H81))+(BB10*Constants!$H45*Constants!$H97))</f>
        <v>39043839.707503743</v>
      </c>
      <c r="BC55" s="22">
        <f>((BC10*Constants!$H45*Constants!$H63*(1-Constants!$H81))+(BC10*Constants!$H45*Constants!$H97))</f>
        <v>40215154.898728855</v>
      </c>
      <c r="BD55" s="22">
        <f>((BD10*Constants!$H45*Constants!$H63*(1-Constants!$H81))+(BD10*Constants!$H45*Constants!$H97))</f>
        <v>40380139.799999997</v>
      </c>
      <c r="BE55" s="22">
        <f>((BE10*Constants!$H45*Constants!$H63*(1-Constants!$H81))+(BE10*Constants!$H45*Constants!$H97))</f>
        <v>40380139.799999997</v>
      </c>
      <c r="BF55" s="22">
        <f>((BF10*Constants!$H45*Constants!$H63*(1-Constants!$H81))+(BF10*Constants!$H45*Constants!$H97))</f>
        <v>40380139.799999997</v>
      </c>
      <c r="BG55" s="22">
        <f>((BG10*Constants!$H45*Constants!$H63*(1-Constants!$H81))+(BG10*Constants!$H45*Constants!$H97))</f>
        <v>40380139.799999997</v>
      </c>
      <c r="BH55" s="22">
        <f>((BH10*Constants!$H45*Constants!$H63*(1-Constants!$H81))+(BH10*Constants!$H45*Constants!$H97))</f>
        <v>40380139.799999997</v>
      </c>
      <c r="BI55" s="22">
        <f>((BI10*Constants!$H45*Constants!$H63*(1-Constants!$H81))+(BI10*Constants!$H45*Constants!$H97))</f>
        <v>40380139.799999997</v>
      </c>
      <c r="BJ55" s="22">
        <f>((BJ10*Constants!$H45*Constants!$H63*(1-Constants!$H81))+(BJ10*Constants!$H45*Constants!$H97))</f>
        <v>40380139.799999997</v>
      </c>
      <c r="BK55" s="22">
        <f>((BK10*Constants!$H45*Constants!$H63*(1-Constants!$H81))+(BK10*Constants!$H45*Constants!$H97))</f>
        <v>40380139.799999997</v>
      </c>
      <c r="BL55" s="22">
        <f>((BL10*Constants!$H45*Constants!$H63*(1-Constants!$H81))+(BL10*Constants!$H45*Constants!$H97))</f>
        <v>40380139.799999997</v>
      </c>
      <c r="BM55" s="22">
        <f>((BM10*Constants!$H45*Constants!$H63*(1-Constants!$H81))+(BM10*Constants!$H45*Constants!$H97))</f>
        <v>40380139.799999997</v>
      </c>
      <c r="BN55" s="22">
        <f>((BN10*Constants!$H45*Constants!$H63*(1-Constants!$H81))+(BN10*Constants!$H45*Constants!$H97))</f>
        <v>40380139.799999997</v>
      </c>
      <c r="BO55" s="22">
        <f>((BO10*Constants!$H45*Constants!$H63*(1-Constants!$H81))+(BO10*Constants!$H45*Constants!$H97))</f>
        <v>40380139.799999997</v>
      </c>
      <c r="BP55" s="22">
        <f>((BP10*Constants!$H45*Constants!$H63*(1-Constants!$H81))+(BP10*Constants!$H45*Constants!$H97))</f>
        <v>40380139.799999997</v>
      </c>
    </row>
    <row r="56" spans="1:72" x14ac:dyDescent="0.25">
      <c r="A56" t="str">
        <f t="shared" si="23"/>
        <v>3C Aggregated and non-CO2 emissions on land</v>
      </c>
      <c r="B56" t="str">
        <f t="shared" si="24"/>
        <v>3C4 Direct N2O from managed soils (N2O)</v>
      </c>
      <c r="C56" t="s">
        <v>414</v>
      </c>
      <c r="D56" t="str">
        <f>Constants!D98</f>
        <v xml:space="preserve"> - Commercial sheep</v>
      </c>
      <c r="E56" t="str">
        <f t="shared" si="26"/>
        <v>MM N available - Commercial sheep</v>
      </c>
      <c r="F56" t="str">
        <f t="shared" si="27"/>
        <v>kg N</v>
      </c>
      <c r="H56" s="22">
        <f>((H11*Constants!$H46*Constants!$H64*(1-Constants!$H82))+(H11*Constants!$H46*Constants!$H98))</f>
        <v>5854027.4791245274</v>
      </c>
      <c r="I56" s="22">
        <f>((I11*Constants!$H46*Constants!$H64*(1-Constants!$H82))+(I11*Constants!$H46*Constants!$H98))</f>
        <v>5590802.2534045279</v>
      </c>
      <c r="J56" s="22">
        <f>((J11*Constants!$H46*Constants!$H64*(1-Constants!$H82))+(J11*Constants!$H46*Constants!$H98))</f>
        <v>5359796.7326131631</v>
      </c>
      <c r="K56" s="22">
        <f>((K11*Constants!$H46*Constants!$H64*(1-Constants!$H82))+(K11*Constants!$H46*Constants!$H98))</f>
        <v>5012605.003139752</v>
      </c>
      <c r="L56" s="22">
        <f>((L11*Constants!$H46*Constants!$H64*(1-Constants!$H82))+(L11*Constants!$H46*Constants!$H98))</f>
        <v>5047949.0430917693</v>
      </c>
      <c r="M56" s="22">
        <f>((M11*Constants!$H46*Constants!$H64*(1-Constants!$H82))+(M11*Constants!$H46*Constants!$H98))</f>
        <v>4975698.7956760423</v>
      </c>
      <c r="N56" s="22">
        <f>((N11*Constants!$H46*Constants!$H64*(1-Constants!$H82))+(N11*Constants!$H46*Constants!$H98))</f>
        <v>4992296.8254877636</v>
      </c>
      <c r="O56" s="22">
        <f>((O11*Constants!$H46*Constants!$H64*(1-Constants!$H82))+(O11*Constants!$H46*Constants!$H98))</f>
        <v>4883726.1834252123</v>
      </c>
      <c r="P56" s="22">
        <f>((P11*Constants!$H46*Constants!$H64*(1-Constants!$H82))+(P11*Constants!$H46*Constants!$H98))</f>
        <v>4897199.8782135509</v>
      </c>
      <c r="Q56" s="22">
        <f>((Q11*Constants!$H46*Constants!$H64*(1-Constants!$H82))+(Q11*Constants!$H46*Constants!$H98))</f>
        <v>4776912.9798133131</v>
      </c>
      <c r="R56" s="22">
        <f>((R11*Constants!$H46*Constants!$H64*(1-Constants!$H82))+(R11*Constants!$H46*Constants!$H98))</f>
        <v>4605660.3663441446</v>
      </c>
      <c r="S56" s="22">
        <f>((S11*Constants!$H46*Constants!$H64*(1-Constants!$H82))+(S11*Constants!$H46*Constants!$H98))</f>
        <v>4490841.0542348269</v>
      </c>
      <c r="T56" s="22">
        <f>((T11*Constants!$H46*Constants!$H64*(1-Constants!$H82))+(T11*Constants!$H46*Constants!$H98))</f>
        <v>4415857.0136736408</v>
      </c>
      <c r="U56" s="22">
        <f>((U11*Constants!$H46*Constants!$H64*(1-Constants!$H82))+(U11*Constants!$H46*Constants!$H98))</f>
        <v>4431283.4178515924</v>
      </c>
      <c r="V56" s="22">
        <f>((V11*Constants!$H46*Constants!$H64*(1-Constants!$H82))+(V11*Constants!$H46*Constants!$H98))</f>
        <v>4352393.9585111775</v>
      </c>
      <c r="W56" s="22">
        <f>((W11*Constants!$H46*Constants!$H64*(1-Constants!$H82))+(W11*Constants!$H46*Constants!$H98))</f>
        <v>4342044.5987462224</v>
      </c>
      <c r="X56" s="22">
        <f>((X11*Constants!$H46*Constants!$H64*(1-Constants!$H82))+(X11*Constants!$H46*Constants!$H98))</f>
        <v>4285220.7555084471</v>
      </c>
      <c r="Y56" s="22">
        <f>((Y11*Constants!$H46*Constants!$H64*(1-Constants!$H82))+(Y11*Constants!$H46*Constants!$H98))</f>
        <v>4281120.0657902574</v>
      </c>
      <c r="Z56" s="22">
        <f>((Z11*Constants!$H46*Constants!$H64*(1-Constants!$H82))+(Z11*Constants!$H46*Constants!$H98))</f>
        <v>4294984.3024565196</v>
      </c>
      <c r="AA56" s="22">
        <f>((AA11*Constants!$H46*Constants!$H64*(1-Constants!$H82))+(AA11*Constants!$H46*Constants!$H98))</f>
        <v>4279753.1692175278</v>
      </c>
      <c r="AB56" s="22">
        <f>((AB11*Constants!$H46*Constants!$H64*(1-Constants!$H82))+(AB11*Constants!$H46*Constants!$H98))</f>
        <v>4196958.2910978841</v>
      </c>
      <c r="AC56" s="22">
        <f>((AC11*Constants!$H46*Constants!$H64*(1-Constants!$H82))+(AC11*Constants!$H46*Constants!$H98))</f>
        <v>4164152.7733523645</v>
      </c>
      <c r="AD56" s="22">
        <f>((AD11*Constants!$H46*Constants!$H64*(1-Constants!$H82))+(AD11*Constants!$H46*Constants!$H98))</f>
        <v>4275279.6649764888</v>
      </c>
      <c r="AE56" s="22">
        <f>((AE11*Constants!$H46*Constants!$H64*(1-Constants!$H82))+(AE11*Constants!$H46*Constants!$H98))</f>
        <v>4261165.0632208539</v>
      </c>
      <c r="AF56" s="22">
        <f>((AF11*Constants!$H46*Constants!$H64*(1-Constants!$H82))+(AF11*Constants!$H46*Constants!$H98))</f>
        <v>4247403.599925546</v>
      </c>
      <c r="AG56" s="22">
        <f>((AG11*Constants!$H46*Constants!$H64*(1-Constants!$H82))+(AG11*Constants!$H46*Constants!$H98))</f>
        <v>4234003.0642306311</v>
      </c>
      <c r="AH56" s="22">
        <f>((AH11*Constants!$H46*Constants!$H64*(1-Constants!$H82))+(AH11*Constants!$H46*Constants!$H98))</f>
        <v>4219887.7815698907</v>
      </c>
      <c r="AI56" s="22">
        <f>((AI11*Constants!$H46*Constants!$H64*(1-Constants!$H82))+(AI11*Constants!$H46*Constants!$H98))</f>
        <v>4205769.9817340979</v>
      </c>
      <c r="AJ56" s="22">
        <f>((AJ11*Constants!$H46*Constants!$H64*(1-Constants!$H82))+(AJ11*Constants!$H46*Constants!$H98))</f>
        <v>4191927.2080928339</v>
      </c>
      <c r="AK56" s="22">
        <f>((AK11*Constants!$H46*Constants!$H64*(1-Constants!$H82))+(AK11*Constants!$H46*Constants!$H98))</f>
        <v>4178346.117504484</v>
      </c>
      <c r="AL56" s="22">
        <f>((AL11*Constants!$H46*Constants!$H64*(1-Constants!$H82))+(AL11*Constants!$H46*Constants!$H98))</f>
        <v>4168985.7207925832</v>
      </c>
      <c r="AM56" s="22">
        <f>((AM11*Constants!$H46*Constants!$H64*(1-Constants!$H82))+(AM11*Constants!$H46*Constants!$H98))</f>
        <v>4154940.400813756</v>
      </c>
      <c r="AN56" s="22">
        <f>((AN11*Constants!$H46*Constants!$H64*(1-Constants!$H82))+(AN11*Constants!$H46*Constants!$H98))</f>
        <v>4141128.8496585041</v>
      </c>
      <c r="AO56" s="22">
        <f>((AO11*Constants!$H46*Constants!$H64*(1-Constants!$H82))+(AO11*Constants!$H46*Constants!$H98))</f>
        <v>4127495.8338549631</v>
      </c>
      <c r="AP56" s="22">
        <f>((AP11*Constants!$H46*Constants!$H64*(1-Constants!$H82))+(AP11*Constants!$H46*Constants!$H98))</f>
        <v>4114078.9685502127</v>
      </c>
      <c r="AQ56" s="22">
        <f>((AQ11*Constants!$H46*Constants!$H64*(1-Constants!$H82))+(AQ11*Constants!$H46*Constants!$H98))</f>
        <v>4100800.6245148131</v>
      </c>
      <c r="AR56" s="22">
        <f>((AR11*Constants!$H46*Constants!$H64*(1-Constants!$H82))+(AR11*Constants!$H46*Constants!$H98))</f>
        <v>4086514.3651588508</v>
      </c>
      <c r="AS56" s="22">
        <f>((AS11*Constants!$H46*Constants!$H64*(1-Constants!$H82))+(AS11*Constants!$H46*Constants!$H98))</f>
        <v>4072438.4076858917</v>
      </c>
      <c r="AT56" s="22">
        <f>((AT11*Constants!$H46*Constants!$H64*(1-Constants!$H82))+(AT11*Constants!$H46*Constants!$H98))</f>
        <v>4058507.2232593787</v>
      </c>
      <c r="AU56" s="22">
        <f>((AU11*Constants!$H46*Constants!$H64*(1-Constants!$H82))+(AU11*Constants!$H46*Constants!$H98))</f>
        <v>4044730.187302833</v>
      </c>
      <c r="AV56" s="22">
        <f>((AV11*Constants!$H46*Constants!$H64*(1-Constants!$H82))+(AV11*Constants!$H46*Constants!$H98))</f>
        <v>4031100.339055486</v>
      </c>
      <c r="AW56" s="22">
        <f>((AW11*Constants!$H46*Constants!$H64*(1-Constants!$H82))+(AW11*Constants!$H46*Constants!$H98))</f>
        <v>4017840.340233949</v>
      </c>
      <c r="AX56" s="22">
        <f>((AX11*Constants!$H46*Constants!$H64*(1-Constants!$H82))+(AX11*Constants!$H46*Constants!$H98))</f>
        <v>4017840.340233949</v>
      </c>
      <c r="AY56" s="22">
        <f>((AY11*Constants!$H46*Constants!$H64*(1-Constants!$H82))+(AY11*Constants!$H46*Constants!$H98))</f>
        <v>4017840.340233949</v>
      </c>
      <c r="AZ56" s="22">
        <f>((AZ11*Constants!$H46*Constants!$H64*(1-Constants!$H82))+(AZ11*Constants!$H46*Constants!$H98))</f>
        <v>4017840.340233949</v>
      </c>
      <c r="BA56" s="22">
        <f>((BA11*Constants!$H46*Constants!$H64*(1-Constants!$H82))+(BA11*Constants!$H46*Constants!$H98))</f>
        <v>4017840.340233949</v>
      </c>
      <c r="BB56" s="22">
        <f>((BB11*Constants!$H46*Constants!$H64*(1-Constants!$H82))+(BB11*Constants!$H46*Constants!$H98))</f>
        <v>4017840.340233949</v>
      </c>
      <c r="BC56" s="22">
        <f>((BC11*Constants!$H46*Constants!$H64*(1-Constants!$H82))+(BC11*Constants!$H46*Constants!$H98))</f>
        <v>4017840.340233949</v>
      </c>
      <c r="BD56" s="22">
        <f>((BD11*Constants!$H46*Constants!$H64*(1-Constants!$H82))+(BD11*Constants!$H46*Constants!$H98))</f>
        <v>4017840.340233949</v>
      </c>
      <c r="BE56" s="22">
        <f>((BE11*Constants!$H46*Constants!$H64*(1-Constants!$H82))+(BE11*Constants!$H46*Constants!$H98))</f>
        <v>4017840.340233949</v>
      </c>
      <c r="BF56" s="22">
        <f>((BF11*Constants!$H46*Constants!$H64*(1-Constants!$H82))+(BF11*Constants!$H46*Constants!$H98))</f>
        <v>4017840.340233949</v>
      </c>
      <c r="BG56" s="22">
        <f>((BG11*Constants!$H46*Constants!$H64*(1-Constants!$H82))+(BG11*Constants!$H46*Constants!$H98))</f>
        <v>4017840.340233949</v>
      </c>
      <c r="BH56" s="22">
        <f>((BH11*Constants!$H46*Constants!$H64*(1-Constants!$H82))+(BH11*Constants!$H46*Constants!$H98))</f>
        <v>4017840.340233949</v>
      </c>
      <c r="BI56" s="22">
        <f>((BI11*Constants!$H46*Constants!$H64*(1-Constants!$H82))+(BI11*Constants!$H46*Constants!$H98))</f>
        <v>4017840.340233949</v>
      </c>
      <c r="BJ56" s="22">
        <f>((BJ11*Constants!$H46*Constants!$H64*(1-Constants!$H82))+(BJ11*Constants!$H46*Constants!$H98))</f>
        <v>4017840.340233949</v>
      </c>
      <c r="BK56" s="22">
        <f>((BK11*Constants!$H46*Constants!$H64*(1-Constants!$H82))+(BK11*Constants!$H46*Constants!$H98))</f>
        <v>4017840.340233949</v>
      </c>
      <c r="BL56" s="22">
        <f>((BL11*Constants!$H46*Constants!$H64*(1-Constants!$H82))+(BL11*Constants!$H46*Constants!$H98))</f>
        <v>4017840.340233949</v>
      </c>
      <c r="BM56" s="22">
        <f>((BM11*Constants!$H46*Constants!$H64*(1-Constants!$H82))+(BM11*Constants!$H46*Constants!$H98))</f>
        <v>4017840.340233949</v>
      </c>
      <c r="BN56" s="22">
        <f>((BN11*Constants!$H46*Constants!$H64*(1-Constants!$H82))+(BN11*Constants!$H46*Constants!$H98))</f>
        <v>4017840.340233949</v>
      </c>
      <c r="BO56" s="22">
        <f>((BO11*Constants!$H46*Constants!$H64*(1-Constants!$H82))+(BO11*Constants!$H46*Constants!$H98))</f>
        <v>4017840.340233949</v>
      </c>
      <c r="BP56" s="22">
        <f>((BP11*Constants!$H46*Constants!$H64*(1-Constants!$H82))+(BP11*Constants!$H46*Constants!$H98))</f>
        <v>4017840.340233949</v>
      </c>
    </row>
    <row r="57" spans="1:72" x14ac:dyDescent="0.25">
      <c r="A57" t="str">
        <f t="shared" si="23"/>
        <v>3C Aggregated and non-CO2 emissions on land</v>
      </c>
      <c r="B57" t="str">
        <f t="shared" si="24"/>
        <v>3C4 Direct N2O from managed soils (N2O)</v>
      </c>
      <c r="C57" t="s">
        <v>414</v>
      </c>
      <c r="D57" t="str">
        <f>Constants!D99</f>
        <v xml:space="preserve"> - Subsistence sheep</v>
      </c>
      <c r="E57" t="str">
        <f t="shared" si="26"/>
        <v>MM N available - Subsistence sheep</v>
      </c>
      <c r="F57" t="str">
        <f t="shared" si="27"/>
        <v>kg N</v>
      </c>
      <c r="H57" s="22">
        <f>((H12*Constants!$H47*Constants!$H65*(1-Constants!$H83))+(H12*Constants!$H47*Constants!$H99))</f>
        <v>4449823.866729687</v>
      </c>
      <c r="I57" s="22">
        <f>((I12*Constants!$H47*Constants!$H65*(1-Constants!$H83))+(I12*Constants!$H47*Constants!$H99))</f>
        <v>4249738.3878160603</v>
      </c>
      <c r="J57" s="22">
        <f>((J12*Constants!$H47*Constants!$H65*(1-Constants!$H83))+(J12*Constants!$H47*Constants!$H99))</f>
        <v>4074144.0839920086</v>
      </c>
      <c r="K57" s="22">
        <f>((K12*Constants!$H47*Constants!$H65*(1-Constants!$H83))+(K12*Constants!$H47*Constants!$H99))</f>
        <v>3810233.1184813054</v>
      </c>
      <c r="L57" s="22">
        <f>((L12*Constants!$H47*Constants!$H65*(1-Constants!$H83))+(L12*Constants!$H47*Constants!$H99))</f>
        <v>3837099.1953977491</v>
      </c>
      <c r="M57" s="22">
        <f>((M12*Constants!$H47*Constants!$H65*(1-Constants!$H83))+(M12*Constants!$H47*Constants!$H99))</f>
        <v>3782179.5906514279</v>
      </c>
      <c r="N57" s="22">
        <f>((N12*Constants!$H47*Constants!$H65*(1-Constants!$H83))+(N12*Constants!$H47*Constants!$H99))</f>
        <v>3794796.2566066636</v>
      </c>
      <c r="O57" s="22">
        <f>((O12*Constants!$H47*Constants!$H65*(1-Constants!$H83))+(O12*Constants!$H47*Constants!$H99))</f>
        <v>3712268.4181230017</v>
      </c>
      <c r="P57" s="22">
        <f>((P12*Constants!$H47*Constants!$H65*(1-Constants!$H83))+(P12*Constants!$H47*Constants!$H99))</f>
        <v>3722510.1822513817</v>
      </c>
      <c r="Q57" s="22">
        <f>((Q12*Constants!$H47*Constants!$H65*(1-Constants!$H83))+(Q12*Constants!$H47*Constants!$H99))</f>
        <v>3631076.4619169645</v>
      </c>
      <c r="R57" s="22">
        <f>((R12*Constants!$H47*Constants!$H65*(1-Constants!$H83))+(R12*Constants!$H47*Constants!$H99))</f>
        <v>3500902.1555317631</v>
      </c>
      <c r="S57" s="22">
        <f>((S12*Constants!$H47*Constants!$H65*(1-Constants!$H83))+(S12*Constants!$H47*Constants!$H99))</f>
        <v>3413624.5133943642</v>
      </c>
      <c r="T57" s="22">
        <f>((T12*Constants!$H47*Constants!$H65*(1-Constants!$H83))+(T12*Constants!$H47*Constants!$H99))</f>
        <v>3356626.8695495329</v>
      </c>
      <c r="U57" s="22">
        <f>((U12*Constants!$H47*Constants!$H65*(1-Constants!$H83))+(U12*Constants!$H47*Constants!$H99))</f>
        <v>3368352.9473196943</v>
      </c>
      <c r="V57" s="22">
        <f>((V12*Constants!$H47*Constants!$H65*(1-Constants!$H83))+(V12*Constants!$H47*Constants!$H99))</f>
        <v>3308386.6761912769</v>
      </c>
      <c r="W57" s="22">
        <f>((W12*Constants!$H47*Constants!$H65*(1-Constants!$H83))+(W12*Constants!$H47*Constants!$H99))</f>
        <v>3300519.8138897773</v>
      </c>
      <c r="X57" s="22">
        <f>((X12*Constants!$H47*Constants!$H65*(1-Constants!$H83))+(X12*Constants!$H47*Constants!$H99))</f>
        <v>3257326.2869136157</v>
      </c>
      <c r="Y57" s="22">
        <f>((Y12*Constants!$H47*Constants!$H65*(1-Constants!$H83))+(Y12*Constants!$H47*Constants!$H99))</f>
        <v>3254209.2282658513</v>
      </c>
      <c r="Z57" s="22">
        <f>((Z12*Constants!$H47*Constants!$H65*(1-Constants!$H83))+(Z12*Constants!$H47*Constants!$H99))</f>
        <v>3264747.8551225783</v>
      </c>
      <c r="AA57" s="22">
        <f>((AA12*Constants!$H47*Constants!$H65*(1-Constants!$H83))+(AA12*Constants!$H47*Constants!$H99))</f>
        <v>3253170.2087165965</v>
      </c>
      <c r="AB57" s="22">
        <f>((AB12*Constants!$H47*Constants!$H65*(1-Constants!$H83))+(AB12*Constants!$H47*Constants!$H99))</f>
        <v>3190235.3103045956</v>
      </c>
      <c r="AC57" s="22">
        <f>((AC12*Constants!$H47*Constants!$H65*(1-Constants!$H83))+(AC12*Constants!$H47*Constants!$H99))</f>
        <v>3165298.8411224815</v>
      </c>
      <c r="AD57" s="22">
        <f>((AD12*Constants!$H47*Constants!$H65*(1-Constants!$H83))+(AD12*Constants!$H47*Constants!$H99))</f>
        <v>3260020.5701921959</v>
      </c>
      <c r="AE57" s="22">
        <f>((AE12*Constants!$H47*Constants!$H65*(1-Constants!$H83))+(AE12*Constants!$H47*Constants!$H99))</f>
        <v>3249257.7907557092</v>
      </c>
      <c r="AF57" s="22">
        <f>((AF12*Constants!$H47*Constants!$H65*(1-Constants!$H83))+(AF12*Constants!$H47*Constants!$H99))</f>
        <v>3238764.2892928291</v>
      </c>
      <c r="AG57" s="22">
        <f>((AG12*Constants!$H47*Constants!$H65*(1-Constants!$H83))+(AG12*Constants!$H47*Constants!$H99))</f>
        <v>3228546.0052411691</v>
      </c>
      <c r="AH57" s="22">
        <f>((AH12*Constants!$H47*Constants!$H65*(1-Constants!$H83))+(AH12*Constants!$H47*Constants!$H99))</f>
        <v>3217782.7065954548</v>
      </c>
      <c r="AI57" s="22">
        <f>((AI12*Constants!$H47*Constants!$H65*(1-Constants!$H83))+(AI12*Constants!$H47*Constants!$H99))</f>
        <v>3207017.4885332123</v>
      </c>
      <c r="AJ57" s="22">
        <f>((AJ12*Constants!$H47*Constants!$H65*(1-Constants!$H83))+(AJ12*Constants!$H47*Constants!$H99))</f>
        <v>3196461.9856526116</v>
      </c>
      <c r="AK57" s="22">
        <f>((AK12*Constants!$H47*Constants!$H65*(1-Constants!$H83))+(AK12*Constants!$H47*Constants!$H99))</f>
        <v>3186106.0234341947</v>
      </c>
      <c r="AL57" s="22">
        <f>((AL12*Constants!$H47*Constants!$H65*(1-Constants!$H83))+(AL12*Constants!$H47*Constants!$H99))</f>
        <v>3178968.4585923115</v>
      </c>
      <c r="AM57" s="22">
        <f>((AM12*Constants!$H47*Constants!$H65*(1-Constants!$H83))+(AM12*Constants!$H47*Constants!$H99))</f>
        <v>3168258.5084524387</v>
      </c>
      <c r="AN57" s="22">
        <f>((AN12*Constants!$H47*Constants!$H65*(1-Constants!$H83))+(AN12*Constants!$H47*Constants!$H99))</f>
        <v>3157726.8135925117</v>
      </c>
      <c r="AO57" s="22">
        <f>((AO12*Constants!$H47*Constants!$H65*(1-Constants!$H83))+(AO12*Constants!$H47*Constants!$H99))</f>
        <v>3147331.2569421739</v>
      </c>
      <c r="AP57" s="22">
        <f>((AP12*Constants!$H47*Constants!$H65*(1-Constants!$H83))+(AP12*Constants!$H47*Constants!$H99))</f>
        <v>3137100.5211053351</v>
      </c>
      <c r="AQ57" s="22">
        <f>((AQ12*Constants!$H47*Constants!$H65*(1-Constants!$H83))+(AQ12*Constants!$H47*Constants!$H99))</f>
        <v>3126975.4116187887</v>
      </c>
      <c r="AR57" s="22">
        <f>((AR12*Constants!$H47*Constants!$H65*(1-Constants!$H83))+(AR12*Constants!$H47*Constants!$H99))</f>
        <v>3116081.738450909</v>
      </c>
      <c r="AS57" s="22">
        <f>((AS12*Constants!$H47*Constants!$H65*(1-Constants!$H83))+(AS12*Constants!$H47*Constants!$H99))</f>
        <v>3105348.4263630663</v>
      </c>
      <c r="AT57" s="22">
        <f>((AT12*Constants!$H47*Constants!$H65*(1-Constants!$H83))+(AT12*Constants!$H47*Constants!$H99))</f>
        <v>3094725.5077807745</v>
      </c>
      <c r="AU57" s="22">
        <f>((AU12*Constants!$H47*Constants!$H65*(1-Constants!$H83))+(AU12*Constants!$H47*Constants!$H99))</f>
        <v>3084220.1317272377</v>
      </c>
      <c r="AV57" s="22">
        <f>((AV12*Constants!$H47*Constants!$H65*(1-Constants!$H83))+(AV12*Constants!$H47*Constants!$H99))</f>
        <v>3073826.990427278</v>
      </c>
      <c r="AW57" s="22">
        <f>((AW12*Constants!$H47*Constants!$H65*(1-Constants!$H83))+(AW12*Constants!$H47*Constants!$H99))</f>
        <v>3063715.8696804726</v>
      </c>
      <c r="AX57" s="22">
        <f>((AX12*Constants!$H47*Constants!$H65*(1-Constants!$H83))+(AX12*Constants!$H47*Constants!$H99))</f>
        <v>3063715.8696804726</v>
      </c>
      <c r="AY57" s="22">
        <f>((AY12*Constants!$H47*Constants!$H65*(1-Constants!$H83))+(AY12*Constants!$H47*Constants!$H99))</f>
        <v>3063715.8696804726</v>
      </c>
      <c r="AZ57" s="22">
        <f>((AZ12*Constants!$H47*Constants!$H65*(1-Constants!$H83))+(AZ12*Constants!$H47*Constants!$H99))</f>
        <v>3063715.8696804726</v>
      </c>
      <c r="BA57" s="22">
        <f>((BA12*Constants!$H47*Constants!$H65*(1-Constants!$H83))+(BA12*Constants!$H47*Constants!$H99))</f>
        <v>3063715.8696804726</v>
      </c>
      <c r="BB57" s="22">
        <f>((BB12*Constants!$H47*Constants!$H65*(1-Constants!$H83))+(BB12*Constants!$H47*Constants!$H99))</f>
        <v>3063715.8696804726</v>
      </c>
      <c r="BC57" s="22">
        <f>((BC12*Constants!$H47*Constants!$H65*(1-Constants!$H83))+(BC12*Constants!$H47*Constants!$H99))</f>
        <v>3063715.8696804726</v>
      </c>
      <c r="BD57" s="22">
        <f>((BD12*Constants!$H47*Constants!$H65*(1-Constants!$H83))+(BD12*Constants!$H47*Constants!$H99))</f>
        <v>3063715.8696804726</v>
      </c>
      <c r="BE57" s="22">
        <f>((BE12*Constants!$H47*Constants!$H65*(1-Constants!$H83))+(BE12*Constants!$H47*Constants!$H99))</f>
        <v>3063715.8696804726</v>
      </c>
      <c r="BF57" s="22">
        <f>((BF12*Constants!$H47*Constants!$H65*(1-Constants!$H83))+(BF12*Constants!$H47*Constants!$H99))</f>
        <v>3063715.8696804726</v>
      </c>
      <c r="BG57" s="22">
        <f>((BG12*Constants!$H47*Constants!$H65*(1-Constants!$H83))+(BG12*Constants!$H47*Constants!$H99))</f>
        <v>3063715.8696804726</v>
      </c>
      <c r="BH57" s="22">
        <f>((BH12*Constants!$H47*Constants!$H65*(1-Constants!$H83))+(BH12*Constants!$H47*Constants!$H99))</f>
        <v>3063715.8696804726</v>
      </c>
      <c r="BI57" s="22">
        <f>((BI12*Constants!$H47*Constants!$H65*(1-Constants!$H83))+(BI12*Constants!$H47*Constants!$H99))</f>
        <v>3063715.8696804726</v>
      </c>
      <c r="BJ57" s="22">
        <f>((BJ12*Constants!$H47*Constants!$H65*(1-Constants!$H83))+(BJ12*Constants!$H47*Constants!$H99))</f>
        <v>3063715.8696804726</v>
      </c>
      <c r="BK57" s="22">
        <f>((BK12*Constants!$H47*Constants!$H65*(1-Constants!$H83))+(BK12*Constants!$H47*Constants!$H99))</f>
        <v>3063715.8696804726</v>
      </c>
      <c r="BL57" s="22">
        <f>((BL12*Constants!$H47*Constants!$H65*(1-Constants!$H83))+(BL12*Constants!$H47*Constants!$H99))</f>
        <v>3063715.8696804726</v>
      </c>
      <c r="BM57" s="22">
        <f>((BM12*Constants!$H47*Constants!$H65*(1-Constants!$H83))+(BM12*Constants!$H47*Constants!$H99))</f>
        <v>3063715.8696804726</v>
      </c>
      <c r="BN57" s="22">
        <f>((BN12*Constants!$H47*Constants!$H65*(1-Constants!$H83))+(BN12*Constants!$H47*Constants!$H99))</f>
        <v>3063715.8696804726</v>
      </c>
      <c r="BO57" s="22">
        <f>((BO12*Constants!$H47*Constants!$H65*(1-Constants!$H83))+(BO12*Constants!$H47*Constants!$H99))</f>
        <v>3063715.8696804726</v>
      </c>
      <c r="BP57" s="22">
        <f>((BP12*Constants!$H47*Constants!$H65*(1-Constants!$H83))+(BP12*Constants!$H47*Constants!$H99))</f>
        <v>3063715.8696804726</v>
      </c>
    </row>
    <row r="58" spans="1:72" x14ac:dyDescent="0.25">
      <c r="A58" t="str">
        <f t="shared" si="23"/>
        <v>3C Aggregated and non-CO2 emissions on land</v>
      </c>
      <c r="B58" t="str">
        <f t="shared" si="24"/>
        <v>3C4 Direct N2O from managed soils (N2O)</v>
      </c>
      <c r="C58" t="s">
        <v>414</v>
      </c>
      <c r="D58" t="str">
        <f>Constants!D100</f>
        <v xml:space="preserve"> - Commercial goats</v>
      </c>
      <c r="E58" t="str">
        <f t="shared" si="26"/>
        <v>MM N available - Commercial goats</v>
      </c>
      <c r="F58" t="str">
        <f t="shared" si="27"/>
        <v>kg N</v>
      </c>
      <c r="H58" s="22">
        <f>((H13*Constants!$H48*Constants!$H66*(1-Constants!$H84))+(H13*Constants!$H48*Constants!$H100))</f>
        <v>615778.18513243599</v>
      </c>
      <c r="I58" s="22">
        <f>((I13*Constants!$H48*Constants!$H66*(1-Constants!$H84))+(I13*Constants!$H48*Constants!$H100))</f>
        <v>544521.949578178</v>
      </c>
      <c r="J58" s="22">
        <f>((J13*Constants!$H48*Constants!$H66*(1-Constants!$H84))+(J13*Constants!$H48*Constants!$H100))</f>
        <v>507228.96648436046</v>
      </c>
      <c r="K58" s="22">
        <f>((K13*Constants!$H48*Constants!$H66*(1-Constants!$H84))+(K13*Constants!$H48*Constants!$H100))</f>
        <v>479259.2291639974</v>
      </c>
      <c r="L58" s="22">
        <f>((L13*Constants!$H48*Constants!$H66*(1-Constants!$H84))+(L13*Constants!$H48*Constants!$H100))</f>
        <v>518772.03268006572</v>
      </c>
      <c r="M58" s="22">
        <f>((M13*Constants!$H48*Constants!$H66*(1-Constants!$H84))+(M13*Constants!$H48*Constants!$H100))</f>
        <v>525875.45803126914</v>
      </c>
      <c r="N58" s="22">
        <f>((N13*Constants!$H48*Constants!$H66*(1-Constants!$H84))+(N13*Constants!$H48*Constants!$H100))</f>
        <v>534088.79359359795</v>
      </c>
      <c r="O58" s="22">
        <f>((O13*Constants!$H48*Constants!$H66*(1-Constants!$H84))+(O13*Constants!$H48*Constants!$H100))</f>
        <v>531425.00908689678</v>
      </c>
      <c r="P58" s="22">
        <f>((P13*Constants!$H48*Constants!$H66*(1-Constants!$H84))+(P13*Constants!$H48*Constants!$H100))</f>
        <v>523877.61965124327</v>
      </c>
      <c r="Q58" s="22">
        <f>((Q13*Constants!$H48*Constants!$H66*(1-Constants!$H84))+(Q13*Constants!$H48*Constants!$H100))</f>
        <v>516108.24817336473</v>
      </c>
      <c r="R58" s="22">
        <f>((R13*Constants!$H48*Constants!$H66*(1-Constants!$H84))+(R13*Constants!$H48*Constants!$H100))</f>
        <v>522767.7094401177</v>
      </c>
      <c r="S58" s="22">
        <f>((S13*Constants!$H48*Constants!$H66*(1-Constants!$H84))+(S13*Constants!$H48*Constants!$H100))</f>
        <v>538750.41648032528</v>
      </c>
      <c r="T58" s="22">
        <f>((T13*Constants!$H48*Constants!$H66*(1-Constants!$H84))+(T13*Constants!$H48*Constants!$H100))</f>
        <v>491912.20557082852</v>
      </c>
      <c r="U58" s="22">
        <f>((U13*Constants!$H48*Constants!$H66*(1-Constants!$H84))+(U13*Constants!$H48*Constants!$H100))</f>
        <v>479481.21120622259</v>
      </c>
      <c r="V58" s="22">
        <f>((V13*Constants!$H48*Constants!$H66*(1-Constants!$H84))+(V13*Constants!$H48*Constants!$H100))</f>
        <v>480369.13937512314</v>
      </c>
      <c r="W58" s="22">
        <f>((W13*Constants!$H48*Constants!$H66*(1-Constants!$H84))+(W13*Constants!$H48*Constants!$H100))</f>
        <v>474153.64219282009</v>
      </c>
      <c r="X58" s="22">
        <f>((X13*Constants!$H48*Constants!$H66*(1-Constants!$H84))+(X13*Constants!$H48*Constants!$H100))</f>
        <v>484142.83409294975</v>
      </c>
      <c r="Y58" s="22">
        <f>((Y13*Constants!$H48*Constants!$H66*(1-Constants!$H84))+(Y13*Constants!$H48*Constants!$H100))</f>
        <v>469714.00134831812</v>
      </c>
      <c r="Z58" s="22">
        <f>((Z13*Constants!$H48*Constants!$H66*(1-Constants!$H84))+(Z13*Constants!$H48*Constants!$H100))</f>
        <v>469270.03726386797</v>
      </c>
      <c r="AA58" s="22">
        <f>((AA13*Constants!$H48*Constants!$H66*(1-Constants!$H84))+(AA13*Constants!$H48*Constants!$H100))</f>
        <v>461056.7017015391</v>
      </c>
      <c r="AB58" s="22">
        <f>((AB13*Constants!$H48*Constants!$H66*(1-Constants!$H84))+(AB13*Constants!$H48*Constants!$H100))</f>
        <v>455507.15064591152</v>
      </c>
      <c r="AC58" s="22">
        <f>((AC13*Constants!$H48*Constants!$H66*(1-Constants!$H84))+(AC13*Constants!$H48*Constants!$H100))</f>
        <v>451289.49184363458</v>
      </c>
      <c r="AD58" s="22">
        <f>((AD13*Constants!$H48*Constants!$H66*(1-Constants!$H84))+(AD13*Constants!$H48*Constants!$H100))</f>
        <v>456307.24336241931</v>
      </c>
      <c r="AE58" s="22">
        <f>((AE13*Constants!$H48*Constants!$H66*(1-Constants!$H84))+(AE13*Constants!$H48*Constants!$H100))</f>
        <v>454662.12632681098</v>
      </c>
      <c r="AF58" s="22">
        <f>((AF13*Constants!$H48*Constants!$H66*(1-Constants!$H84))+(AF13*Constants!$H48*Constants!$H100))</f>
        <v>453035.75071982632</v>
      </c>
      <c r="AG58" s="22">
        <f>((AG13*Constants!$H48*Constants!$H66*(1-Constants!$H84))+(AG13*Constants!$H48*Constants!$H100))</f>
        <v>451430.46610338573</v>
      </c>
      <c r="AH58" s="22">
        <f>((AH13*Constants!$H48*Constants!$H66*(1-Constants!$H84))+(AH13*Constants!$H48*Constants!$H100))</f>
        <v>449716.2319074017</v>
      </c>
      <c r="AI58" s="22">
        <f>((AI13*Constants!$H48*Constants!$H66*(1-Constants!$H84))+(AI13*Constants!$H48*Constants!$H100))</f>
        <v>447977.41824567184</v>
      </c>
      <c r="AJ58" s="22">
        <f>((AJ13*Constants!$H48*Constants!$H66*(1-Constants!$H84))+(AJ13*Constants!$H48*Constants!$H100))</f>
        <v>446248.57538860093</v>
      </c>
      <c r="AK58" s="22">
        <f>((AK13*Constants!$H48*Constants!$H66*(1-Constants!$H84))+(AK13*Constants!$H48*Constants!$H100))</f>
        <v>444529.09442282247</v>
      </c>
      <c r="AL58" s="22">
        <f>((AL13*Constants!$H48*Constants!$H66*(1-Constants!$H84))+(AL13*Constants!$H48*Constants!$H100))</f>
        <v>443330.37821869727</v>
      </c>
      <c r="AM58" s="22">
        <f>((AM13*Constants!$H48*Constants!$H66*(1-Constants!$H84))+(AM13*Constants!$H48*Constants!$H100))</f>
        <v>441510.60508693365</v>
      </c>
      <c r="AN58" s="22">
        <f>((AN13*Constants!$H48*Constants!$H66*(1-Constants!$H84))+(AN13*Constants!$H48*Constants!$H100))</f>
        <v>439696.12568896863</v>
      </c>
      <c r="AO58" s="22">
        <f>((AO13*Constants!$H48*Constants!$H66*(1-Constants!$H84))+(AO13*Constants!$H48*Constants!$H100))</f>
        <v>437880.45799960272</v>
      </c>
      <c r="AP58" s="22">
        <f>((AP13*Constants!$H48*Constants!$H66*(1-Constants!$H84))+(AP13*Constants!$H48*Constants!$H100))</f>
        <v>436069.34745024156</v>
      </c>
      <c r="AQ58" s="22">
        <f>((AQ13*Constants!$H48*Constants!$H66*(1-Constants!$H84))+(AQ13*Constants!$H48*Constants!$H100))</f>
        <v>434252.95105665701</v>
      </c>
      <c r="AR58" s="22">
        <f>((AR13*Constants!$H48*Constants!$H66*(1-Constants!$H84))+(AR13*Constants!$H48*Constants!$H100))</f>
        <v>432271.6675204045</v>
      </c>
      <c r="AS58" s="22">
        <f>((AS13*Constants!$H48*Constants!$H66*(1-Constants!$H84))+(AS13*Constants!$H48*Constants!$H100))</f>
        <v>430291.78549637971</v>
      </c>
      <c r="AT58" s="22">
        <f>((AT13*Constants!$H48*Constants!$H66*(1-Constants!$H84))+(AT13*Constants!$H48*Constants!$H100))</f>
        <v>428304.74863914645</v>
      </c>
      <c r="AU58" s="22">
        <f>((AU13*Constants!$H48*Constants!$H66*(1-Constants!$H84))+(AU13*Constants!$H48*Constants!$H100))</f>
        <v>426312.39906336193</v>
      </c>
      <c r="AV58" s="22">
        <f>((AV13*Constants!$H48*Constants!$H66*(1-Constants!$H84))+(AV13*Constants!$H48*Constants!$H100))</f>
        <v>424314.25186359737</v>
      </c>
      <c r="AW58" s="22">
        <f>((AW13*Constants!$H48*Constants!$H66*(1-Constants!$H84))+(AW13*Constants!$H48*Constants!$H100))</f>
        <v>424523.98285432294</v>
      </c>
      <c r="AX58" s="22">
        <f>((AX13*Constants!$H48*Constants!$H66*(1-Constants!$H84))+(AX13*Constants!$H48*Constants!$H100))</f>
        <v>424639.04367249814</v>
      </c>
      <c r="AY58" s="22">
        <f>((AY13*Constants!$H48*Constants!$H66*(1-Constants!$H84))+(AY13*Constants!$H48*Constants!$H100))</f>
        <v>424723.05588014564</v>
      </c>
      <c r="AZ58" s="22">
        <f>((AZ13*Constants!$H48*Constants!$H66*(1-Constants!$H84))+(AZ13*Constants!$H48*Constants!$H100))</f>
        <v>424761.76302537351</v>
      </c>
      <c r="BA58" s="22">
        <f>((BA13*Constants!$H48*Constants!$H66*(1-Constants!$H84))+(BA13*Constants!$H48*Constants!$H100))</f>
        <v>424755.92820505163</v>
      </c>
      <c r="BB58" s="22">
        <f>((BB13*Constants!$H48*Constants!$H66*(1-Constants!$H84))+(BB13*Constants!$H48*Constants!$H100))</f>
        <v>424824.89829272707</v>
      </c>
      <c r="BC58" s="22">
        <f>((BC13*Constants!$H48*Constants!$H66*(1-Constants!$H84))+(BC13*Constants!$H48*Constants!$H100))</f>
        <v>424835.51755355275</v>
      </c>
      <c r="BD58" s="22">
        <f>((BD13*Constants!$H48*Constants!$H66*(1-Constants!$H84))+(BD13*Constants!$H48*Constants!$H100))</f>
        <v>424773.89346959535</v>
      </c>
      <c r="BE58" s="22">
        <f>((BE13*Constants!$H48*Constants!$H66*(1-Constants!$H84))+(BE13*Constants!$H48*Constants!$H100))</f>
        <v>424653.13051725307</v>
      </c>
      <c r="BF58" s="22">
        <f>((BF13*Constants!$H48*Constants!$H66*(1-Constants!$H84))+(BF13*Constants!$H48*Constants!$H100))</f>
        <v>424484.29058819701</v>
      </c>
      <c r="BG58" s="22">
        <f>((BG13*Constants!$H48*Constants!$H66*(1-Constants!$H84))+(BG13*Constants!$H48*Constants!$H100))</f>
        <v>425822.21141588956</v>
      </c>
      <c r="BH58" s="22">
        <f>((BH13*Constants!$H48*Constants!$H66*(1-Constants!$H84))+(BH13*Constants!$H48*Constants!$H100))</f>
        <v>427116.00407595531</v>
      </c>
      <c r="BI58" s="22">
        <f>((BI13*Constants!$H48*Constants!$H66*(1-Constants!$H84))+(BI13*Constants!$H48*Constants!$H100))</f>
        <v>428363.7101473363</v>
      </c>
      <c r="BJ58" s="22">
        <f>((BJ13*Constants!$H48*Constants!$H66*(1-Constants!$H84))+(BJ13*Constants!$H48*Constants!$H100))</f>
        <v>429568.21050410048</v>
      </c>
      <c r="BK58" s="22">
        <f>((BK13*Constants!$H48*Constants!$H66*(1-Constants!$H84))+(BK13*Constants!$H48*Constants!$H100))</f>
        <v>430742.32195268711</v>
      </c>
      <c r="BL58" s="22">
        <f>((BL13*Constants!$H48*Constants!$H66*(1-Constants!$H84))+(BL13*Constants!$H48*Constants!$H100))</f>
        <v>431745.04473165865</v>
      </c>
      <c r="BM58" s="22">
        <f>((BM13*Constants!$H48*Constants!$H66*(1-Constants!$H84))+(BM13*Constants!$H48*Constants!$H100))</f>
        <v>432712.37366511655</v>
      </c>
      <c r="BN58" s="22">
        <f>((BN13*Constants!$H48*Constants!$H66*(1-Constants!$H84))+(BN13*Constants!$H48*Constants!$H100))</f>
        <v>433618.58087165037</v>
      </c>
      <c r="BO58" s="22">
        <f>((BO13*Constants!$H48*Constants!$H66*(1-Constants!$H84))+(BO13*Constants!$H48*Constants!$H100))</f>
        <v>434491.18585094262</v>
      </c>
      <c r="BP58" s="22">
        <f>((BP13*Constants!$H48*Constants!$H66*(1-Constants!$H84))+(BP13*Constants!$H48*Constants!$H100))</f>
        <v>435332.29631447297</v>
      </c>
    </row>
    <row r="59" spans="1:72" x14ac:dyDescent="0.25">
      <c r="A59" t="str">
        <f t="shared" si="23"/>
        <v>3C Aggregated and non-CO2 emissions on land</v>
      </c>
      <c r="B59" t="str">
        <f t="shared" si="24"/>
        <v>3C4 Direct N2O from managed soils (N2O)</v>
      </c>
      <c r="C59" t="s">
        <v>414</v>
      </c>
      <c r="D59" t="str">
        <f>Constants!D101</f>
        <v xml:space="preserve"> - Subsistence goats</v>
      </c>
      <c r="E59" t="str">
        <f t="shared" si="26"/>
        <v>MM N available - Subsistence goats</v>
      </c>
      <c r="F59" t="str">
        <f t="shared" si="27"/>
        <v>kg N</v>
      </c>
      <c r="H59" s="22">
        <f>((H14*Constants!$H49*Constants!$H67*(1-Constants!$H85))+(H14*Constants!$H49*Constants!$H101))</f>
        <v>7560354.6157626472</v>
      </c>
      <c r="I59" s="22">
        <f>((I14*Constants!$H49*Constants!$H67*(1-Constants!$H85))+(I14*Constants!$H49*Constants!$H101))</f>
        <v>6685490.2207879517</v>
      </c>
      <c r="J59" s="22">
        <f>((J14*Constants!$H49*Constants!$H67*(1-Constants!$H85))+(J14*Constants!$H49*Constants!$H101))</f>
        <v>6227617.2664086716</v>
      </c>
      <c r="K59" s="22">
        <f>((K14*Constants!$H49*Constants!$H67*(1-Constants!$H85))+(K14*Constants!$H49*Constants!$H101))</f>
        <v>5884212.5506242104</v>
      </c>
      <c r="L59" s="22">
        <f>((L14*Constants!$H49*Constants!$H67*(1-Constants!$H85))+(L14*Constants!$H49*Constants!$H101))</f>
        <v>6369339.8475260669</v>
      </c>
      <c r="M59" s="22">
        <f>((M14*Constants!$H49*Constants!$H67*(1-Constants!$H85))+(M14*Constants!$H49*Constants!$H101))</f>
        <v>6456553.7435983112</v>
      </c>
      <c r="N59" s="22">
        <f>((N14*Constants!$H49*Constants!$H67*(1-Constants!$H85))+(N14*Constants!$H49*Constants!$H101))</f>
        <v>6557394.8109318437</v>
      </c>
      <c r="O59" s="22">
        <f>((O14*Constants!$H49*Constants!$H67*(1-Constants!$H85))+(O14*Constants!$H49*Constants!$H101))</f>
        <v>6524689.5999047523</v>
      </c>
      <c r="P59" s="22">
        <f>((P14*Constants!$H49*Constants!$H67*(1-Constants!$H85))+(P14*Constants!$H49*Constants!$H101))</f>
        <v>6432024.8353279931</v>
      </c>
      <c r="Q59" s="22">
        <f>((Q14*Constants!$H49*Constants!$H67*(1-Constants!$H85))+(Q14*Constants!$H49*Constants!$H101))</f>
        <v>6336634.6364989765</v>
      </c>
      <c r="R59" s="22">
        <f>((R14*Constants!$H49*Constants!$H67*(1-Constants!$H85))+(R14*Constants!$H49*Constants!$H101))</f>
        <v>6418397.6640667049</v>
      </c>
      <c r="S59" s="22">
        <f>((S14*Constants!$H49*Constants!$H67*(1-Constants!$H85))+(S14*Constants!$H49*Constants!$H101))</f>
        <v>6614628.9302292531</v>
      </c>
      <c r="T59" s="22">
        <f>((T14*Constants!$H49*Constants!$H67*(1-Constants!$H85))+(T14*Constants!$H49*Constants!$H101))</f>
        <v>6039562.3030028949</v>
      </c>
      <c r="U59" s="22">
        <f>((U14*Constants!$H49*Constants!$H67*(1-Constants!$H85))+(U14*Constants!$H49*Constants!$H101))</f>
        <v>5886937.9848764678</v>
      </c>
      <c r="V59" s="22">
        <f>((V14*Constants!$H49*Constants!$H67*(1-Constants!$H85))+(V14*Constants!$H49*Constants!$H101))</f>
        <v>5897839.7218854986</v>
      </c>
      <c r="W59" s="22">
        <f>((W14*Constants!$H49*Constants!$H67*(1-Constants!$H85))+(W14*Constants!$H49*Constants!$H101))</f>
        <v>5821527.5628222851</v>
      </c>
      <c r="X59" s="22">
        <f>((X14*Constants!$H49*Constants!$H67*(1-Constants!$H85))+(X14*Constants!$H49*Constants!$H101))</f>
        <v>5944172.1041738791</v>
      </c>
      <c r="Y59" s="22">
        <f>((Y14*Constants!$H49*Constants!$H67*(1-Constants!$H85))+(Y14*Constants!$H49*Constants!$H101))</f>
        <v>5767018.8777771331</v>
      </c>
      <c r="Z59" s="22">
        <f>((Z14*Constants!$H49*Constants!$H67*(1-Constants!$H85))+(Z14*Constants!$H49*Constants!$H101))</f>
        <v>5761568.0092726164</v>
      </c>
      <c r="AA59" s="22">
        <f>((AA14*Constants!$H49*Constants!$H67*(1-Constants!$H85))+(AA14*Constants!$H49*Constants!$H101))</f>
        <v>5660726.9419390857</v>
      </c>
      <c r="AB59" s="22">
        <f>((AB14*Constants!$H49*Constants!$H67*(1-Constants!$H85))+(AB14*Constants!$H49*Constants!$H101))</f>
        <v>5592591.0856326455</v>
      </c>
      <c r="AC59" s="22">
        <f>((AC14*Constants!$H49*Constants!$H67*(1-Constants!$H85))+(AC14*Constants!$H49*Constants!$H101))</f>
        <v>5540807.8348397501</v>
      </c>
      <c r="AD59" s="22">
        <f>((AD14*Constants!$H49*Constants!$H67*(1-Constants!$H85))+(AD14*Constants!$H49*Constants!$H101))</f>
        <v>5601765.2235206859</v>
      </c>
      <c r="AE59" s="22">
        <f>((AE14*Constants!$H49*Constants!$H67*(1-Constants!$H85))+(AE14*Constants!$H49*Constants!$H101))</f>
        <v>5581569.2710506255</v>
      </c>
      <c r="AF59" s="22">
        <f>((AF14*Constants!$H49*Constants!$H67*(1-Constants!$H85))+(AF14*Constants!$H49*Constants!$H101))</f>
        <v>5561603.3940059058</v>
      </c>
      <c r="AG59" s="22">
        <f>((AG14*Constants!$H49*Constants!$H67*(1-Constants!$H85))+(AG14*Constants!$H49*Constants!$H101))</f>
        <v>5541896.436316682</v>
      </c>
      <c r="AH59" s="22">
        <f>((AH14*Constants!$H49*Constants!$H67*(1-Constants!$H85))+(AH14*Constants!$H49*Constants!$H101))</f>
        <v>5520851.9807580262</v>
      </c>
      <c r="AI59" s="22">
        <f>((AI14*Constants!$H49*Constants!$H67*(1-Constants!$H85))+(AI14*Constants!$H49*Constants!$H101))</f>
        <v>5499505.7802710785</v>
      </c>
      <c r="AJ59" s="22">
        <f>((AJ14*Constants!$H49*Constants!$H67*(1-Constants!$H85))+(AJ14*Constants!$H49*Constants!$H101))</f>
        <v>5478281.9843867328</v>
      </c>
      <c r="AK59" s="22">
        <f>((AK14*Constants!$H49*Constants!$H67*(1-Constants!$H85))+(AK14*Constants!$H49*Constants!$H101))</f>
        <v>5457173.1179010132</v>
      </c>
      <c r="AL59" s="22">
        <f>((AL14*Constants!$H49*Constants!$H67*(1-Constants!$H85))+(AL14*Constants!$H49*Constants!$H101))</f>
        <v>5442457.3165570367</v>
      </c>
      <c r="AM59" s="22">
        <f>((AM14*Constants!$H49*Constants!$H67*(1-Constants!$H85))+(AM14*Constants!$H49*Constants!$H101))</f>
        <v>5420117.2332195602</v>
      </c>
      <c r="AN59" s="22">
        <f>((AN14*Constants!$H49*Constants!$H67*(1-Constants!$H85))+(AN14*Constants!$H49*Constants!$H101))</f>
        <v>5397842.1373534137</v>
      </c>
      <c r="AO59" s="22">
        <f>((AO14*Constants!$H49*Constants!$H67*(1-Constants!$H85))+(AO14*Constants!$H49*Constants!$H101))</f>
        <v>5375552.453663948</v>
      </c>
      <c r="AP59" s="22">
        <f>((AP14*Constants!$H49*Constants!$H67*(1-Constants!$H85))+(AP14*Constants!$H49*Constants!$H101))</f>
        <v>5353318.7147984346</v>
      </c>
      <c r="AQ59" s="22">
        <f>((AQ14*Constants!$H49*Constants!$H67*(1-Constants!$H85))+(AQ14*Constants!$H49*Constants!$H101))</f>
        <v>5331020.0853163926</v>
      </c>
      <c r="AR59" s="22">
        <f>((AR14*Constants!$H49*Constants!$H67*(1-Constants!$H85))+(AR14*Constants!$H49*Constants!$H101))</f>
        <v>5306697.2515837299</v>
      </c>
      <c r="AS59" s="22">
        <f>((AS14*Constants!$H49*Constants!$H67*(1-Constants!$H85))+(AS14*Constants!$H49*Constants!$H101))</f>
        <v>5282391.6232375093</v>
      </c>
      <c r="AT59" s="22">
        <f>((AT14*Constants!$H49*Constants!$H67*(1-Constants!$H85))+(AT14*Constants!$H49*Constants!$H101))</f>
        <v>5257998.1600027774</v>
      </c>
      <c r="AU59" s="22">
        <f>((AU14*Constants!$H49*Constants!$H67*(1-Constants!$H85))+(AU14*Constants!$H49*Constants!$H101))</f>
        <v>5233539.4762341697</v>
      </c>
      <c r="AV59" s="22">
        <f>((AV14*Constants!$H49*Constants!$H67*(1-Constants!$H85))+(AV14*Constants!$H49*Constants!$H101))</f>
        <v>5233539.4762341697</v>
      </c>
      <c r="AW59" s="22">
        <f>((AW14*Constants!$H49*Constants!$H67*(1-Constants!$H85))+(AW14*Constants!$H49*Constants!$H101))</f>
        <v>5233539.4762341697</v>
      </c>
      <c r="AX59" s="22">
        <f>((AX14*Constants!$H49*Constants!$H67*(1-Constants!$H85))+(AX14*Constants!$H49*Constants!$H101))</f>
        <v>5233539.4762341697</v>
      </c>
      <c r="AY59" s="22">
        <f>((AY14*Constants!$H49*Constants!$H67*(1-Constants!$H85))+(AY14*Constants!$H49*Constants!$H101))</f>
        <v>5233539.4762341697</v>
      </c>
      <c r="AZ59" s="22">
        <f>((AZ14*Constants!$H49*Constants!$H67*(1-Constants!$H85))+(AZ14*Constants!$H49*Constants!$H101))</f>
        <v>5233539.4762341697</v>
      </c>
      <c r="BA59" s="22">
        <f>((BA14*Constants!$H49*Constants!$H67*(1-Constants!$H85))+(BA14*Constants!$H49*Constants!$H101))</f>
        <v>5233539.4762341697</v>
      </c>
      <c r="BB59" s="22">
        <f>((BB14*Constants!$H49*Constants!$H67*(1-Constants!$H85))+(BB14*Constants!$H49*Constants!$H101))</f>
        <v>5233539.4762341697</v>
      </c>
      <c r="BC59" s="22">
        <f>((BC14*Constants!$H49*Constants!$H67*(1-Constants!$H85))+(BC14*Constants!$H49*Constants!$H101))</f>
        <v>5233539.4762341697</v>
      </c>
      <c r="BD59" s="22">
        <f>((BD14*Constants!$H49*Constants!$H67*(1-Constants!$H85))+(BD14*Constants!$H49*Constants!$H101))</f>
        <v>5233539.4762341697</v>
      </c>
      <c r="BE59" s="22">
        <f>((BE14*Constants!$H49*Constants!$H67*(1-Constants!$H85))+(BE14*Constants!$H49*Constants!$H101))</f>
        <v>5233539.4762341697</v>
      </c>
      <c r="BF59" s="22">
        <f>((BF14*Constants!$H49*Constants!$H67*(1-Constants!$H85))+(BF14*Constants!$H49*Constants!$H101))</f>
        <v>5233539.4762341697</v>
      </c>
      <c r="BG59" s="22">
        <f>((BG14*Constants!$H49*Constants!$H67*(1-Constants!$H85))+(BG14*Constants!$H49*Constants!$H101))</f>
        <v>5233539.4762341697</v>
      </c>
      <c r="BH59" s="22">
        <f>((BH14*Constants!$H49*Constants!$H67*(1-Constants!$H85))+(BH14*Constants!$H49*Constants!$H101))</f>
        <v>5233539.4762341697</v>
      </c>
      <c r="BI59" s="22">
        <f>((BI14*Constants!$H49*Constants!$H67*(1-Constants!$H85))+(BI14*Constants!$H49*Constants!$H101))</f>
        <v>5233539.4762341697</v>
      </c>
      <c r="BJ59" s="22">
        <f>((BJ14*Constants!$H49*Constants!$H67*(1-Constants!$H85))+(BJ14*Constants!$H49*Constants!$H101))</f>
        <v>5233539.4762341697</v>
      </c>
      <c r="BK59" s="22">
        <f>((BK14*Constants!$H49*Constants!$H67*(1-Constants!$H85))+(BK14*Constants!$H49*Constants!$H101))</f>
        <v>5233539.4762341697</v>
      </c>
      <c r="BL59" s="22">
        <f>((BL14*Constants!$H49*Constants!$H67*(1-Constants!$H85))+(BL14*Constants!$H49*Constants!$H101))</f>
        <v>5233539.4762341697</v>
      </c>
      <c r="BM59" s="22">
        <f>((BM14*Constants!$H49*Constants!$H67*(1-Constants!$H85))+(BM14*Constants!$H49*Constants!$H101))</f>
        <v>5233539.4762341697</v>
      </c>
      <c r="BN59" s="22">
        <f>((BN14*Constants!$H49*Constants!$H67*(1-Constants!$H85))+(BN14*Constants!$H49*Constants!$H101))</f>
        <v>5233539.4762341697</v>
      </c>
      <c r="BO59" s="22">
        <f>((BO14*Constants!$H49*Constants!$H67*(1-Constants!$H85))+(BO14*Constants!$H49*Constants!$H101))</f>
        <v>5233539.4762341697</v>
      </c>
      <c r="BP59" s="22">
        <f>((BP14*Constants!$H49*Constants!$H67*(1-Constants!$H85))+(BP14*Constants!$H49*Constants!$H101))</f>
        <v>5233539.4762341697</v>
      </c>
    </row>
    <row r="60" spans="1:72" x14ac:dyDescent="0.25">
      <c r="A60" t="str">
        <f t="shared" si="23"/>
        <v>3C Aggregated and non-CO2 emissions on land</v>
      </c>
      <c r="B60" t="str">
        <f t="shared" si="24"/>
        <v>3C4 Direct N2O from managed soils (N2O)</v>
      </c>
      <c r="C60" t="s">
        <v>414</v>
      </c>
      <c r="D60" t="str">
        <f>Constants!D102</f>
        <v xml:space="preserve"> - Horses</v>
      </c>
      <c r="E60" t="str">
        <f t="shared" si="26"/>
        <v>MM N available - Horses</v>
      </c>
      <c r="F60" t="str">
        <f t="shared" si="27"/>
        <v>kg N</v>
      </c>
      <c r="H60" s="22">
        <f>((H15*Constants!$H50*Constants!$H68*(1-Constants!$H86))+(H15*Constants!$H50*Constants!$H102))</f>
        <v>0</v>
      </c>
      <c r="I60" s="22">
        <f>((I15*Constants!$H50*Constants!$H68*(1-Constants!$H86))+(I15*Constants!$H50*Constants!$H102))</f>
        <v>0</v>
      </c>
      <c r="J60" s="22">
        <f>((J15*Constants!$H50*Constants!$H68*(1-Constants!$H86))+(J15*Constants!$H50*Constants!$H102))</f>
        <v>0</v>
      </c>
      <c r="K60" s="22">
        <f>((K15*Constants!$H50*Constants!$H68*(1-Constants!$H86))+(K15*Constants!$H50*Constants!$H102))</f>
        <v>0</v>
      </c>
      <c r="L60" s="22">
        <f>((L15*Constants!$H50*Constants!$H68*(1-Constants!$H86))+(L15*Constants!$H50*Constants!$H102))</f>
        <v>0</v>
      </c>
      <c r="M60" s="22">
        <f>((M15*Constants!$H50*Constants!$H68*(1-Constants!$H86))+(M15*Constants!$H50*Constants!$H102))</f>
        <v>0</v>
      </c>
      <c r="N60" s="22">
        <f>((N15*Constants!$H50*Constants!$H68*(1-Constants!$H86))+(N15*Constants!$H50*Constants!$H102))</f>
        <v>0</v>
      </c>
      <c r="O60" s="22">
        <f>((O15*Constants!$H50*Constants!$H68*(1-Constants!$H86))+(O15*Constants!$H50*Constants!$H102))</f>
        <v>0</v>
      </c>
      <c r="P60" s="22">
        <f>((P15*Constants!$H50*Constants!$H68*(1-Constants!$H86))+(P15*Constants!$H50*Constants!$H102))</f>
        <v>0</v>
      </c>
      <c r="Q60" s="22">
        <f>((Q15*Constants!$H50*Constants!$H68*(1-Constants!$H86))+(Q15*Constants!$H50*Constants!$H102))</f>
        <v>0</v>
      </c>
      <c r="R60" s="22">
        <f>((R15*Constants!$H50*Constants!$H68*(1-Constants!$H86))+(R15*Constants!$H50*Constants!$H102))</f>
        <v>0</v>
      </c>
      <c r="S60" s="22">
        <f>((S15*Constants!$H50*Constants!$H68*(1-Constants!$H86))+(S15*Constants!$H50*Constants!$H102))</f>
        <v>0</v>
      </c>
      <c r="T60" s="22">
        <f>((T15*Constants!$H50*Constants!$H68*(1-Constants!$H86))+(T15*Constants!$H50*Constants!$H102))</f>
        <v>0</v>
      </c>
      <c r="U60" s="22">
        <f>((U15*Constants!$H50*Constants!$H68*(1-Constants!$H86))+(U15*Constants!$H50*Constants!$H102))</f>
        <v>0</v>
      </c>
      <c r="V60" s="22">
        <f>((V15*Constants!$H50*Constants!$H68*(1-Constants!$H86))+(V15*Constants!$H50*Constants!$H102))</f>
        <v>0</v>
      </c>
      <c r="W60" s="22">
        <f>((W15*Constants!$H50*Constants!$H68*(1-Constants!$H86))+(W15*Constants!$H50*Constants!$H102))</f>
        <v>0</v>
      </c>
      <c r="X60" s="22">
        <f>((X15*Constants!$H50*Constants!$H68*(1-Constants!$H86))+(X15*Constants!$H50*Constants!$H102))</f>
        <v>0</v>
      </c>
      <c r="Y60" s="22">
        <f>((Y15*Constants!$H50*Constants!$H68*(1-Constants!$H86))+(Y15*Constants!$H50*Constants!$H102))</f>
        <v>0</v>
      </c>
      <c r="Z60" s="22">
        <f>((Z15*Constants!$H50*Constants!$H68*(1-Constants!$H86))+(Z15*Constants!$H50*Constants!$H102))</f>
        <v>0</v>
      </c>
      <c r="AA60" s="22">
        <f>((AA15*Constants!$H50*Constants!$H68*(1-Constants!$H86))+(AA15*Constants!$H50*Constants!$H102))</f>
        <v>0</v>
      </c>
      <c r="AB60" s="22">
        <f>((AB15*Constants!$H50*Constants!$H68*(1-Constants!$H86))+(AB15*Constants!$H50*Constants!$H102))</f>
        <v>0</v>
      </c>
      <c r="AC60" s="22">
        <f>((AC15*Constants!$H50*Constants!$H68*(1-Constants!$H86))+(AC15*Constants!$H50*Constants!$H102))</f>
        <v>0</v>
      </c>
      <c r="AD60" s="22">
        <f>((AD15*Constants!$H50*Constants!$H68*(1-Constants!$H86))+(AD15*Constants!$H50*Constants!$H102))</f>
        <v>0</v>
      </c>
      <c r="AE60" s="22">
        <f>((AE15*Constants!$H50*Constants!$H68*(1-Constants!$H86))+(AE15*Constants!$H50*Constants!$H102))</f>
        <v>0</v>
      </c>
      <c r="AF60" s="22">
        <f>((AF15*Constants!$H50*Constants!$H68*(1-Constants!$H86))+(AF15*Constants!$H50*Constants!$H102))</f>
        <v>0</v>
      </c>
      <c r="AG60" s="22">
        <f>((AG15*Constants!$H50*Constants!$H68*(1-Constants!$H86))+(AG15*Constants!$H50*Constants!$H102))</f>
        <v>0</v>
      </c>
      <c r="AH60" s="22">
        <f>((AH15*Constants!$H50*Constants!$H68*(1-Constants!$H86))+(AH15*Constants!$H50*Constants!$H102))</f>
        <v>0</v>
      </c>
      <c r="AI60" s="22">
        <f>((AI15*Constants!$H50*Constants!$H68*(1-Constants!$H86))+(AI15*Constants!$H50*Constants!$H102))</f>
        <v>0</v>
      </c>
      <c r="AJ60" s="22">
        <f>((AJ15*Constants!$H50*Constants!$H68*(1-Constants!$H86))+(AJ15*Constants!$H50*Constants!$H102))</f>
        <v>0</v>
      </c>
      <c r="AK60" s="22">
        <f>((AK15*Constants!$H50*Constants!$H68*(1-Constants!$H86))+(AK15*Constants!$H50*Constants!$H102))</f>
        <v>0</v>
      </c>
      <c r="AL60" s="22">
        <f>((AL15*Constants!$H50*Constants!$H68*(1-Constants!$H86))+(AL15*Constants!$H50*Constants!$H102))</f>
        <v>0</v>
      </c>
      <c r="AM60" s="22">
        <f>((AM15*Constants!$H50*Constants!$H68*(1-Constants!$H86))+(AM15*Constants!$H50*Constants!$H102))</f>
        <v>0</v>
      </c>
      <c r="AN60" s="22">
        <f>((AN15*Constants!$H50*Constants!$H68*(1-Constants!$H86))+(AN15*Constants!$H50*Constants!$H102))</f>
        <v>0</v>
      </c>
      <c r="AO60" s="22">
        <f>((AO15*Constants!$H50*Constants!$H68*(1-Constants!$H86))+(AO15*Constants!$H50*Constants!$H102))</f>
        <v>0</v>
      </c>
      <c r="AP60" s="22">
        <f>((AP15*Constants!$H50*Constants!$H68*(1-Constants!$H86))+(AP15*Constants!$H50*Constants!$H102))</f>
        <v>0</v>
      </c>
      <c r="AQ60" s="22">
        <f>((AQ15*Constants!$H50*Constants!$H68*(1-Constants!$H86))+(AQ15*Constants!$H50*Constants!$H102))</f>
        <v>0</v>
      </c>
      <c r="AR60" s="22">
        <f>((AR15*Constants!$H50*Constants!$H68*(1-Constants!$H86))+(AR15*Constants!$H50*Constants!$H102))</f>
        <v>0</v>
      </c>
      <c r="AS60" s="22">
        <f>((AS15*Constants!$H50*Constants!$H68*(1-Constants!$H86))+(AS15*Constants!$H50*Constants!$H102))</f>
        <v>0</v>
      </c>
      <c r="AT60" s="22">
        <f>((AT15*Constants!$H50*Constants!$H68*(1-Constants!$H86))+(AT15*Constants!$H50*Constants!$H102))</f>
        <v>0</v>
      </c>
      <c r="AU60" s="22">
        <f>((AU15*Constants!$H50*Constants!$H68*(1-Constants!$H86))+(AU15*Constants!$H50*Constants!$H102))</f>
        <v>0</v>
      </c>
      <c r="AV60" s="22">
        <f>((AV15*Constants!$H50*Constants!$H68*(1-Constants!$H86))+(AV15*Constants!$H50*Constants!$H102))</f>
        <v>0</v>
      </c>
      <c r="AW60" s="22">
        <f>((AW15*Constants!$H50*Constants!$H68*(1-Constants!$H86))+(AW15*Constants!$H50*Constants!$H102))</f>
        <v>0</v>
      </c>
      <c r="AX60" s="22">
        <f>((AX15*Constants!$H50*Constants!$H68*(1-Constants!$H86))+(AX15*Constants!$H50*Constants!$H102))</f>
        <v>0</v>
      </c>
      <c r="AY60" s="22">
        <f>((AY15*Constants!$H50*Constants!$H68*(1-Constants!$H86))+(AY15*Constants!$H50*Constants!$H102))</f>
        <v>0</v>
      </c>
      <c r="AZ60" s="22">
        <f>((AZ15*Constants!$H50*Constants!$H68*(1-Constants!$H86))+(AZ15*Constants!$H50*Constants!$H102))</f>
        <v>0</v>
      </c>
      <c r="BA60" s="22">
        <f>((BA15*Constants!$H50*Constants!$H68*(1-Constants!$H86))+(BA15*Constants!$H50*Constants!$H102))</f>
        <v>0</v>
      </c>
      <c r="BB60" s="22">
        <f>((BB15*Constants!$H50*Constants!$H68*(1-Constants!$H86))+(BB15*Constants!$H50*Constants!$H102))</f>
        <v>0</v>
      </c>
      <c r="BC60" s="22">
        <f>((BC15*Constants!$H50*Constants!$H68*(1-Constants!$H86))+(BC15*Constants!$H50*Constants!$H102))</f>
        <v>0</v>
      </c>
      <c r="BD60" s="22">
        <f>((BD15*Constants!$H50*Constants!$H68*(1-Constants!$H86))+(BD15*Constants!$H50*Constants!$H102))</f>
        <v>0</v>
      </c>
      <c r="BE60" s="22">
        <f>((BE15*Constants!$H50*Constants!$H68*(1-Constants!$H86))+(BE15*Constants!$H50*Constants!$H102))</f>
        <v>0</v>
      </c>
      <c r="BF60" s="22">
        <f>((BF15*Constants!$H50*Constants!$H68*(1-Constants!$H86))+(BF15*Constants!$H50*Constants!$H102))</f>
        <v>0</v>
      </c>
      <c r="BG60" s="22">
        <f>((BG15*Constants!$H50*Constants!$H68*(1-Constants!$H86))+(BG15*Constants!$H50*Constants!$H102))</f>
        <v>0</v>
      </c>
      <c r="BH60" s="22">
        <f>((BH15*Constants!$H50*Constants!$H68*(1-Constants!$H86))+(BH15*Constants!$H50*Constants!$H102))</f>
        <v>0</v>
      </c>
      <c r="BI60" s="22">
        <f>((BI15*Constants!$H50*Constants!$H68*(1-Constants!$H86))+(BI15*Constants!$H50*Constants!$H102))</f>
        <v>0</v>
      </c>
      <c r="BJ60" s="22">
        <f>((BJ15*Constants!$H50*Constants!$H68*(1-Constants!$H86))+(BJ15*Constants!$H50*Constants!$H102))</f>
        <v>0</v>
      </c>
      <c r="BK60" s="22">
        <f>((BK15*Constants!$H50*Constants!$H68*(1-Constants!$H86))+(BK15*Constants!$H50*Constants!$H102))</f>
        <v>0</v>
      </c>
      <c r="BL60" s="22">
        <f>((BL15*Constants!$H50*Constants!$H68*(1-Constants!$H86))+(BL15*Constants!$H50*Constants!$H102))</f>
        <v>0</v>
      </c>
      <c r="BM60" s="22">
        <f>((BM15*Constants!$H50*Constants!$H68*(1-Constants!$H86))+(BM15*Constants!$H50*Constants!$H102))</f>
        <v>0</v>
      </c>
      <c r="BN60" s="22">
        <f>((BN15*Constants!$H50*Constants!$H68*(1-Constants!$H86))+(BN15*Constants!$H50*Constants!$H102))</f>
        <v>0</v>
      </c>
      <c r="BO60" s="22">
        <f>((BO15*Constants!$H50*Constants!$H68*(1-Constants!$H86))+(BO15*Constants!$H50*Constants!$H102))</f>
        <v>0</v>
      </c>
      <c r="BP60" s="22">
        <f>((BP15*Constants!$H50*Constants!$H68*(1-Constants!$H86))+(BP15*Constants!$H50*Constants!$H102))</f>
        <v>0</v>
      </c>
    </row>
    <row r="61" spans="1:72" x14ac:dyDescent="0.25">
      <c r="A61" t="str">
        <f t="shared" si="23"/>
        <v>3C Aggregated and non-CO2 emissions on land</v>
      </c>
      <c r="B61" t="str">
        <f t="shared" si="24"/>
        <v>3C4 Direct N2O from managed soils (N2O)</v>
      </c>
      <c r="C61" t="s">
        <v>414</v>
      </c>
      <c r="D61" t="str">
        <f>Constants!D103</f>
        <v xml:space="preserve"> - Mules &amp; Asses</v>
      </c>
      <c r="E61" t="str">
        <f t="shared" si="26"/>
        <v>MM N available - Mules &amp; Asses</v>
      </c>
      <c r="F61" t="str">
        <f t="shared" si="27"/>
        <v>kg N</v>
      </c>
      <c r="H61" s="22">
        <f>((H16*Constants!$H51*Constants!$H69*(1-Constants!$H87))+(H16*Constants!$H51*Constants!$H103))</f>
        <v>0</v>
      </c>
      <c r="I61" s="22">
        <f>((I16*Constants!$H51*Constants!$H69*(1-Constants!$H87))+(I16*Constants!$H51*Constants!$H103))</f>
        <v>0</v>
      </c>
      <c r="J61" s="22">
        <f>((J16*Constants!$H51*Constants!$H69*(1-Constants!$H87))+(J16*Constants!$H51*Constants!$H103))</f>
        <v>0</v>
      </c>
      <c r="K61" s="22">
        <f>((K16*Constants!$H51*Constants!$H69*(1-Constants!$H87))+(K16*Constants!$H51*Constants!$H103))</f>
        <v>0</v>
      </c>
      <c r="L61" s="22">
        <f>((L16*Constants!$H51*Constants!$H69*(1-Constants!$H87))+(L16*Constants!$H51*Constants!$H103))</f>
        <v>0</v>
      </c>
      <c r="M61" s="22">
        <f>((M16*Constants!$H51*Constants!$H69*(1-Constants!$H87))+(M16*Constants!$H51*Constants!$H103))</f>
        <v>0</v>
      </c>
      <c r="N61" s="22">
        <f>((N16*Constants!$H51*Constants!$H69*(1-Constants!$H87))+(N16*Constants!$H51*Constants!$H103))</f>
        <v>0</v>
      </c>
      <c r="O61" s="22">
        <f>((O16*Constants!$H51*Constants!$H69*(1-Constants!$H87))+(O16*Constants!$H51*Constants!$H103))</f>
        <v>0</v>
      </c>
      <c r="P61" s="22">
        <f>((P16*Constants!$H51*Constants!$H69*(1-Constants!$H87))+(P16*Constants!$H51*Constants!$H103))</f>
        <v>0</v>
      </c>
      <c r="Q61" s="22">
        <f>((Q16*Constants!$H51*Constants!$H69*(1-Constants!$H87))+(Q16*Constants!$H51*Constants!$H103))</f>
        <v>0</v>
      </c>
      <c r="R61" s="22">
        <f>((R16*Constants!$H51*Constants!$H69*(1-Constants!$H87))+(R16*Constants!$H51*Constants!$H103))</f>
        <v>0</v>
      </c>
      <c r="S61" s="22">
        <f>((S16*Constants!$H51*Constants!$H69*(1-Constants!$H87))+(S16*Constants!$H51*Constants!$H103))</f>
        <v>0</v>
      </c>
      <c r="T61" s="22">
        <f>((T16*Constants!$H51*Constants!$H69*(1-Constants!$H87))+(T16*Constants!$H51*Constants!$H103))</f>
        <v>0</v>
      </c>
      <c r="U61" s="22">
        <f>((U16*Constants!$H51*Constants!$H69*(1-Constants!$H87))+(U16*Constants!$H51*Constants!$H103))</f>
        <v>0</v>
      </c>
      <c r="V61" s="22">
        <f>((V16*Constants!$H51*Constants!$H69*(1-Constants!$H87))+(V16*Constants!$H51*Constants!$H103))</f>
        <v>0</v>
      </c>
      <c r="W61" s="22">
        <f>((W16*Constants!$H51*Constants!$H69*(1-Constants!$H87))+(W16*Constants!$H51*Constants!$H103))</f>
        <v>0</v>
      </c>
      <c r="X61" s="22">
        <f>((X16*Constants!$H51*Constants!$H69*(1-Constants!$H87))+(X16*Constants!$H51*Constants!$H103))</f>
        <v>0</v>
      </c>
      <c r="Y61" s="22">
        <f>((Y16*Constants!$H51*Constants!$H69*(1-Constants!$H87))+(Y16*Constants!$H51*Constants!$H103))</f>
        <v>0</v>
      </c>
      <c r="Z61" s="22">
        <f>((Z16*Constants!$H51*Constants!$H69*(1-Constants!$H87))+(Z16*Constants!$H51*Constants!$H103))</f>
        <v>0</v>
      </c>
      <c r="AA61" s="22">
        <f>((AA16*Constants!$H51*Constants!$H69*(1-Constants!$H87))+(AA16*Constants!$H51*Constants!$H103))</f>
        <v>0</v>
      </c>
      <c r="AB61" s="22">
        <f>((AB16*Constants!$H51*Constants!$H69*(1-Constants!$H87))+(AB16*Constants!$H51*Constants!$H103))</f>
        <v>0</v>
      </c>
      <c r="AC61" s="22">
        <f>((AC16*Constants!$H51*Constants!$H69*(1-Constants!$H87))+(AC16*Constants!$H51*Constants!$H103))</f>
        <v>0</v>
      </c>
      <c r="AD61" s="22">
        <f>((AD16*Constants!$H51*Constants!$H69*(1-Constants!$H87))+(AD16*Constants!$H51*Constants!$H103))</f>
        <v>0</v>
      </c>
      <c r="AE61" s="22">
        <f>((AE16*Constants!$H51*Constants!$H69*(1-Constants!$H87))+(AE16*Constants!$H51*Constants!$H103))</f>
        <v>0</v>
      </c>
      <c r="AF61" s="22">
        <f>((AF16*Constants!$H51*Constants!$H69*(1-Constants!$H87))+(AF16*Constants!$H51*Constants!$H103))</f>
        <v>0</v>
      </c>
      <c r="AG61" s="22">
        <f>((AG16*Constants!$H51*Constants!$H69*(1-Constants!$H87))+(AG16*Constants!$H51*Constants!$H103))</f>
        <v>0</v>
      </c>
      <c r="AH61" s="22">
        <f>((AH16*Constants!$H51*Constants!$H69*(1-Constants!$H87))+(AH16*Constants!$H51*Constants!$H103))</f>
        <v>0</v>
      </c>
      <c r="AI61" s="22">
        <f>((AI16*Constants!$H51*Constants!$H69*(1-Constants!$H87))+(AI16*Constants!$H51*Constants!$H103))</f>
        <v>0</v>
      </c>
      <c r="AJ61" s="22">
        <f>((AJ16*Constants!$H51*Constants!$H69*(1-Constants!$H87))+(AJ16*Constants!$H51*Constants!$H103))</f>
        <v>0</v>
      </c>
      <c r="AK61" s="22">
        <f>((AK16*Constants!$H51*Constants!$H69*(1-Constants!$H87))+(AK16*Constants!$H51*Constants!$H103))</f>
        <v>0</v>
      </c>
      <c r="AL61" s="22">
        <f>((AL16*Constants!$H51*Constants!$H69*(1-Constants!$H87))+(AL16*Constants!$H51*Constants!$H103))</f>
        <v>0</v>
      </c>
      <c r="AM61" s="22">
        <f>((AM16*Constants!$H51*Constants!$H69*(1-Constants!$H87))+(AM16*Constants!$H51*Constants!$H103))</f>
        <v>0</v>
      </c>
      <c r="AN61" s="22">
        <f>((AN16*Constants!$H51*Constants!$H69*(1-Constants!$H87))+(AN16*Constants!$H51*Constants!$H103))</f>
        <v>0</v>
      </c>
      <c r="AO61" s="22">
        <f>((AO16*Constants!$H51*Constants!$H69*(1-Constants!$H87))+(AO16*Constants!$H51*Constants!$H103))</f>
        <v>0</v>
      </c>
      <c r="AP61" s="22">
        <f>((AP16*Constants!$H51*Constants!$H69*(1-Constants!$H87))+(AP16*Constants!$H51*Constants!$H103))</f>
        <v>0</v>
      </c>
      <c r="AQ61" s="22">
        <f>((AQ16*Constants!$H51*Constants!$H69*(1-Constants!$H87))+(AQ16*Constants!$H51*Constants!$H103))</f>
        <v>0</v>
      </c>
      <c r="AR61" s="22">
        <f>((AR16*Constants!$H51*Constants!$H69*(1-Constants!$H87))+(AR16*Constants!$H51*Constants!$H103))</f>
        <v>0</v>
      </c>
      <c r="AS61" s="22">
        <f>((AS16*Constants!$H51*Constants!$H69*(1-Constants!$H87))+(AS16*Constants!$H51*Constants!$H103))</f>
        <v>0</v>
      </c>
      <c r="AT61" s="22">
        <f>((AT16*Constants!$H51*Constants!$H69*(1-Constants!$H87))+(AT16*Constants!$H51*Constants!$H103))</f>
        <v>0</v>
      </c>
      <c r="AU61" s="22">
        <f>((AU16*Constants!$H51*Constants!$H69*(1-Constants!$H87))+(AU16*Constants!$H51*Constants!$H103))</f>
        <v>0</v>
      </c>
      <c r="AV61" s="22">
        <f>((AV16*Constants!$H51*Constants!$H69*(1-Constants!$H87))+(AV16*Constants!$H51*Constants!$H103))</f>
        <v>0</v>
      </c>
      <c r="AW61" s="22">
        <f>((AW16*Constants!$H51*Constants!$H69*(1-Constants!$H87))+(AW16*Constants!$H51*Constants!$H103))</f>
        <v>0</v>
      </c>
      <c r="AX61" s="22">
        <f>((AX16*Constants!$H51*Constants!$H69*(1-Constants!$H87))+(AX16*Constants!$H51*Constants!$H103))</f>
        <v>0</v>
      </c>
      <c r="AY61" s="22">
        <f>((AY16*Constants!$H51*Constants!$H69*(1-Constants!$H87))+(AY16*Constants!$H51*Constants!$H103))</f>
        <v>0</v>
      </c>
      <c r="AZ61" s="22">
        <f>((AZ16*Constants!$H51*Constants!$H69*(1-Constants!$H87))+(AZ16*Constants!$H51*Constants!$H103))</f>
        <v>0</v>
      </c>
      <c r="BA61" s="22">
        <f>((BA16*Constants!$H51*Constants!$H69*(1-Constants!$H87))+(BA16*Constants!$H51*Constants!$H103))</f>
        <v>0</v>
      </c>
      <c r="BB61" s="22">
        <f>((BB16*Constants!$H51*Constants!$H69*(1-Constants!$H87))+(BB16*Constants!$H51*Constants!$H103))</f>
        <v>0</v>
      </c>
      <c r="BC61" s="22">
        <f>((BC16*Constants!$H51*Constants!$H69*(1-Constants!$H87))+(BC16*Constants!$H51*Constants!$H103))</f>
        <v>0</v>
      </c>
      <c r="BD61" s="22">
        <f>((BD16*Constants!$H51*Constants!$H69*(1-Constants!$H87))+(BD16*Constants!$H51*Constants!$H103))</f>
        <v>0</v>
      </c>
      <c r="BE61" s="22">
        <f>((BE16*Constants!$H51*Constants!$H69*(1-Constants!$H87))+(BE16*Constants!$H51*Constants!$H103))</f>
        <v>0</v>
      </c>
      <c r="BF61" s="22">
        <f>((BF16*Constants!$H51*Constants!$H69*(1-Constants!$H87))+(BF16*Constants!$H51*Constants!$H103))</f>
        <v>0</v>
      </c>
      <c r="BG61" s="22">
        <f>((BG16*Constants!$H51*Constants!$H69*(1-Constants!$H87))+(BG16*Constants!$H51*Constants!$H103))</f>
        <v>0</v>
      </c>
      <c r="BH61" s="22">
        <f>((BH16*Constants!$H51*Constants!$H69*(1-Constants!$H87))+(BH16*Constants!$H51*Constants!$H103))</f>
        <v>0</v>
      </c>
      <c r="BI61" s="22">
        <f>((BI16*Constants!$H51*Constants!$H69*(1-Constants!$H87))+(BI16*Constants!$H51*Constants!$H103))</f>
        <v>0</v>
      </c>
      <c r="BJ61" s="22">
        <f>((BJ16*Constants!$H51*Constants!$H69*(1-Constants!$H87))+(BJ16*Constants!$H51*Constants!$H103))</f>
        <v>0</v>
      </c>
      <c r="BK61" s="22">
        <f>((BK16*Constants!$H51*Constants!$H69*(1-Constants!$H87))+(BK16*Constants!$H51*Constants!$H103))</f>
        <v>0</v>
      </c>
      <c r="BL61" s="22">
        <f>((BL16*Constants!$H51*Constants!$H69*(1-Constants!$H87))+(BL16*Constants!$H51*Constants!$H103))</f>
        <v>0</v>
      </c>
      <c r="BM61" s="22">
        <f>((BM16*Constants!$H51*Constants!$H69*(1-Constants!$H87))+(BM16*Constants!$H51*Constants!$H103))</f>
        <v>0</v>
      </c>
      <c r="BN61" s="22">
        <f>((BN16*Constants!$H51*Constants!$H69*(1-Constants!$H87))+(BN16*Constants!$H51*Constants!$H103))</f>
        <v>0</v>
      </c>
      <c r="BO61" s="22">
        <f>((BO16*Constants!$H51*Constants!$H69*(1-Constants!$H87))+(BO16*Constants!$H51*Constants!$H103))</f>
        <v>0</v>
      </c>
      <c r="BP61" s="22">
        <f>((BP16*Constants!$H51*Constants!$H69*(1-Constants!$H87))+(BP16*Constants!$H51*Constants!$H103))</f>
        <v>0</v>
      </c>
    </row>
    <row r="62" spans="1:72" x14ac:dyDescent="0.25">
      <c r="A62" t="str">
        <f t="shared" si="23"/>
        <v>3C Aggregated and non-CO2 emissions on land</v>
      </c>
      <c r="B62" t="str">
        <f t="shared" si="24"/>
        <v>3C4 Direct N2O from managed soils (N2O)</v>
      </c>
      <c r="C62" t="s">
        <v>414</v>
      </c>
      <c r="D62" t="str">
        <f>Constants!D104</f>
        <v xml:space="preserve"> - Commercial swine</v>
      </c>
      <c r="E62" t="str">
        <f t="shared" si="26"/>
        <v>MM N available - Commercial swine</v>
      </c>
      <c r="F62" t="str">
        <f t="shared" si="27"/>
        <v>kg N</v>
      </c>
      <c r="H62" s="22">
        <f>((H17*Constants!$H52*Constants!$H70*(1-Constants!$H88))+(H17*Constants!$H52*Constants!$H104))</f>
        <v>7298537.9251200007</v>
      </c>
      <c r="I62" s="22">
        <f>((I17*Constants!$H52*Constants!$H70*(1-Constants!$H88))+(I17*Constants!$H52*Constants!$H104))</f>
        <v>7973796.3552000001</v>
      </c>
      <c r="J62" s="22">
        <f>((J17*Constants!$H52*Constants!$H70*(1-Constants!$H88))+(J17*Constants!$H52*Constants!$H104))</f>
        <v>7921116.6195200011</v>
      </c>
      <c r="K62" s="22">
        <f>((K17*Constants!$H52*Constants!$H70*(1-Constants!$H88))+(K17*Constants!$H52*Constants!$H104))</f>
        <v>7916327.5526400004</v>
      </c>
      <c r="L62" s="22">
        <f>((L17*Constants!$H52*Constants!$H70*(1-Constants!$H88))+(L17*Constants!$H52*Constants!$H104))</f>
        <v>7518835.0016000001</v>
      </c>
      <c r="M62" s="22">
        <f>((M17*Constants!$H52*Constants!$H70*(1-Constants!$H88))+(M17*Constants!$H52*Constants!$H104))</f>
        <v>7590671.0048000002</v>
      </c>
      <c r="N62" s="22">
        <f>((N17*Constants!$H52*Constants!$H70*(1-Constants!$H88))+(N17*Constants!$H52*Constants!$H104))</f>
        <v>8174937.1641600002</v>
      </c>
      <c r="O62" s="22">
        <f>((O17*Constants!$H52*Constants!$H70*(1-Constants!$H88))+(O17*Constants!$H52*Constants!$H104))</f>
        <v>8136624.6291200006</v>
      </c>
      <c r="P62" s="22">
        <f>((P17*Constants!$H52*Constants!$H70*(1-Constants!$H88))+(P17*Constants!$H52*Constants!$H104))</f>
        <v>8313820.1036800006</v>
      </c>
      <c r="Q62" s="22">
        <f>((Q17*Constants!$H52*Constants!$H70*(1-Constants!$H88))+(Q17*Constants!$H52*Constants!$H104))</f>
        <v>8524539.0463999994</v>
      </c>
      <c r="R62" s="22">
        <f>((R17*Constants!$H52*Constants!$H70*(1-Constants!$H88))+(R17*Constants!$H52*Constants!$H104))</f>
        <v>7887593.1513599996</v>
      </c>
      <c r="S62" s="22">
        <f>((S17*Constants!$H52*Constants!$H70*(1-Constants!$H88))+(S17*Constants!$H52*Constants!$H104))</f>
        <v>8036054.2246400006</v>
      </c>
      <c r="T62" s="22">
        <f>((T17*Constants!$H52*Constants!$H70*(1-Constants!$H88))+(T17*Constants!$H52*Constants!$H104))</f>
        <v>8189304.3647999996</v>
      </c>
      <c r="U62" s="22">
        <f>((U17*Constants!$H52*Constants!$H70*(1-Constants!$H88))+(U17*Constants!$H52*Constants!$H104))</f>
        <v>7964218.2214400005</v>
      </c>
      <c r="V62" s="22">
        <f>((V17*Constants!$H52*Constants!$H70*(1-Constants!$H88))+(V17*Constants!$H52*Constants!$H104))</f>
        <v>7964218.2214400005</v>
      </c>
      <c r="W62" s="22">
        <f>((W17*Constants!$H52*Constants!$H70*(1-Constants!$H88))+(W17*Constants!$H52*Constants!$H104))</f>
        <v>7906749.4188800007</v>
      </c>
      <c r="X62" s="22">
        <f>((X17*Constants!$H52*Constants!$H70*(1-Constants!$H88))+(X17*Constants!$H52*Constants!$H104))</f>
        <v>7767866.4793599993</v>
      </c>
      <c r="Y62" s="22">
        <f>((Y17*Constants!$H52*Constants!$H70*(1-Constants!$H88))+(Y17*Constants!$H52*Constants!$H104))</f>
        <v>7906749.4188800007</v>
      </c>
      <c r="Z62" s="22">
        <f>((Z17*Constants!$H52*Constants!$H70*(1-Constants!$H88))+(Z17*Constants!$H52*Constants!$H104))</f>
        <v>7734343.0111999996</v>
      </c>
      <c r="AA62" s="22">
        <f>((AA17*Constants!$H52*Constants!$H70*(1-Constants!$H88))+(AA17*Constants!$H52*Constants!$H104))</f>
        <v>7724764.87744</v>
      </c>
      <c r="AB62" s="22">
        <f>((AB17*Constants!$H52*Constants!$H70*(1-Constants!$H88))+(AB17*Constants!$H52*Constants!$H104))</f>
        <v>7633772.6067200005</v>
      </c>
      <c r="AC62" s="22">
        <f>((AC17*Constants!$H52*Constants!$H70*(1-Constants!$H88))+(AC17*Constants!$H52*Constants!$H104))</f>
        <v>7585881.9379200004</v>
      </c>
      <c r="AD62" s="22">
        <f>((AD17*Constants!$H52*Constants!$H70*(1-Constants!$H88))+(AD17*Constants!$H52*Constants!$H104))</f>
        <v>7506985.4649344897</v>
      </c>
      <c r="AE62" s="22">
        <f>((AE17*Constants!$H52*Constants!$H70*(1-Constants!$H88))+(AE17*Constants!$H52*Constants!$H104))</f>
        <v>7476540.6612602444</v>
      </c>
      <c r="AF62" s="22">
        <f>((AF17*Constants!$H52*Constants!$H70*(1-Constants!$H88))+(AF17*Constants!$H52*Constants!$H104))</f>
        <v>7454709.0075121187</v>
      </c>
      <c r="AG62" s="22">
        <f>((AG17*Constants!$H52*Constants!$H70*(1-Constants!$H88))+(AG17*Constants!$H52*Constants!$H104))</f>
        <v>7441278.4987958651</v>
      </c>
      <c r="AH62" s="22">
        <f>((AH17*Constants!$H52*Constants!$H70*(1-Constants!$H88))+(AH17*Constants!$H52*Constants!$H104))</f>
        <v>7434708.524156942</v>
      </c>
      <c r="AI62" s="22">
        <f>((AI17*Constants!$H52*Constants!$H70*(1-Constants!$H88))+(AI17*Constants!$H52*Constants!$H104))</f>
        <v>7422746.987458176</v>
      </c>
      <c r="AJ62" s="22">
        <f>((AJ17*Constants!$H52*Constants!$H70*(1-Constants!$H88))+(AJ17*Constants!$H52*Constants!$H104))</f>
        <v>7413104.7525033373</v>
      </c>
      <c r="AK62" s="22">
        <f>((AK17*Constants!$H52*Constants!$H70*(1-Constants!$H88))+(AK17*Constants!$H52*Constants!$H104))</f>
        <v>7405580.1185329081</v>
      </c>
      <c r="AL62" s="22">
        <f>((AL17*Constants!$H52*Constants!$H70*(1-Constants!$H88))+(AL17*Constants!$H52*Constants!$H104))</f>
        <v>7522412.3796040732</v>
      </c>
      <c r="AM62" s="22">
        <f>((AM17*Constants!$H52*Constants!$H70*(1-Constants!$H88))+(AM17*Constants!$H52*Constants!$H104))</f>
        <v>7494065.6627878323</v>
      </c>
      <c r="AN62" s="22">
        <f>((AN17*Constants!$H52*Constants!$H70*(1-Constants!$H88))+(AN17*Constants!$H52*Constants!$H104))</f>
        <v>7468038.3687718958</v>
      </c>
      <c r="AO62" s="22">
        <f>((AO17*Constants!$H52*Constants!$H70*(1-Constants!$H88))+(AO17*Constants!$H52*Constants!$H104))</f>
        <v>7442584.5970598906</v>
      </c>
      <c r="AP62" s="22">
        <f>((AP17*Constants!$H52*Constants!$H70*(1-Constants!$H88))+(AP17*Constants!$H52*Constants!$H104))</f>
        <v>7418988.6818248918</v>
      </c>
      <c r="AQ62" s="22">
        <f>((AQ17*Constants!$H52*Constants!$H70*(1-Constants!$H88))+(AQ17*Constants!$H52*Constants!$H104))</f>
        <v>7394922.2173625734</v>
      </c>
      <c r="AR62" s="22">
        <f>((AR17*Constants!$H52*Constants!$H70*(1-Constants!$H88))+(AR17*Constants!$H52*Constants!$H104))</f>
        <v>7366828.3653946007</v>
      </c>
      <c r="AS62" s="22">
        <f>((AS17*Constants!$H52*Constants!$H70*(1-Constants!$H88))+(AS17*Constants!$H52*Constants!$H104))</f>
        <v>7340032.3596101422</v>
      </c>
      <c r="AT62" s="22">
        <f>((AT17*Constants!$H52*Constants!$H70*(1-Constants!$H88))+(AT17*Constants!$H52*Constants!$H104))</f>
        <v>7312757.5262790052</v>
      </c>
      <c r="AU62" s="22">
        <f>((AU17*Constants!$H52*Constants!$H70*(1-Constants!$H88))+(AU17*Constants!$H52*Constants!$H104))</f>
        <v>7285448.1146313455</v>
      </c>
      <c r="AV62" s="22">
        <f>((AV17*Constants!$H52*Constants!$H70*(1-Constants!$H88))+(AV17*Constants!$H52*Constants!$H104))</f>
        <v>7258066.1512094662</v>
      </c>
      <c r="AW62" s="22">
        <f>((AW17*Constants!$H52*Constants!$H70*(1-Constants!$H88))+(AW17*Constants!$H52*Constants!$H104))</f>
        <v>7313236.1486883992</v>
      </c>
      <c r="AX62" s="22">
        <f>((AX17*Constants!$H52*Constants!$H70*(1-Constants!$H88))+(AX17*Constants!$H52*Constants!$H104))</f>
        <v>7341706.8074030448</v>
      </c>
      <c r="AY62" s="22">
        <f>((AY17*Constants!$H52*Constants!$H70*(1-Constants!$H88))+(AY17*Constants!$H52*Constants!$H104))</f>
        <v>7381448.8114746204</v>
      </c>
      <c r="AZ62" s="22">
        <f>((AZ17*Constants!$H52*Constants!$H70*(1-Constants!$H88))+(AZ17*Constants!$H52*Constants!$H104))</f>
        <v>7422301.164714694</v>
      </c>
      <c r="BA62" s="22">
        <f>((BA17*Constants!$H52*Constants!$H70*(1-Constants!$H88))+(BA17*Constants!$H52*Constants!$H104))</f>
        <v>7463243.6966264155</v>
      </c>
      <c r="BB62" s="22">
        <f>((BB17*Constants!$H52*Constants!$H70*(1-Constants!$H88))+(BB17*Constants!$H52*Constants!$H104))</f>
        <v>7493231.8968808223</v>
      </c>
      <c r="BC62" s="22">
        <f>((BC17*Constants!$H52*Constants!$H70*(1-Constants!$H88))+(BC17*Constants!$H52*Constants!$H104))</f>
        <v>7515879.1074684756</v>
      </c>
      <c r="BD62" s="22">
        <f>((BD17*Constants!$H52*Constants!$H70*(1-Constants!$H88))+(BD17*Constants!$H52*Constants!$H104))</f>
        <v>7523955.9027009942</v>
      </c>
      <c r="BE62" s="22">
        <f>((BE17*Constants!$H52*Constants!$H70*(1-Constants!$H88))+(BE17*Constants!$H52*Constants!$H104))</f>
        <v>7523443.0597103639</v>
      </c>
      <c r="BF62" s="22">
        <f>((BF17*Constants!$H52*Constants!$H70*(1-Constants!$H88))+(BF17*Constants!$H52*Constants!$H104))</f>
        <v>7518418.2720949603</v>
      </c>
      <c r="BG62" s="22">
        <f>((BG17*Constants!$H52*Constants!$H70*(1-Constants!$H88))+(BG17*Constants!$H52*Constants!$H104))</f>
        <v>7559262.0922091883</v>
      </c>
      <c r="BH62" s="22">
        <f>((BH17*Constants!$H52*Constants!$H70*(1-Constants!$H88))+(BH17*Constants!$H52*Constants!$H104))</f>
        <v>7593920.1816575537</v>
      </c>
      <c r="BI62" s="22">
        <f>((BI17*Constants!$H52*Constants!$H70*(1-Constants!$H88))+(BI17*Constants!$H52*Constants!$H104))</f>
        <v>7620966.1107587526</v>
      </c>
      <c r="BJ62" s="22">
        <f>((BJ17*Constants!$H52*Constants!$H70*(1-Constants!$H88))+(BJ17*Constants!$H52*Constants!$H104))</f>
        <v>7640876.8750497811</v>
      </c>
      <c r="BK62" s="22">
        <f>((BK17*Constants!$H52*Constants!$H70*(1-Constants!$H88))+(BK17*Constants!$H52*Constants!$H104))</f>
        <v>7657415.6856813254</v>
      </c>
      <c r="BL62" s="22">
        <f>((BL17*Constants!$H52*Constants!$H70*(1-Constants!$H88))+(BL17*Constants!$H52*Constants!$H104))</f>
        <v>7666942.7264475841</v>
      </c>
      <c r="BM62" s="22">
        <f>((BM17*Constants!$H52*Constants!$H70*(1-Constants!$H88))+(BM17*Constants!$H52*Constants!$H104))</f>
        <v>7668463.2467285497</v>
      </c>
      <c r="BN62" s="22">
        <f>((BN17*Constants!$H52*Constants!$H70*(1-Constants!$H88))+(BN17*Constants!$H52*Constants!$H104))</f>
        <v>7653386.9709484596</v>
      </c>
      <c r="BO62" s="22">
        <f>((BO17*Constants!$H52*Constants!$H70*(1-Constants!$H88))+(BO17*Constants!$H52*Constants!$H104))</f>
        <v>7629903.6993644862</v>
      </c>
      <c r="BP62" s="22">
        <f>((BP17*Constants!$H52*Constants!$H70*(1-Constants!$H88))+(BP17*Constants!$H52*Constants!$H104))</f>
        <v>7597697.9351025699</v>
      </c>
    </row>
    <row r="63" spans="1:72" x14ac:dyDescent="0.25">
      <c r="A63" t="str">
        <f t="shared" si="23"/>
        <v>3C Aggregated and non-CO2 emissions on land</v>
      </c>
      <c r="B63" t="str">
        <f t="shared" si="24"/>
        <v>3C4 Direct N2O from managed soils (N2O)</v>
      </c>
      <c r="C63" t="s">
        <v>414</v>
      </c>
      <c r="D63" t="str">
        <f>Constants!D105</f>
        <v xml:space="preserve"> - Subsistence swine</v>
      </c>
      <c r="E63" t="str">
        <f t="shared" si="26"/>
        <v>MM N available - Subsistence swine</v>
      </c>
      <c r="F63" t="str">
        <f t="shared" si="27"/>
        <v>kg N</v>
      </c>
      <c r="H63" s="22">
        <f>((H18*Constants!$H53*Constants!$H71*(1-Constants!$H89))+(H18*Constants!$H53*Constants!$H105))</f>
        <v>1773185.6742955854</v>
      </c>
      <c r="I63" s="22">
        <f>((I18*Constants!$H53*Constants!$H71*(1-Constants!$H89))+(I18*Constants!$H53*Constants!$H105))</f>
        <v>1937240.2543977362</v>
      </c>
      <c r="J63" s="22">
        <f>((J18*Constants!$H53*Constants!$H71*(1-Constants!$H89))+(J18*Constants!$H53*Constants!$H105))</f>
        <v>1924441.6701344475</v>
      </c>
      <c r="K63" s="22">
        <f>((K18*Constants!$H53*Constants!$H71*(1-Constants!$H89))+(K18*Constants!$H53*Constants!$H105))</f>
        <v>1923278.1624741489</v>
      </c>
      <c r="L63" s="22">
        <f>((L18*Constants!$H53*Constants!$H71*(1-Constants!$H89))+(L18*Constants!$H53*Constants!$H105))</f>
        <v>1826707.0266693365</v>
      </c>
      <c r="M63" s="22">
        <f>((M18*Constants!$H53*Constants!$H71*(1-Constants!$H89))+(M18*Constants!$H53*Constants!$H105))</f>
        <v>1844159.6415738207</v>
      </c>
      <c r="N63" s="22">
        <f>((N18*Constants!$H53*Constants!$H71*(1-Constants!$H89))+(N18*Constants!$H53*Constants!$H105))</f>
        <v>1986107.5761302917</v>
      </c>
      <c r="O63" s="22">
        <f>((O18*Constants!$H53*Constants!$H71*(1-Constants!$H89))+(O18*Constants!$H53*Constants!$H105))</f>
        <v>1976799.5148479</v>
      </c>
      <c r="P63" s="22">
        <f>((P18*Constants!$H53*Constants!$H71*(1-Constants!$H89))+(P18*Constants!$H53*Constants!$H105))</f>
        <v>2019849.2982789606</v>
      </c>
      <c r="Q63" s="22">
        <f>((Q18*Constants!$H53*Constants!$H71*(1-Constants!$H89))+(Q18*Constants!$H53*Constants!$H105))</f>
        <v>2071043.6353321141</v>
      </c>
      <c r="R63" s="22">
        <f>((R18*Constants!$H53*Constants!$H71*(1-Constants!$H89))+(R18*Constants!$H53*Constants!$H105))</f>
        <v>1916297.1165123552</v>
      </c>
      <c r="S63" s="22">
        <f>((S18*Constants!$H53*Constants!$H71*(1-Constants!$H89))+(S18*Constants!$H53*Constants!$H105))</f>
        <v>1952365.8539816223</v>
      </c>
      <c r="T63" s="22">
        <f>((T18*Constants!$H53*Constants!$H71*(1-Constants!$H89))+(T18*Constants!$H53*Constants!$H105))</f>
        <v>1989598.0991111884</v>
      </c>
      <c r="U63" s="22">
        <f>((U18*Constants!$H53*Constants!$H71*(1-Constants!$H89))+(U18*Constants!$H53*Constants!$H105))</f>
        <v>1934913.2390771382</v>
      </c>
      <c r="V63" s="22">
        <f>((V18*Constants!$H53*Constants!$H71*(1-Constants!$H89))+(V18*Constants!$H53*Constants!$H105))</f>
        <v>1934913.2390771382</v>
      </c>
      <c r="W63" s="22">
        <f>((W18*Constants!$H53*Constants!$H71*(1-Constants!$H89))+(W18*Constants!$H53*Constants!$H105))</f>
        <v>1920951.1471535508</v>
      </c>
      <c r="X63" s="22">
        <f>((X18*Constants!$H53*Constants!$H71*(1-Constants!$H89))+(X18*Constants!$H53*Constants!$H105))</f>
        <v>1887209.4250048813</v>
      </c>
      <c r="Y63" s="22">
        <f>((Y18*Constants!$H53*Constants!$H71*(1-Constants!$H89))+(Y18*Constants!$H53*Constants!$H105))</f>
        <v>1920951.1471535508</v>
      </c>
      <c r="Z63" s="22">
        <f>((Z18*Constants!$H53*Constants!$H71*(1-Constants!$H89))+(Z18*Constants!$H53*Constants!$H105))</f>
        <v>1879064.8713827892</v>
      </c>
      <c r="AA63" s="22">
        <f>((AA18*Constants!$H53*Constants!$H71*(1-Constants!$H89))+(AA18*Constants!$H53*Constants!$H105))</f>
        <v>1876737.8560621911</v>
      </c>
      <c r="AB63" s="22">
        <f>((AB18*Constants!$H53*Constants!$H71*(1-Constants!$H89))+(AB18*Constants!$H53*Constants!$H105))</f>
        <v>1854631.2105165115</v>
      </c>
      <c r="AC63" s="22">
        <f>((AC18*Constants!$H53*Constants!$H71*(1-Constants!$H89))+(AC18*Constants!$H53*Constants!$H105))</f>
        <v>1842996.1339135219</v>
      </c>
      <c r="AD63" s="22">
        <f>((AD18*Constants!$H53*Constants!$H71*(1-Constants!$H89))+(AD18*Constants!$H53*Constants!$H105))</f>
        <v>1829638.5450473623</v>
      </c>
      <c r="AE63" s="22">
        <f>((AE18*Constants!$H53*Constants!$H71*(1-Constants!$H89))+(AE18*Constants!$H53*Constants!$H105))</f>
        <v>1822218.3913040268</v>
      </c>
      <c r="AF63" s="22">
        <f>((AF18*Constants!$H53*Constants!$H71*(1-Constants!$H89))+(AF18*Constants!$H53*Constants!$H105))</f>
        <v>1816897.4758198715</v>
      </c>
      <c r="AG63" s="22">
        <f>((AG18*Constants!$H53*Constants!$H71*(1-Constants!$H89))+(AG18*Constants!$H53*Constants!$H105))</f>
        <v>1813624.1277440514</v>
      </c>
      <c r="AH63" s="22">
        <f>((AH18*Constants!$H53*Constants!$H71*(1-Constants!$H89))+(AH18*Constants!$H53*Constants!$H105))</f>
        <v>1812022.8619769197</v>
      </c>
      <c r="AI63" s="22">
        <f>((AI18*Constants!$H53*Constants!$H71*(1-Constants!$H89))+(AI18*Constants!$H53*Constants!$H105))</f>
        <v>1809107.5388150071</v>
      </c>
      <c r="AJ63" s="22">
        <f>((AJ18*Constants!$H53*Constants!$H71*(1-Constants!$H89))+(AJ18*Constants!$H53*Constants!$H105))</f>
        <v>1806757.4870110999</v>
      </c>
      <c r="AK63" s="22">
        <f>((AK18*Constants!$H53*Constants!$H71*(1-Constants!$H89))+(AK18*Constants!$H53*Constants!$H105))</f>
        <v>1804923.5470875481</v>
      </c>
      <c r="AL63" s="22">
        <f>((AL18*Constants!$H53*Constants!$H71*(1-Constants!$H89))+(AL18*Constants!$H53*Constants!$H105))</f>
        <v>1833398.4667686005</v>
      </c>
      <c r="AM63" s="22">
        <f>((AM18*Constants!$H53*Constants!$H71*(1-Constants!$H89))+(AM18*Constants!$H53*Constants!$H105))</f>
        <v>1826489.6688290287</v>
      </c>
      <c r="AN63" s="22">
        <f>((AN18*Constants!$H53*Constants!$H71*(1-Constants!$H89))+(AN18*Constants!$H53*Constants!$H105))</f>
        <v>1820146.1717519027</v>
      </c>
      <c r="AO63" s="22">
        <f>((AO18*Constants!$H53*Constants!$H71*(1-Constants!$H89))+(AO18*Constants!$H53*Constants!$H105))</f>
        <v>1813942.4562846676</v>
      </c>
      <c r="AP63" s="22">
        <f>((AP18*Constants!$H53*Constants!$H71*(1-Constants!$H89))+(AP18*Constants!$H53*Constants!$H105))</f>
        <v>1808191.5465191856</v>
      </c>
      <c r="AQ63" s="22">
        <f>((AQ18*Constants!$H53*Constants!$H71*(1-Constants!$H89))+(AQ18*Constants!$H53*Constants!$H105))</f>
        <v>1802325.9522365071</v>
      </c>
      <c r="AR63" s="22">
        <f>((AR18*Constants!$H53*Constants!$H71*(1-Constants!$H89))+(AR18*Constants!$H53*Constants!$H105))</f>
        <v>1795478.7837319782</v>
      </c>
      <c r="AS63" s="22">
        <f>((AS18*Constants!$H53*Constants!$H71*(1-Constants!$H89))+(AS18*Constants!$H53*Constants!$H105))</f>
        <v>1788947.9325313773</v>
      </c>
      <c r="AT63" s="22">
        <f>((AT18*Constants!$H53*Constants!$H71*(1-Constants!$H89))+(AT18*Constants!$H53*Constants!$H105))</f>
        <v>1782300.3791818353</v>
      </c>
      <c r="AU63" s="22">
        <f>((AU18*Constants!$H53*Constants!$H71*(1-Constants!$H89))+(AU18*Constants!$H53*Constants!$H105))</f>
        <v>1775644.3982389499</v>
      </c>
      <c r="AV63" s="22">
        <f>((AV18*Constants!$H53*Constants!$H71*(1-Constants!$H89))+(AV18*Constants!$H53*Constants!$H105))</f>
        <v>1768970.7346292676</v>
      </c>
      <c r="AW63" s="22">
        <f>((AW18*Constants!$H53*Constants!$H71*(1-Constants!$H89))+(AW18*Constants!$H53*Constants!$H105))</f>
        <v>1782417.0313337334</v>
      </c>
      <c r="AX63" s="22">
        <f>((AX18*Constants!$H53*Constants!$H71*(1-Constants!$H89))+(AX18*Constants!$H53*Constants!$H105))</f>
        <v>1789356.0369879366</v>
      </c>
      <c r="AY63" s="22">
        <f>((AY18*Constants!$H53*Constants!$H71*(1-Constants!$H89))+(AY18*Constants!$H53*Constants!$H105))</f>
        <v>1799042.1490560144</v>
      </c>
      <c r="AZ63" s="22">
        <f>((AZ18*Constants!$H53*Constants!$H71*(1-Constants!$H89))+(AZ18*Constants!$H53*Constants!$H105))</f>
        <v>1808998.8807551851</v>
      </c>
      <c r="BA63" s="22">
        <f>((BA18*Constants!$H53*Constants!$H71*(1-Constants!$H89))+(BA18*Constants!$H53*Constants!$H105))</f>
        <v>1818977.5912332362</v>
      </c>
      <c r="BB63" s="22">
        <f>((BB18*Constants!$H53*Constants!$H71*(1-Constants!$H89))+(BB18*Constants!$H53*Constants!$H105))</f>
        <v>1826286.4593985402</v>
      </c>
      <c r="BC63" s="22">
        <f>((BC18*Constants!$H53*Constants!$H71*(1-Constants!$H89))+(BC18*Constants!$H53*Constants!$H105))</f>
        <v>1831806.1463118198</v>
      </c>
      <c r="BD63" s="22">
        <f>((BD18*Constants!$H53*Constants!$H71*(1-Constants!$H89))+(BD18*Constants!$H53*Constants!$H105))</f>
        <v>1833774.6616295723</v>
      </c>
      <c r="BE63" s="22">
        <f>((BE18*Constants!$H53*Constants!$H71*(1-Constants!$H89))+(BE18*Constants!$H53*Constants!$H105))</f>
        <v>1833649.669073293</v>
      </c>
      <c r="BF63" s="22">
        <f>((BF18*Constants!$H53*Constants!$H71*(1-Constants!$H89))+(BF18*Constants!$H53*Constants!$H105))</f>
        <v>1832425.003707313</v>
      </c>
      <c r="BG63" s="22">
        <f>((BG18*Constants!$H53*Constants!$H71*(1-Constants!$H89))+(BG18*Constants!$H53*Constants!$H105))</f>
        <v>1842379.655672078</v>
      </c>
      <c r="BH63" s="22">
        <f>((BH18*Constants!$H53*Constants!$H71*(1-Constants!$H89))+(BH18*Constants!$H53*Constants!$H105))</f>
        <v>1850826.6916559129</v>
      </c>
      <c r="BI63" s="22">
        <f>((BI18*Constants!$H53*Constants!$H71*(1-Constants!$H89))+(BI18*Constants!$H53*Constants!$H105))</f>
        <v>1857418.4553673677</v>
      </c>
      <c r="BJ63" s="22">
        <f>((BJ18*Constants!$H53*Constants!$H71*(1-Constants!$H89))+(BJ18*Constants!$H53*Constants!$H105))</f>
        <v>1862271.2024491865</v>
      </c>
      <c r="BK63" s="22">
        <f>((BK18*Constants!$H53*Constants!$H71*(1-Constants!$H89))+(BK18*Constants!$H53*Constants!$H105))</f>
        <v>1866302.1207934485</v>
      </c>
      <c r="BL63" s="22">
        <f>((BL18*Constants!$H53*Constants!$H71*(1-Constants!$H89))+(BL18*Constants!$H53*Constants!$H105))</f>
        <v>1868624.0969165685</v>
      </c>
      <c r="BM63" s="22">
        <f>((BM18*Constants!$H53*Constants!$H71*(1-Constants!$H89))+(BM18*Constants!$H53*Constants!$H105))</f>
        <v>1868994.6854207786</v>
      </c>
      <c r="BN63" s="22">
        <f>((BN18*Constants!$H53*Constants!$H71*(1-Constants!$H89))+(BN18*Constants!$H53*Constants!$H105))</f>
        <v>1865320.2230934086</v>
      </c>
      <c r="BO63" s="22">
        <f>((BO18*Constants!$H53*Constants!$H71*(1-Constants!$H89))+(BO18*Constants!$H53*Constants!$H105))</f>
        <v>1859596.7673794541</v>
      </c>
      <c r="BP63" s="22">
        <f>((BP18*Constants!$H53*Constants!$H71*(1-Constants!$H89))+(BP18*Constants!$H53*Constants!$H105))</f>
        <v>1851747.4238657956</v>
      </c>
    </row>
    <row r="64" spans="1:72" x14ac:dyDescent="0.25">
      <c r="A64" t="str">
        <f t="shared" si="23"/>
        <v>3C Aggregated and non-CO2 emissions on land</v>
      </c>
      <c r="B64" t="str">
        <f t="shared" si="24"/>
        <v>3C4 Direct N2O from managed soils (N2O)</v>
      </c>
      <c r="C64" t="s">
        <v>414</v>
      </c>
      <c r="D64" t="str">
        <f>Constants!D106</f>
        <v xml:space="preserve"> - Commercial layers</v>
      </c>
      <c r="E64" t="str">
        <f t="shared" si="26"/>
        <v>MM N available - Commercial layers</v>
      </c>
      <c r="F64" t="str">
        <f t="shared" si="27"/>
        <v>kg N</v>
      </c>
      <c r="H64" s="22">
        <f>((H19*Constants!$H54*Constants!$H72*(1-Constants!$H90))+(H19*Constants!$H54*Constants!$H106))</f>
        <v>6185488.2909675539</v>
      </c>
      <c r="I64" s="22">
        <f>((I19*Constants!$H54*Constants!$H72*(1-Constants!$H90))+(I19*Constants!$H54*Constants!$H106))</f>
        <v>6009109.2071274081</v>
      </c>
      <c r="J64" s="22">
        <f>((J19*Constants!$H54*Constants!$H72*(1-Constants!$H90))+(J19*Constants!$H54*Constants!$H106))</f>
        <v>5699222.0850570546</v>
      </c>
      <c r="K64" s="22">
        <f>((K19*Constants!$H54*Constants!$H72*(1-Constants!$H90))+(K19*Constants!$H54*Constants!$H106))</f>
        <v>5609611.8493190575</v>
      </c>
      <c r="L64" s="22">
        <f>((L19*Constants!$H54*Constants!$H72*(1-Constants!$H90))+(L19*Constants!$H54*Constants!$H106))</f>
        <v>5365613.9312671879</v>
      </c>
      <c r="M64" s="22">
        <f>((M19*Constants!$H54*Constants!$H72*(1-Constants!$H90))+(M19*Constants!$H54*Constants!$H106))</f>
        <v>5854552.6233854303</v>
      </c>
      <c r="N64" s="22">
        <f>((N19*Constants!$H54*Constants!$H72*(1-Constants!$H90))+(N19*Constants!$H54*Constants!$H106))</f>
        <v>6184194.3241279265</v>
      </c>
      <c r="O64" s="22">
        <f>((O19*Constants!$H54*Constants!$H72*(1-Constants!$H90))+(O19*Constants!$H54*Constants!$H106))</f>
        <v>6204530.2379142288</v>
      </c>
      <c r="P64" s="22">
        <f>((P19*Constants!$H54*Constants!$H72*(1-Constants!$H90))+(P19*Constants!$H54*Constants!$H106))</f>
        <v>6985777.5007305164</v>
      </c>
      <c r="Q64" s="22">
        <f>((Q19*Constants!$H54*Constants!$H72*(1-Constants!$H90))+(Q19*Constants!$H54*Constants!$H106))</f>
        <v>7489454.4973270632</v>
      </c>
      <c r="R64" s="22">
        <f>((R19*Constants!$H54*Constants!$H72*(1-Constants!$H90))+(R19*Constants!$H54*Constants!$H106))</f>
        <v>7330764.97378729</v>
      </c>
      <c r="S64" s="22">
        <f>((S19*Constants!$H54*Constants!$H72*(1-Constants!$H90))+(S19*Constants!$H54*Constants!$H106))</f>
        <v>7526323.6329122018</v>
      </c>
      <c r="T64" s="22">
        <f>((T19*Constants!$H54*Constants!$H72*(1-Constants!$H90))+(T19*Constants!$H54*Constants!$H106))</f>
        <v>7467252.7937713731</v>
      </c>
      <c r="U64" s="22">
        <f>((U19*Constants!$H54*Constants!$H72*(1-Constants!$H90))+(U19*Constants!$H54*Constants!$H106))</f>
        <v>7169141.381636614</v>
      </c>
      <c r="V64" s="22">
        <f>((V19*Constants!$H54*Constants!$H72*(1-Constants!$H90))+(V19*Constants!$H54*Constants!$H106))</f>
        <v>7429101.8801676938</v>
      </c>
      <c r="W64" s="22">
        <f>((W19*Constants!$H54*Constants!$H72*(1-Constants!$H90))+(W19*Constants!$H54*Constants!$H106))</f>
        <v>7877080.6206777897</v>
      </c>
      <c r="X64" s="22">
        <f>((X19*Constants!$H54*Constants!$H72*(1-Constants!$H90))+(X19*Constants!$H54*Constants!$H106))</f>
        <v>8693284.2187629454</v>
      </c>
      <c r="Y64" s="22">
        <f>((Y19*Constants!$H54*Constants!$H72*(1-Constants!$H90))+(Y19*Constants!$H54*Constants!$H106))</f>
        <v>9620616.8920187056</v>
      </c>
      <c r="Z64" s="22">
        <f>((Z19*Constants!$H54*Constants!$H72*(1-Constants!$H90))+(Z19*Constants!$H54*Constants!$H106))</f>
        <v>9747319.238270821</v>
      </c>
      <c r="AA64" s="22">
        <f>((AA19*Constants!$H54*Constants!$H72*(1-Constants!$H90))+(AA19*Constants!$H54*Constants!$H106))</f>
        <v>9387970.3735440131</v>
      </c>
      <c r="AB64" s="22">
        <f>((AB19*Constants!$H54*Constants!$H72*(1-Constants!$H90))+(AB19*Constants!$H54*Constants!$H106))</f>
        <v>9753664.2574823145</v>
      </c>
      <c r="AC64" s="22">
        <f>((AC19*Constants!$H54*Constants!$H72*(1-Constants!$H90))+(AC19*Constants!$H54*Constants!$H106))</f>
        <v>10203867.24700897</v>
      </c>
      <c r="AD64" s="22">
        <f>((AD19*Constants!$H54*Constants!$H72*(1-Constants!$H90))+(AD19*Constants!$H54*Constants!$H106))</f>
        <v>10268728.352961019</v>
      </c>
      <c r="AE64" s="22">
        <f>((AE19*Constants!$H54*Constants!$H72*(1-Constants!$H90))+(AE19*Constants!$H54*Constants!$H106))</f>
        <v>10504163.007173188</v>
      </c>
      <c r="AF64" s="22">
        <f>((AF19*Constants!$H54*Constants!$H72*(1-Constants!$H90))+(AF19*Constants!$H54*Constants!$H106))</f>
        <v>10689744.474464543</v>
      </c>
      <c r="AG64" s="22">
        <f>((AG19*Constants!$H54*Constants!$H72*(1-Constants!$H90))+(AG19*Constants!$H54*Constants!$H106))</f>
        <v>10823272.996868605</v>
      </c>
      <c r="AH64" s="22">
        <f>((AH19*Constants!$H54*Constants!$H72*(1-Constants!$H90))+(AH19*Constants!$H54*Constants!$H106))</f>
        <v>10916426.488311222</v>
      </c>
      <c r="AI64" s="22">
        <f>((AI19*Constants!$H54*Constants!$H72*(1-Constants!$H90))+(AI19*Constants!$H54*Constants!$H106))</f>
        <v>11045984.972157724</v>
      </c>
      <c r="AJ64" s="22">
        <f>((AJ19*Constants!$H54*Constants!$H72*(1-Constants!$H90))+(AJ19*Constants!$H54*Constants!$H106))</f>
        <v>11160770.022204051</v>
      </c>
      <c r="AK64" s="22">
        <f>((AK19*Constants!$H54*Constants!$H72*(1-Constants!$H90))+(AK19*Constants!$H54*Constants!$H106))</f>
        <v>11261706.814854514</v>
      </c>
      <c r="AL64" s="22">
        <f>((AL19*Constants!$H54*Constants!$H72*(1-Constants!$H90))+(AL19*Constants!$H54*Constants!$H106))</f>
        <v>10558456.548054589</v>
      </c>
      <c r="AM64" s="22">
        <f>((AM19*Constants!$H54*Constants!$H72*(1-Constants!$H90))+(AM19*Constants!$H54*Constants!$H106))</f>
        <v>10783398.117023705</v>
      </c>
      <c r="AN64" s="22">
        <f>((AN19*Constants!$H54*Constants!$H72*(1-Constants!$H90))+(AN19*Constants!$H54*Constants!$H106))</f>
        <v>10998544.088368203</v>
      </c>
      <c r="AO64" s="22">
        <f>((AO19*Constants!$H54*Constants!$H72*(1-Constants!$H90))+(AO19*Constants!$H54*Constants!$H106))</f>
        <v>11214328.42511455</v>
      </c>
      <c r="AP64" s="22">
        <f>((AP19*Constants!$H54*Constants!$H72*(1-Constants!$H90))+(AP19*Constants!$H54*Constants!$H106))</f>
        <v>11421907.617309082</v>
      </c>
      <c r="AQ64" s="22">
        <f>((AQ19*Constants!$H54*Constants!$H72*(1-Constants!$H90))+(AQ19*Constants!$H54*Constants!$H106))</f>
        <v>11636550.93039256</v>
      </c>
      <c r="AR64" s="22">
        <f>((AR19*Constants!$H54*Constants!$H72*(1-Constants!$H90))+(AR19*Constants!$H54*Constants!$H106))</f>
        <v>11888034.25162969</v>
      </c>
      <c r="AS64" s="22">
        <f>((AS19*Constants!$H54*Constants!$H72*(1-Constants!$H90))+(AS19*Constants!$H54*Constants!$H106))</f>
        <v>12135730.72558848</v>
      </c>
      <c r="AT64" s="22">
        <f>((AT19*Constants!$H54*Constants!$H72*(1-Constants!$H90))+(AT19*Constants!$H54*Constants!$H106))</f>
        <v>12392351.867026022</v>
      </c>
      <c r="AU64" s="22">
        <f>((AU19*Constants!$H54*Constants!$H72*(1-Constants!$H90))+(AU19*Constants!$H54*Constants!$H106))</f>
        <v>12654916.554490246</v>
      </c>
      <c r="AV64" s="22">
        <f>((AV19*Constants!$H54*Constants!$H72*(1-Constants!$H90))+(AV19*Constants!$H54*Constants!$H106))</f>
        <v>12923908.305945553</v>
      </c>
      <c r="AW64" s="22">
        <f>((AW19*Constants!$H54*Constants!$H72*(1-Constants!$H90))+(AW19*Constants!$H54*Constants!$H106))</f>
        <v>13237804.291486839</v>
      </c>
      <c r="AX64" s="22">
        <f>((AX19*Constants!$H54*Constants!$H72*(1-Constants!$H90))+(AX19*Constants!$H54*Constants!$H106))</f>
        <v>13535173.249000032</v>
      </c>
      <c r="AY64" s="22">
        <f>((AY19*Constants!$H54*Constants!$H72*(1-Constants!$H90))+(AY19*Constants!$H54*Constants!$H106))</f>
        <v>13858875.274069807</v>
      </c>
      <c r="AZ64" s="22">
        <f>((AZ19*Constants!$H54*Constants!$H72*(1-Constants!$H90))+(AZ19*Constants!$H54*Constants!$H106))</f>
        <v>14198946.949805018</v>
      </c>
      <c r="BA64" s="22">
        <f>((BA19*Constants!$H54*Constants!$H72*(1-Constants!$H90))+(BA19*Constants!$H54*Constants!$H106))</f>
        <v>14555534.856302947</v>
      </c>
      <c r="BB64" s="22">
        <f>((BB19*Constants!$H54*Constants!$H72*(1-Constants!$H90))+(BB19*Constants!$H54*Constants!$H106))</f>
        <v>14918178.509591816</v>
      </c>
      <c r="BC64" s="22">
        <f>((BC19*Constants!$H54*Constants!$H72*(1-Constants!$H90))+(BC19*Constants!$H54*Constants!$H106))</f>
        <v>15289882.031963842</v>
      </c>
      <c r="BD64" s="22">
        <f>((BD19*Constants!$H54*Constants!$H72*(1-Constants!$H90))+(BD19*Constants!$H54*Constants!$H106))</f>
        <v>15661765.076274645</v>
      </c>
      <c r="BE64" s="22">
        <f>((BE19*Constants!$H54*Constants!$H72*(1-Constants!$H90))+(BE19*Constants!$H54*Constants!$H106))</f>
        <v>16042152.920672651</v>
      </c>
      <c r="BF64" s="22">
        <f>((BF19*Constants!$H54*Constants!$H72*(1-Constants!$H90))+(BF19*Constants!$H54*Constants!$H106))</f>
        <v>16437748.135474969</v>
      </c>
      <c r="BG64" s="22">
        <f>((BG19*Constants!$H54*Constants!$H72*(1-Constants!$H90))+(BG19*Constants!$H54*Constants!$H106))</f>
        <v>16848741.283481378</v>
      </c>
      <c r="BH64" s="22">
        <f>((BH19*Constants!$H54*Constants!$H72*(1-Constants!$H90))+(BH19*Constants!$H54*Constants!$H106))</f>
        <v>17269492.59716028</v>
      </c>
      <c r="BI64" s="22">
        <f>((BI19*Constants!$H54*Constants!$H72*(1-Constants!$H90))+(BI19*Constants!$H54*Constants!$H106))</f>
        <v>17698607.366918702</v>
      </c>
      <c r="BJ64" s="22">
        <f>((BJ19*Constants!$H54*Constants!$H72*(1-Constants!$H90))+(BJ19*Constants!$H54*Constants!$H106))</f>
        <v>18137578.314271327</v>
      </c>
      <c r="BK64" s="22">
        <f>((BK19*Constants!$H54*Constants!$H72*(1-Constants!$H90))+(BK19*Constants!$H54*Constants!$H106))</f>
        <v>18593498.91941873</v>
      </c>
      <c r="BL64" s="22">
        <f>((BL19*Constants!$H54*Constants!$H72*(1-Constants!$H90))+(BL19*Constants!$H54*Constants!$H106))</f>
        <v>19059538.024534702</v>
      </c>
      <c r="BM64" s="22">
        <f>((BM19*Constants!$H54*Constants!$H72*(1-Constants!$H90))+(BM19*Constants!$H54*Constants!$H106))</f>
        <v>19537334.016562041</v>
      </c>
      <c r="BN64" s="22">
        <f>((BN19*Constants!$H54*Constants!$H72*(1-Constants!$H90))+(BN19*Constants!$H54*Constants!$H106))</f>
        <v>20012474.887926862</v>
      </c>
      <c r="BO64" s="22">
        <f>((BO19*Constants!$H54*Constants!$H72*(1-Constants!$H90))+(BO19*Constants!$H54*Constants!$H106))</f>
        <v>20500039.152893197</v>
      </c>
      <c r="BP64" s="22">
        <f>((BP19*Constants!$H54*Constants!$H72*(1-Constants!$H90))+(BP19*Constants!$H54*Constants!$H106))</f>
        <v>21000725.247584198</v>
      </c>
    </row>
    <row r="65" spans="1:68" x14ac:dyDescent="0.25">
      <c r="A65" t="str">
        <f t="shared" si="23"/>
        <v>3C Aggregated and non-CO2 emissions on land</v>
      </c>
      <c r="B65" t="str">
        <f t="shared" si="24"/>
        <v>3C4 Direct N2O from managed soils (N2O)</v>
      </c>
      <c r="C65" t="s">
        <v>414</v>
      </c>
      <c r="D65" t="str">
        <f>Constants!D107</f>
        <v xml:space="preserve"> - Commercial broilers</v>
      </c>
      <c r="E65" t="str">
        <f t="shared" si="26"/>
        <v>MM N available - Commercial broilers</v>
      </c>
      <c r="F65" t="str">
        <f t="shared" si="27"/>
        <v>kg N</v>
      </c>
      <c r="H65" s="22">
        <f>((H20*Constants!$H55*Constants!$H73*(1-Constants!$H91))+(H20*Constants!$H55*Constants!$H107))</f>
        <v>21441987.682912666</v>
      </c>
      <c r="I65" s="22">
        <f>((I20*Constants!$H55*Constants!$H73*(1-Constants!$H91))+(I20*Constants!$H55*Constants!$H107))</f>
        <v>20155468.447952528</v>
      </c>
      <c r="J65" s="22">
        <f>((J20*Constants!$H55*Constants!$H73*(1-Constants!$H91))+(J20*Constants!$H55*Constants!$H107))</f>
        <v>19048359.503315844</v>
      </c>
      <c r="K65" s="22">
        <f>((K20*Constants!$H55*Constants!$H73*(1-Constants!$H91))+(K20*Constants!$H55*Constants!$H107))</f>
        <v>21422633.120275144</v>
      </c>
      <c r="L65" s="22">
        <f>((L20*Constants!$H55*Constants!$H73*(1-Constants!$H91))+(L20*Constants!$H55*Constants!$H107))</f>
        <v>21221715.835297149</v>
      </c>
      <c r="M65" s="22">
        <f>((M20*Constants!$H55*Constants!$H73*(1-Constants!$H91))+(M20*Constants!$H55*Constants!$H107))</f>
        <v>24291356.099595293</v>
      </c>
      <c r="N65" s="22">
        <f>((N20*Constants!$H55*Constants!$H73*(1-Constants!$H91))+(N20*Constants!$H55*Constants!$H107))</f>
        <v>28244585.878194444</v>
      </c>
      <c r="O65" s="22">
        <f>((O20*Constants!$H55*Constants!$H73*(1-Constants!$H91))+(O20*Constants!$H55*Constants!$H107))</f>
        <v>28749759.856221307</v>
      </c>
      <c r="P65" s="22">
        <f>((P20*Constants!$H55*Constants!$H73*(1-Constants!$H91))+(P20*Constants!$H55*Constants!$H107))</f>
        <v>31502057.979110736</v>
      </c>
      <c r="Q65" s="22">
        <f>((Q20*Constants!$H55*Constants!$H73*(1-Constants!$H91))+(Q20*Constants!$H55*Constants!$H107))</f>
        <v>32887795.163968969</v>
      </c>
      <c r="R65" s="22">
        <f>((R20*Constants!$H55*Constants!$H73*(1-Constants!$H91))+(R20*Constants!$H55*Constants!$H107))</f>
        <v>35384844.130992576</v>
      </c>
      <c r="S65" s="22">
        <f>((S20*Constants!$H55*Constants!$H73*(1-Constants!$H91))+(S20*Constants!$H55*Constants!$H107))</f>
        <v>34167785.103477322</v>
      </c>
      <c r="T65" s="22">
        <f>((T20*Constants!$H55*Constants!$H73*(1-Constants!$H91))+(T20*Constants!$H55*Constants!$H107))</f>
        <v>37868988.696657754</v>
      </c>
      <c r="U65" s="22">
        <f>((U20*Constants!$H55*Constants!$H73*(1-Constants!$H91))+(U20*Constants!$H55*Constants!$H107))</f>
        <v>36019125.033984229</v>
      </c>
      <c r="V65" s="22">
        <f>((V20*Constants!$H55*Constants!$H73*(1-Constants!$H91))+(V20*Constants!$H55*Constants!$H107))</f>
        <v>36888658.133678004</v>
      </c>
      <c r="W65" s="22">
        <f>((W20*Constants!$H55*Constants!$H73*(1-Constants!$H91))+(W20*Constants!$H55*Constants!$H107))</f>
        <v>40816366.920982771</v>
      </c>
      <c r="X65" s="22">
        <f>((X20*Constants!$H55*Constants!$H73*(1-Constants!$H91))+(X20*Constants!$H55*Constants!$H107))</f>
        <v>43656919.259428479</v>
      </c>
      <c r="Y65" s="22">
        <f>((Y20*Constants!$H55*Constants!$H73*(1-Constants!$H91))+(Y20*Constants!$H55*Constants!$H107))</f>
        <v>45677104.261495814</v>
      </c>
      <c r="Z65" s="22">
        <f>((Z20*Constants!$H55*Constants!$H73*(1-Constants!$H91))+(Z20*Constants!$H55*Constants!$H107))</f>
        <v>48633713.378493287</v>
      </c>
      <c r="AA65" s="22">
        <f>((AA20*Constants!$H55*Constants!$H73*(1-Constants!$H91))+(AA20*Constants!$H55*Constants!$H107))</f>
        <v>45891232.801865354</v>
      </c>
      <c r="AB65" s="22">
        <f>((AB20*Constants!$H55*Constants!$H73*(1-Constants!$H91))+(AB20*Constants!$H55*Constants!$H107))</f>
        <v>47045433.899453834</v>
      </c>
      <c r="AC65" s="22">
        <f>((AC20*Constants!$H55*Constants!$H73*(1-Constants!$H91))+(AC20*Constants!$H55*Constants!$H107))</f>
        <v>48657312.573355399</v>
      </c>
      <c r="AD65" s="22">
        <f>((AD20*Constants!$H55*Constants!$H73*(1-Constants!$H91))+(AD20*Constants!$H55*Constants!$H107))</f>
        <v>48027713.849180959</v>
      </c>
      <c r="AE65" s="22">
        <f>((AE20*Constants!$H55*Constants!$H73*(1-Constants!$H91))+(AE20*Constants!$H55*Constants!$H107))</f>
        <v>48871159.240845688</v>
      </c>
      <c r="AF65" s="22">
        <f>((AF20*Constants!$H55*Constants!$H73*(1-Constants!$H91))+(AF20*Constants!$H55*Constants!$H107))</f>
        <v>49489424.972696729</v>
      </c>
      <c r="AG65" s="22">
        <f>((AG20*Constants!$H55*Constants!$H73*(1-Constants!$H91))+(AG20*Constants!$H55*Constants!$H107))</f>
        <v>49872642.183769695</v>
      </c>
      <c r="AH65" s="22">
        <f>((AH20*Constants!$H55*Constants!$H73*(1-Constants!$H91))+(AH20*Constants!$H55*Constants!$H107))</f>
        <v>50055737.483793408</v>
      </c>
      <c r="AI65" s="22">
        <f>((AI20*Constants!$H55*Constants!$H73*(1-Constants!$H91))+(AI20*Constants!$H55*Constants!$H107))</f>
        <v>50401870.029913135</v>
      </c>
      <c r="AJ65" s="22">
        <f>((AJ20*Constants!$H55*Constants!$H73*(1-Constants!$H91))+(AJ20*Constants!$H55*Constants!$H107))</f>
        <v>50681840.772304371</v>
      </c>
      <c r="AK65" s="22">
        <f>((AK20*Constants!$H55*Constants!$H73*(1-Constants!$H91))+(AK20*Constants!$H55*Constants!$H107))</f>
        <v>50899793.049645513</v>
      </c>
      <c r="AL65" s="22">
        <f>((AL20*Constants!$H55*Constants!$H73*(1-Constants!$H91))+(AL20*Constants!$H55*Constants!$H107))</f>
        <v>47516249.079872526</v>
      </c>
      <c r="AM65" s="22">
        <f>((AM20*Constants!$H55*Constants!$H73*(1-Constants!$H91))+(AM20*Constants!$H55*Constants!$H107))</f>
        <v>48286362.768432572</v>
      </c>
      <c r="AN65" s="22">
        <f>((AN20*Constants!$H55*Constants!$H73*(1-Constants!$H91))+(AN20*Constants!$H55*Constants!$H107))</f>
        <v>49012607.553425029</v>
      </c>
      <c r="AO65" s="22">
        <f>((AO20*Constants!$H55*Constants!$H73*(1-Constants!$H91))+(AO20*Constants!$H55*Constants!$H107))</f>
        <v>49741711.213814758</v>
      </c>
      <c r="AP65" s="22">
        <f>((AP20*Constants!$H55*Constants!$H73*(1-Constants!$H91))+(AP20*Constants!$H55*Constants!$H107))</f>
        <v>50434068.700583532</v>
      </c>
      <c r="AQ65" s="22">
        <f>((AQ20*Constants!$H55*Constants!$H73*(1-Constants!$H91))+(AQ20*Constants!$H55*Constants!$H107))</f>
        <v>51158062.360863879</v>
      </c>
      <c r="AR65" s="22">
        <f>((AR20*Constants!$H55*Constants!$H73*(1-Constants!$H91))+(AR20*Constants!$H55*Constants!$H107))</f>
        <v>52027254.733655691</v>
      </c>
      <c r="AS65" s="22">
        <f>((AS20*Constants!$H55*Constants!$H73*(1-Constants!$H91))+(AS20*Constants!$H55*Constants!$H107))</f>
        <v>52879487.972249843</v>
      </c>
      <c r="AT65" s="22">
        <f>((AT20*Constants!$H55*Constants!$H73*(1-Constants!$H91))+(AT20*Constants!$H55*Constants!$H107))</f>
        <v>53771689.718237445</v>
      </c>
      <c r="AU65" s="22">
        <f>((AU20*Constants!$H55*Constants!$H73*(1-Constants!$H91))+(AU20*Constants!$H55*Constants!$H107))</f>
        <v>54690509.224929012</v>
      </c>
      <c r="AV65" s="22">
        <f>((AV20*Constants!$H55*Constants!$H73*(1-Constants!$H91))+(AV20*Constants!$H55*Constants!$H107))</f>
        <v>55638111.894159503</v>
      </c>
      <c r="AW65" s="22">
        <f>((AW20*Constants!$H55*Constants!$H73*(1-Constants!$H91))+(AW20*Constants!$H55*Constants!$H107))</f>
        <v>56795542.24195528</v>
      </c>
      <c r="AX65" s="22">
        <f>((AX20*Constants!$H55*Constants!$H73*(1-Constants!$H91))+(AX20*Constants!$H55*Constants!$H107))</f>
        <v>57878957.439671949</v>
      </c>
      <c r="AY65" s="22">
        <f>((AY20*Constants!$H55*Constants!$H73*(1-Constants!$H91))+(AY20*Constants!$H55*Constants!$H107))</f>
        <v>59080303.458760686</v>
      </c>
      <c r="AZ65" s="22">
        <f>((AZ20*Constants!$H55*Constants!$H73*(1-Constants!$H91))+(AZ20*Constants!$H55*Constants!$H107))</f>
        <v>60354959.833030514</v>
      </c>
      <c r="BA65" s="22">
        <f>((BA20*Constants!$H55*Constants!$H73*(1-Constants!$H91))+(BA20*Constants!$H55*Constants!$H107))</f>
        <v>61703583.006951414</v>
      </c>
      <c r="BB65" s="22">
        <f>((BB20*Constants!$H55*Constants!$H73*(1-Constants!$H91))+(BB20*Constants!$H55*Constants!$H107))</f>
        <v>63069563.361174934</v>
      </c>
      <c r="BC65" s="22">
        <f>((BC20*Constants!$H55*Constants!$H73*(1-Constants!$H91))+(BC20*Constants!$H55*Constants!$H107))</f>
        <v>64476117.713846952</v>
      </c>
      <c r="BD65" s="22">
        <f>((BD20*Constants!$H55*Constants!$H73*(1-Constants!$H91))+(BD20*Constants!$H55*Constants!$H107))</f>
        <v>65883476.047512271</v>
      </c>
      <c r="BE65" s="22">
        <f>((BE20*Constants!$H55*Constants!$H73*(1-Constants!$H91))+(BE20*Constants!$H55*Constants!$H107))</f>
        <v>67328922.537054345</v>
      </c>
      <c r="BF65" s="22">
        <f>((BF20*Constants!$H55*Constants!$H73*(1-Constants!$H91))+(BF20*Constants!$H55*Constants!$H107))</f>
        <v>68842474.185459614</v>
      </c>
      <c r="BG65" s="22">
        <f>((BG20*Constants!$H55*Constants!$H73*(1-Constants!$H91))+(BG20*Constants!$H55*Constants!$H107))</f>
        <v>70388456.765693381</v>
      </c>
      <c r="BH65" s="22">
        <f>((BH20*Constants!$H55*Constants!$H73*(1-Constants!$H91))+(BH20*Constants!$H55*Constants!$H107))</f>
        <v>71978140.621839464</v>
      </c>
      <c r="BI65" s="22">
        <f>((BI20*Constants!$H55*Constants!$H73*(1-Constants!$H91))+(BI20*Constants!$H55*Constants!$H107))</f>
        <v>73605279.63447848</v>
      </c>
      <c r="BJ65" s="22">
        <f>((BJ20*Constants!$H55*Constants!$H73*(1-Constants!$H91))+(BJ20*Constants!$H55*Constants!$H107))</f>
        <v>75276558.858277678</v>
      </c>
      <c r="BK65" s="22">
        <f>((BK20*Constants!$H55*Constants!$H73*(1-Constants!$H91))+(BK20*Constants!$H55*Constants!$H107))</f>
        <v>77023745.954779357</v>
      </c>
      <c r="BL65" s="22">
        <f>((BL20*Constants!$H55*Constants!$H73*(1-Constants!$H91))+(BL20*Constants!$H55*Constants!$H107))</f>
        <v>78826646.484633237</v>
      </c>
      <c r="BM65" s="22">
        <f>((BM20*Constants!$H55*Constants!$H73*(1-Constants!$H91))+(BM20*Constants!$H55*Constants!$H107))</f>
        <v>80682199.421152219</v>
      </c>
      <c r="BN65" s="22">
        <f>((BN20*Constants!$H55*Constants!$H73*(1-Constants!$H91))+(BN20*Constants!$H55*Constants!$H107))</f>
        <v>82525861.578639835</v>
      </c>
      <c r="BO65" s="22">
        <f>((BO20*Constants!$H55*Constants!$H73*(1-Constants!$H91))+(BO20*Constants!$H55*Constants!$H107))</f>
        <v>84425161.051387131</v>
      </c>
      <c r="BP65" s="22">
        <f>((BP20*Constants!$H55*Constants!$H73*(1-Constants!$H91))+(BP20*Constants!$H55*Constants!$H107))</f>
        <v>86383225.732991427</v>
      </c>
    </row>
    <row r="66" spans="1:68" x14ac:dyDescent="0.25">
      <c r="A66" t="str">
        <f t="shared" ref="A66:A81" si="28">A65</f>
        <v>3C Aggregated and non-CO2 emissions on land</v>
      </c>
      <c r="B66" t="str">
        <f t="shared" ref="B66:B82" si="29">B65</f>
        <v>3C4 Direct N2O from managed soils (N2O)</v>
      </c>
      <c r="C66" t="s">
        <v>415</v>
      </c>
      <c r="D66" t="str">
        <f>D50</f>
        <v xml:space="preserve"> - TMR</v>
      </c>
      <c r="E66" t="str">
        <f t="shared" si="26"/>
        <v>Urine &amp; dung - TMR</v>
      </c>
      <c r="F66" t="str">
        <f t="shared" si="27"/>
        <v>kg N</v>
      </c>
      <c r="H66" s="22">
        <f>H5*Constants!$H40*(1-Constants!$H58)</f>
        <v>0</v>
      </c>
      <c r="I66" s="22">
        <f>I5*Constants!$H40*(1-Constants!$H58)</f>
        <v>0</v>
      </c>
      <c r="J66" s="22">
        <f>J5*Constants!$H40*(1-Constants!$H58)</f>
        <v>0</v>
      </c>
      <c r="K66" s="22">
        <f>K5*Constants!$H40*(1-Constants!$H58)</f>
        <v>0</v>
      </c>
      <c r="L66" s="22">
        <f>L5*Constants!$H40*(1-Constants!$H58)</f>
        <v>0</v>
      </c>
      <c r="M66" s="22">
        <f>M5*Constants!$H40*(1-Constants!$H58)</f>
        <v>0</v>
      </c>
      <c r="N66" s="22">
        <f>N5*Constants!$H40*(1-Constants!$H58)</f>
        <v>0</v>
      </c>
      <c r="O66" s="22">
        <f>O5*Constants!$H40*(1-Constants!$H58)</f>
        <v>0</v>
      </c>
      <c r="P66" s="22">
        <f>P5*Constants!$H40*(1-Constants!$H58)</f>
        <v>0</v>
      </c>
      <c r="Q66" s="22">
        <f>Q5*Constants!$H40*(1-Constants!$H58)</f>
        <v>0</v>
      </c>
      <c r="R66" s="22">
        <f>R5*Constants!$H40*(1-Constants!$H58)</f>
        <v>0</v>
      </c>
      <c r="S66" s="22">
        <f>S5*Constants!$H40*(1-Constants!$H58)</f>
        <v>0</v>
      </c>
      <c r="T66" s="22">
        <f>T5*Constants!$H40*(1-Constants!$H58)</f>
        <v>0</v>
      </c>
      <c r="U66" s="22">
        <f>U5*Constants!$H40*(1-Constants!$H58)</f>
        <v>0</v>
      </c>
      <c r="V66" s="22">
        <f>V5*Constants!$H40*(1-Constants!$H58)</f>
        <v>0</v>
      </c>
      <c r="W66" s="22">
        <f>W5*Constants!$H40*(1-Constants!$H58)</f>
        <v>0</v>
      </c>
      <c r="X66" s="22">
        <f>X5*Constants!$H40*(1-Constants!$H58)</f>
        <v>0</v>
      </c>
      <c r="Y66" s="22">
        <f>Y5*Constants!$H40*(1-Constants!$H58)</f>
        <v>0</v>
      </c>
      <c r="Z66" s="22">
        <f>Z5*Constants!$H40*(1-Constants!$H58)</f>
        <v>0</v>
      </c>
      <c r="AA66" s="22">
        <f>AA5*Constants!$H40*(1-Constants!$H58)</f>
        <v>0</v>
      </c>
      <c r="AB66" s="22">
        <f>AB5*Constants!$H40*(1-Constants!$H58)</f>
        <v>0</v>
      </c>
      <c r="AC66" s="22">
        <f>AC5*Constants!$H40*(1-Constants!$H58)</f>
        <v>0</v>
      </c>
      <c r="AD66" s="22">
        <f>AD5*Constants!$H40*(1-Constants!$H58)</f>
        <v>0</v>
      </c>
      <c r="AE66" s="22">
        <f>AE5*Constants!$H40*(1-Constants!$H58)</f>
        <v>0</v>
      </c>
      <c r="AF66" s="22">
        <f>AF5*Constants!$H40*(1-Constants!$H58)</f>
        <v>0</v>
      </c>
      <c r="AG66" s="22">
        <f>AG5*Constants!$H40*(1-Constants!$H58)</f>
        <v>0</v>
      </c>
      <c r="AH66" s="22">
        <f>AH5*Constants!$H40*(1-Constants!$H58)</f>
        <v>0</v>
      </c>
      <c r="AI66" s="22">
        <f>AI5*Constants!$H40*(1-Constants!$H58)</f>
        <v>0</v>
      </c>
      <c r="AJ66" s="22">
        <f>AJ5*Constants!$H40*(1-Constants!$H58)</f>
        <v>0</v>
      </c>
      <c r="AK66" s="22">
        <f>AK5*Constants!$H40*(1-Constants!$H58)</f>
        <v>0</v>
      </c>
      <c r="AL66" s="22">
        <f>AL5*Constants!$H40*(1-Constants!$H58)</f>
        <v>0</v>
      </c>
      <c r="AM66" s="22">
        <f>AM5*Constants!$H40*(1-Constants!$H58)</f>
        <v>0</v>
      </c>
      <c r="AN66" s="22">
        <f>AN5*Constants!$H40*(1-Constants!$H58)</f>
        <v>0</v>
      </c>
      <c r="AO66" s="22">
        <f>AO5*Constants!$H40*(1-Constants!$H58)</f>
        <v>0</v>
      </c>
      <c r="AP66" s="22">
        <f>AP5*Constants!$H40*(1-Constants!$H58)</f>
        <v>0</v>
      </c>
      <c r="AQ66" s="22">
        <f>AQ5*Constants!$H40*(1-Constants!$H58)</f>
        <v>0</v>
      </c>
      <c r="AR66" s="22">
        <f>AR5*Constants!$H40*(1-Constants!$H58)</f>
        <v>0</v>
      </c>
      <c r="AS66" s="22">
        <f>AS5*Constants!$H40*(1-Constants!$H58)</f>
        <v>0</v>
      </c>
      <c r="AT66" s="22">
        <f>AT5*Constants!$H40*(1-Constants!$H58)</f>
        <v>0</v>
      </c>
      <c r="AU66" s="22">
        <f>AU5*Constants!$H40*(1-Constants!$H58)</f>
        <v>0</v>
      </c>
      <c r="AV66" s="22">
        <f>AV5*Constants!$H40*(1-Constants!$H58)</f>
        <v>0</v>
      </c>
      <c r="AW66" s="22">
        <f>AW5*Constants!$H40*(1-Constants!$H58)</f>
        <v>0</v>
      </c>
      <c r="AX66" s="22">
        <f>AX5*Constants!$H40*(1-Constants!$H58)</f>
        <v>0</v>
      </c>
      <c r="AY66" s="22">
        <f>AY5*Constants!$H40*(1-Constants!$H58)</f>
        <v>0</v>
      </c>
      <c r="AZ66" s="22">
        <f>AZ5*Constants!$H40*(1-Constants!$H58)</f>
        <v>0</v>
      </c>
      <c r="BA66" s="22">
        <f>BA5*Constants!$H40*(1-Constants!$H58)</f>
        <v>0</v>
      </c>
      <c r="BB66" s="22">
        <f>BB5*Constants!$H40*(1-Constants!$H58)</f>
        <v>0</v>
      </c>
      <c r="BC66" s="22">
        <f>BC5*Constants!$H40*(1-Constants!$H58)</f>
        <v>0</v>
      </c>
      <c r="BD66" s="22">
        <f>BD5*Constants!$H40*(1-Constants!$H58)</f>
        <v>0</v>
      </c>
      <c r="BE66" s="22">
        <f>BE5*Constants!$H40*(1-Constants!$H58)</f>
        <v>0</v>
      </c>
      <c r="BF66" s="22">
        <f>BF5*Constants!$H40*(1-Constants!$H58)</f>
        <v>0</v>
      </c>
      <c r="BG66" s="22">
        <f>BG5*Constants!$H40*(1-Constants!$H58)</f>
        <v>0</v>
      </c>
      <c r="BH66" s="22">
        <f>BH5*Constants!$H40*(1-Constants!$H58)</f>
        <v>0</v>
      </c>
      <c r="BI66" s="22">
        <f>BI5*Constants!$H40*(1-Constants!$H58)</f>
        <v>0</v>
      </c>
      <c r="BJ66" s="22">
        <f>BJ5*Constants!$H40*(1-Constants!$H58)</f>
        <v>0</v>
      </c>
      <c r="BK66" s="22">
        <f>BK5*Constants!$H40*(1-Constants!$H58)</f>
        <v>0</v>
      </c>
      <c r="BL66" s="22">
        <f>BL5*Constants!$H40*(1-Constants!$H58)</f>
        <v>0</v>
      </c>
      <c r="BM66" s="22">
        <f>BM5*Constants!$H40*(1-Constants!$H58)</f>
        <v>0</v>
      </c>
      <c r="BN66" s="22">
        <f>BN5*Constants!$H40*(1-Constants!$H58)</f>
        <v>0</v>
      </c>
      <c r="BO66" s="22">
        <f>BO5*Constants!$H40*(1-Constants!$H58)</f>
        <v>0</v>
      </c>
      <c r="BP66" s="22">
        <f>BP5*Constants!$H40*(1-Constants!$H58)</f>
        <v>0</v>
      </c>
    </row>
    <row r="67" spans="1:68" x14ac:dyDescent="0.25">
      <c r="A67" t="str">
        <f t="shared" si="28"/>
        <v>3C Aggregated and non-CO2 emissions on land</v>
      </c>
      <c r="B67" t="str">
        <f t="shared" si="29"/>
        <v>3C4 Direct N2O from managed soils (N2O)</v>
      </c>
      <c r="C67" t="s">
        <v>415</v>
      </c>
      <c r="D67" t="str">
        <f t="shared" ref="D67:D81" si="30">D51</f>
        <v xml:space="preserve"> - Pasture</v>
      </c>
      <c r="E67" t="str">
        <f t="shared" ref="E67:E79" si="31">C67&amp;D67</f>
        <v>Urine &amp; dung - Pasture</v>
      </c>
      <c r="F67" t="str">
        <f t="shared" ref="F67:F79" si="32">F66</f>
        <v>kg N</v>
      </c>
      <c r="H67" s="22">
        <f>H6*Constants!$H41*(1-Constants!$H59)</f>
        <v>28033004.557779469</v>
      </c>
      <c r="I67" s="22">
        <f>I6*Constants!$H41*(1-Constants!$H59)</f>
        <v>32273269.726387568</v>
      </c>
      <c r="J67" s="22">
        <f>J6*Constants!$H41*(1-Constants!$H59)</f>
        <v>27920554.140614353</v>
      </c>
      <c r="K67" s="22">
        <f>K6*Constants!$H41*(1-Constants!$H59)</f>
        <v>29612364.349424317</v>
      </c>
      <c r="L67" s="22">
        <f>L6*Constants!$H41*(1-Constants!$H59)</f>
        <v>27470752.471953906</v>
      </c>
      <c r="M67" s="22">
        <f>M6*Constants!$H41*(1-Constants!$H59)</f>
        <v>29387463.51509409</v>
      </c>
      <c r="N67" s="22">
        <f>N6*Constants!$H41*(1-Constants!$H59)</f>
        <v>29499913.932259206</v>
      </c>
      <c r="O67" s="22">
        <f>O6*Constants!$H41*(1-Constants!$H59)</f>
        <v>28439847.640107188</v>
      </c>
      <c r="P67" s="22">
        <f>P6*Constants!$H41*(1-Constants!$H59)</f>
        <v>28102496.388611846</v>
      </c>
      <c r="Q67" s="22">
        <f>Q6*Constants!$H41*(1-Constants!$H59)</f>
        <v>27604682.18228538</v>
      </c>
      <c r="R67" s="22">
        <f>R6*Constants!$H41*(1-Constants!$H59)</f>
        <v>35544439.726842389</v>
      </c>
      <c r="S67" s="22">
        <f>S6*Constants!$H41*(1-Constants!$H59)</f>
        <v>35431989.309677273</v>
      </c>
      <c r="T67" s="22">
        <f>T6*Constants!$H41*(1-Constants!$H59)</f>
        <v>30897331.47590657</v>
      </c>
      <c r="U67" s="22">
        <f>U6*Constants!$H41*(1-Constants!$H59)</f>
        <v>28102496.388611846</v>
      </c>
      <c r="V67" s="22">
        <f>V6*Constants!$H41*(1-Constants!$H59)</f>
        <v>27133401.22045856</v>
      </c>
      <c r="W67" s="22">
        <f>W6*Constants!$H41*(1-Constants!$H59)</f>
        <v>29050112.263598755</v>
      </c>
      <c r="X67" s="22">
        <f>X6*Constants!$H41*(1-Constants!$H59)</f>
        <v>28418368.346940812</v>
      </c>
      <c r="Y67" s="22">
        <f>Y6*Constants!$H41*(1-Constants!$H59)</f>
        <v>28214946.805776961</v>
      </c>
      <c r="Z67" s="22">
        <f>Z6*Constants!$H41*(1-Constants!$H59)</f>
        <v>34553865.265522733</v>
      </c>
      <c r="AA67" s="22">
        <f>AA6*Constants!$H41*(1-Constants!$H59)</f>
        <v>35410510.016510896</v>
      </c>
      <c r="AB67" s="22">
        <f>AB6*Constants!$H41*(1-Constants!$H59)</f>
        <v>35410510.016510896</v>
      </c>
      <c r="AC67" s="22">
        <f>AC6*Constants!$H41*(1-Constants!$H59)</f>
        <v>34125542.890028648</v>
      </c>
      <c r="AD67" s="22">
        <f>AD6*Constants!$H41*(1-Constants!$H59)</f>
        <v>33902839.313826226</v>
      </c>
      <c r="AE67" s="22">
        <f>AE6*Constants!$H41*(1-Constants!$H59)</f>
        <v>34223740.116938412</v>
      </c>
      <c r="AF67" s="22">
        <f>AF6*Constants!$H41*(1-Constants!$H59)</f>
        <v>34468674.797625788</v>
      </c>
      <c r="AG67" s="22">
        <f>AG6*Constants!$H41*(1-Constants!$H59)</f>
        <v>34634302.92336297</v>
      </c>
      <c r="AH67" s="22">
        <f>AH6*Constants!$H41*(1-Constants!$H59)</f>
        <v>34735352.669429749</v>
      </c>
      <c r="AI67" s="22">
        <f>AI6*Constants!$H41*(1-Constants!$H59)</f>
        <v>34891635.509434015</v>
      </c>
      <c r="AJ67" s="22">
        <f>AJ6*Constants!$H41*(1-Constants!$H59)</f>
        <v>35025504.323147297</v>
      </c>
      <c r="AK67" s="22">
        <f>AK6*Constants!$H41*(1-Constants!$H59)</f>
        <v>35138362.773964994</v>
      </c>
      <c r="AL67" s="22">
        <f>AL6*Constants!$H41*(1-Constants!$H59)</f>
        <v>34031121.000474006</v>
      </c>
      <c r="AM67" s="22">
        <f>AM6*Constants!$H41*(1-Constants!$H59)</f>
        <v>34331569.444670767</v>
      </c>
      <c r="AN67" s="22">
        <f>AN6*Constants!$H41*(1-Constants!$H59)</f>
        <v>34617156.159730576</v>
      </c>
      <c r="AO67" s="22">
        <f>AO6*Constants!$H41*(1-Constants!$H59)</f>
        <v>34903711.392948993</v>
      </c>
      <c r="AP67" s="22">
        <f>AP6*Constants!$H41*(1-Constants!$H59)</f>
        <v>35177817.907190301</v>
      </c>
      <c r="AQ67" s="22">
        <f>AQ6*Constants!$H41*(1-Constants!$H59)</f>
        <v>35462641.996122435</v>
      </c>
      <c r="AR67" s="22">
        <f>AR6*Constants!$H41*(1-Constants!$H59)</f>
        <v>35799954.300562575</v>
      </c>
      <c r="AS67" s="22">
        <f>AS6*Constants!$H41*(1-Constants!$H59)</f>
        <v>36131521.258619197</v>
      </c>
      <c r="AT67" s="22">
        <f>AT6*Constants!$H41*(1-Constants!$H59)</f>
        <v>36476628.584758975</v>
      </c>
      <c r="AU67" s="22">
        <f>AU6*Constants!$H41*(1-Constants!$H59)</f>
        <v>36830753.367416039</v>
      </c>
      <c r="AV67" s="22">
        <f>AV6*Constants!$H41*(1-Constants!$H59)</f>
        <v>37194629.192601107</v>
      </c>
      <c r="AW67" s="22">
        <f>AW6*Constants!$H41*(1-Constants!$H59)</f>
        <v>37628134.791466892</v>
      </c>
      <c r="AX67" s="22">
        <f>AX6*Constants!$H41*(1-Constants!$H59)</f>
        <v>38036565.838633388</v>
      </c>
      <c r="AY67" s="22">
        <f>AY6*Constants!$H41*(1-Constants!$H59)</f>
        <v>38484949.009685501</v>
      </c>
      <c r="AZ67" s="22">
        <f>AZ6*Constants!$H41*(1-Constants!$H59)</f>
        <v>38958167.963432923</v>
      </c>
      <c r="BA67" s="22">
        <f>BA6*Constants!$H41*(1-Constants!$H59)</f>
        <v>39456445.088188536</v>
      </c>
      <c r="BB67" s="22">
        <f>BB6*Constants!$H41*(1-Constants!$H59)</f>
        <v>39962229.881289758</v>
      </c>
      <c r="BC67" s="22">
        <f>BC6*Constants!$H41*(1-Constants!$H59)</f>
        <v>40481760.168266676</v>
      </c>
      <c r="BD67" s="22">
        <f>BD6*Constants!$H41*(1-Constants!$H59)</f>
        <v>41001562.823918603</v>
      </c>
      <c r="BE67" s="22">
        <f>BE6*Constants!$H41*(1-Constants!$H59)</f>
        <v>41534268.830558404</v>
      </c>
      <c r="BF67" s="22">
        <f>BF6*Constants!$H41*(1-Constants!$H59)</f>
        <v>42090047.225423567</v>
      </c>
      <c r="BG67" s="22">
        <f>BG6*Constants!$H41*(1-Constants!$H59)</f>
        <v>42662901.489107423</v>
      </c>
      <c r="BH67" s="22">
        <f>BH6*Constants!$H41*(1-Constants!$H59)</f>
        <v>43250560.692254014</v>
      </c>
      <c r="BI67" s="22">
        <f>BI6*Constants!$H41*(1-Constants!$H59)</f>
        <v>43850908.801436417</v>
      </c>
      <c r="BJ67" s="22">
        <f>BJ6*Constants!$H41*(1-Constants!$H59)</f>
        <v>44466210.551506437</v>
      </c>
      <c r="BK67" s="22">
        <f>BK6*Constants!$H41*(1-Constants!$H59)</f>
        <v>45107228.061404184</v>
      </c>
      <c r="BL67" s="22">
        <f>BL6*Constants!$H41*(1-Constants!$H59)</f>
        <v>45765386.554152668</v>
      </c>
      <c r="BM67" s="22">
        <f>BM6*Constants!$H41*(1-Constants!$H59)</f>
        <v>46441382.41469907</v>
      </c>
      <c r="BN67" s="22">
        <f>BN6*Constants!$H41*(1-Constants!$H59)</f>
        <v>47113349.966304272</v>
      </c>
      <c r="BO67" s="22">
        <f>BO6*Constants!$H41*(1-Constants!$H59)</f>
        <v>47804166.100148924</v>
      </c>
      <c r="BP67" s="22">
        <f>BP6*Constants!$H41*(1-Constants!$H59)</f>
        <v>48514890.472011454</v>
      </c>
    </row>
    <row r="68" spans="1:68" x14ac:dyDescent="0.25">
      <c r="A68" t="str">
        <f t="shared" si="28"/>
        <v>3C Aggregated and non-CO2 emissions on land</v>
      </c>
      <c r="B68" t="str">
        <f t="shared" si="29"/>
        <v>3C4 Direct N2O from managed soils (N2O)</v>
      </c>
      <c r="C68" t="s">
        <v>415</v>
      </c>
      <c r="D68" t="str">
        <f t="shared" si="30"/>
        <v xml:space="preserve"> - Non-lactating</v>
      </c>
      <c r="E68" t="str">
        <f t="shared" si="31"/>
        <v>Urine &amp; dung - Non-lactating</v>
      </c>
      <c r="F68" t="str">
        <f t="shared" si="32"/>
        <v>kg N</v>
      </c>
      <c r="H68" s="22">
        <f>H7*Constants!$H42*(1-Constants!$H60)</f>
        <v>22536672.502374578</v>
      </c>
      <c r="I68" s="22">
        <f>I7*Constants!$H42*(1-Constants!$H60)</f>
        <v>25616525.79063822</v>
      </c>
      <c r="J68" s="22">
        <f>J7*Constants!$H42*(1-Constants!$H60)</f>
        <v>22158361.515645087</v>
      </c>
      <c r="K68" s="22">
        <f>K7*Constants!$H42*(1-Constants!$H60)</f>
        <v>23189426.39460196</v>
      </c>
      <c r="L68" s="22">
        <f>L7*Constants!$H42*(1-Constants!$H60)</f>
        <v>20645117.568727165</v>
      </c>
      <c r="M68" s="22">
        <f>M7*Constants!$H42*(1-Constants!$H60)</f>
        <v>22432804.421142988</v>
      </c>
      <c r="N68" s="22">
        <f>N7*Constants!$H42*(1-Constants!$H60)</f>
        <v>22811115.407872468</v>
      </c>
      <c r="O68" s="22">
        <f>O7*Constants!$H42*(1-Constants!$H60)</f>
        <v>22041152.085806556</v>
      </c>
      <c r="P68" s="22">
        <f>P7*Constants!$H42*(1-Constants!$H60)</f>
        <v>20906219.125618115</v>
      </c>
      <c r="Q68" s="22">
        <f>Q7*Constants!$H42*(1-Constants!$H60)</f>
        <v>22027810.737199616</v>
      </c>
      <c r="R68" s="22">
        <f>R7*Constants!$H42*(1-Constants!$H60)</f>
        <v>27300344.561822459</v>
      </c>
      <c r="S68" s="22">
        <f>S7*Constants!$H42*(1-Constants!$H60)</f>
        <v>26922033.575092979</v>
      </c>
      <c r="T68" s="22">
        <f>T7*Constants!$H42*(1-Constants!$H60)</f>
        <v>24716011.690126833</v>
      </c>
      <c r="U68" s="22">
        <f>U7*Constants!$H42*(1-Constants!$H60)</f>
        <v>20906219.125618115</v>
      </c>
      <c r="V68" s="22">
        <f>V7*Constants!$H42*(1-Constants!$H60)</f>
        <v>19510184.608538713</v>
      </c>
      <c r="W68" s="22">
        <f>W7*Constants!$H42*(1-Constants!$H60)</f>
        <v>21297871.460954543</v>
      </c>
      <c r="X68" s="22">
        <f>X7*Constants!$H42*(1-Constants!$H60)</f>
        <v>21036769.90406359</v>
      </c>
      <c r="Y68" s="22">
        <f>Y7*Constants!$H42*(1-Constants!$H60)</f>
        <v>21284530.112347595</v>
      </c>
      <c r="Z68" s="22">
        <f>Z7*Constants!$H42*(1-Constants!$H60)</f>
        <v>24899927.863000095</v>
      </c>
      <c r="AA68" s="22">
        <f>AA7*Constants!$H42*(1-Constants!$H60)</f>
        <v>25917651.393350005</v>
      </c>
      <c r="AB68" s="22">
        <f>AB7*Constants!$H42*(1-Constants!$H60)</f>
        <v>25917651.393350005</v>
      </c>
      <c r="AC68" s="22">
        <f>AC7*Constants!$H42*(1-Constants!$H60)</f>
        <v>24391066.097825136</v>
      </c>
      <c r="AD68" s="22">
        <f>AD7*Constants!$H42*(1-Constants!$H60)</f>
        <v>24816934.969501071</v>
      </c>
      <c r="AE68" s="22">
        <f>AE7*Constants!$H42*(1-Constants!$H60)</f>
        <v>25032374.517854691</v>
      </c>
      <c r="AF68" s="22">
        <f>AF7*Constants!$H42*(1-Constants!$H60)</f>
        <v>25196813.548457492</v>
      </c>
      <c r="AG68" s="22">
        <f>AG7*Constants!$H42*(1-Constants!$H60)</f>
        <v>25308009.432847343</v>
      </c>
      <c r="AH68" s="22">
        <f>AH7*Constants!$H42*(1-Constants!$H60)</f>
        <v>25375850.059741206</v>
      </c>
      <c r="AI68" s="22">
        <f>AI7*Constants!$H42*(1-Constants!$H60)</f>
        <v>25480771.905181926</v>
      </c>
      <c r="AJ68" s="22">
        <f>AJ7*Constants!$H42*(1-Constants!$H60)</f>
        <v>25570645.898906216</v>
      </c>
      <c r="AK68" s="22">
        <f>AK7*Constants!$H42*(1-Constants!$H60)</f>
        <v>25646414.402556717</v>
      </c>
      <c r="AL68" s="22">
        <f>AL7*Constants!$H42*(1-Constants!$H60)</f>
        <v>24903057.996821068</v>
      </c>
      <c r="AM68" s="22">
        <f>AM7*Constants!$H42*(1-Constants!$H60)</f>
        <v>25104766.675931688</v>
      </c>
      <c r="AN68" s="22">
        <f>AN7*Constants!$H42*(1-Constants!$H60)</f>
        <v>25296497.80378047</v>
      </c>
      <c r="AO68" s="22">
        <f>AO7*Constants!$H42*(1-Constants!$H60)</f>
        <v>25488879.154728226</v>
      </c>
      <c r="AP68" s="22">
        <f>AP7*Constants!$H42*(1-Constants!$H60)</f>
        <v>25672902.949795786</v>
      </c>
      <c r="AQ68" s="22">
        <f>AQ7*Constants!$H42*(1-Constants!$H60)</f>
        <v>25864122.081953324</v>
      </c>
      <c r="AR68" s="22">
        <f>AR7*Constants!$H42*(1-Constants!$H60)</f>
        <v>26090579.634623572</v>
      </c>
      <c r="AS68" s="22">
        <f>AS7*Constants!$H42*(1-Constants!$H60)</f>
        <v>26313179.998972699</v>
      </c>
      <c r="AT68" s="22">
        <f>AT7*Constants!$H42*(1-Constants!$H60)</f>
        <v>26544870.80733471</v>
      </c>
      <c r="AU68" s="22">
        <f>AU7*Constants!$H42*(1-Constants!$H60)</f>
        <v>26782615.563647423</v>
      </c>
      <c r="AV68" s="22">
        <f>AV7*Constants!$H42*(1-Constants!$H60)</f>
        <v>27026906.767266713</v>
      </c>
      <c r="AW68" s="22">
        <f>AW7*Constants!$H42*(1-Constants!$H60)</f>
        <v>27317944.525734894</v>
      </c>
      <c r="AX68" s="22">
        <f>AX7*Constants!$H42*(1-Constants!$H60)</f>
        <v>27592148.265587743</v>
      </c>
      <c r="AY68" s="22">
        <f>AY7*Constants!$H42*(1-Constants!$H60)</f>
        <v>27893174.21168692</v>
      </c>
      <c r="AZ68" s="22">
        <f>AZ7*Constants!$H42*(1-Constants!$H60)</f>
        <v>28210873.876751568</v>
      </c>
      <c r="BA68" s="22">
        <f>BA7*Constants!$H42*(1-Constants!$H60)</f>
        <v>28545396.563111935</v>
      </c>
      <c r="BB68" s="22">
        <f>BB7*Constants!$H42*(1-Constants!$H60)</f>
        <v>28884959.587987766</v>
      </c>
      <c r="BC68" s="22">
        <f>BC7*Constants!$H42*(1-Constants!$H60)</f>
        <v>29233750.769863378</v>
      </c>
      <c r="BD68" s="22">
        <f>BD7*Constants!$H42*(1-Constants!$H60)</f>
        <v>29582724.808820564</v>
      </c>
      <c r="BE68" s="22">
        <f>BE7*Constants!$H42*(1-Constants!$H60)</f>
        <v>29940361.624816988</v>
      </c>
      <c r="BF68" s="22">
        <f>BF7*Constants!$H42*(1-Constants!$H60)</f>
        <v>30313488.28954706</v>
      </c>
      <c r="BG68" s="22">
        <f>BG7*Constants!$H42*(1-Constants!$H60)</f>
        <v>30698078.987493508</v>
      </c>
      <c r="BH68" s="22">
        <f>BH7*Constants!$H42*(1-Constants!$H60)</f>
        <v>31092609.110459551</v>
      </c>
      <c r="BI68" s="22">
        <f>BI7*Constants!$H42*(1-Constants!$H60)</f>
        <v>31495658.040979024</v>
      </c>
      <c r="BJ68" s="22">
        <f>BJ7*Constants!$H42*(1-Constants!$H60)</f>
        <v>31908746.228514452</v>
      </c>
      <c r="BK68" s="22">
        <f>BK7*Constants!$H42*(1-Constants!$H60)</f>
        <v>32339098.915325437</v>
      </c>
      <c r="BL68" s="22">
        <f>BL7*Constants!$H42*(1-Constants!$H60)</f>
        <v>32780959.350225195</v>
      </c>
      <c r="BM68" s="22">
        <f>BM7*Constants!$H42*(1-Constants!$H60)</f>
        <v>33234795.057311654</v>
      </c>
      <c r="BN68" s="22">
        <f>BN7*Constants!$H42*(1-Constants!$H60)</f>
        <v>33685926.324114695</v>
      </c>
      <c r="BO68" s="22">
        <f>BO7*Constants!$H42*(1-Constants!$H60)</f>
        <v>34149711.750724718</v>
      </c>
      <c r="BP68" s="22">
        <f>BP7*Constants!$H42*(1-Constants!$H60)</f>
        <v>34626862.746275336</v>
      </c>
    </row>
    <row r="69" spans="1:68" x14ac:dyDescent="0.25">
      <c r="A69" t="str">
        <f t="shared" si="28"/>
        <v>3C Aggregated and non-CO2 emissions on land</v>
      </c>
      <c r="B69" t="str">
        <f t="shared" si="29"/>
        <v>3C4 Direct N2O from managed soils (N2O)</v>
      </c>
      <c r="C69" t="s">
        <v>415</v>
      </c>
      <c r="D69" t="str">
        <f t="shared" si="30"/>
        <v xml:space="preserve"> - Commercial cattle</v>
      </c>
      <c r="E69" t="str">
        <f t="shared" si="31"/>
        <v>Urine &amp; dung - Commercial cattle</v>
      </c>
      <c r="F69" t="str">
        <f t="shared" si="32"/>
        <v>kg N</v>
      </c>
      <c r="H69" s="22">
        <f>H8*Constants!$H43*(1-Constants!$H61)</f>
        <v>559255370.31703663</v>
      </c>
      <c r="I69" s="22">
        <f>I8*Constants!$H43*(1-Constants!$H61)</f>
        <v>535116762.9675647</v>
      </c>
      <c r="J69" s="22">
        <f>J8*Constants!$H43*(1-Constants!$H61)</f>
        <v>534922334.95159727</v>
      </c>
      <c r="K69" s="22">
        <f>K8*Constants!$H43*(1-Constants!$H61)</f>
        <v>500438844.55845898</v>
      </c>
      <c r="L69" s="22">
        <f>L8*Constants!$H43*(1-Constants!$H61)</f>
        <v>515525474.15187901</v>
      </c>
      <c r="M69" s="22">
        <f>M8*Constants!$H43*(1-Constants!$H61)</f>
        <v>527246940.36344963</v>
      </c>
      <c r="N69" s="22">
        <f>N8*Constants!$H43*(1-Constants!$H61)</f>
        <v>549118861.60271931</v>
      </c>
      <c r="O69" s="22">
        <f>O8*Constants!$H43*(1-Constants!$H61)</f>
        <v>569920198.19710505</v>
      </c>
      <c r="P69" s="22">
        <f>P8*Constants!$H43*(1-Constants!$H61)</f>
        <v>574856372.76282609</v>
      </c>
      <c r="Q69" s="22">
        <f>Q8*Constants!$H43*(1-Constants!$H61)</f>
        <v>565554181.73728025</v>
      </c>
      <c r="R69" s="22">
        <f>R8*Constants!$H43*(1-Constants!$H61)</f>
        <v>527135369.85639662</v>
      </c>
      <c r="S69" s="22">
        <f>S8*Constants!$H43*(1-Constants!$H61)</f>
        <v>529874589.8788234</v>
      </c>
      <c r="T69" s="22">
        <f>T8*Constants!$H43*(1-Constants!$H61)</f>
        <v>493847980.92857671</v>
      </c>
      <c r="U69" s="22">
        <f>U8*Constants!$H43*(1-Constants!$H61)</f>
        <v>506765548.60546583</v>
      </c>
      <c r="V69" s="22">
        <f>V8*Constants!$H43*(1-Constants!$H61)</f>
        <v>511437563.5883112</v>
      </c>
      <c r="W69" s="22">
        <f>W8*Constants!$H43*(1-Constants!$H61)</f>
        <v>515775687.42137289</v>
      </c>
      <c r="X69" s="22">
        <f>X8*Constants!$H43*(1-Constants!$H61)</f>
        <v>504026328.58303899</v>
      </c>
      <c r="Y69" s="22">
        <f>Y8*Constants!$H43*(1-Constants!$H61)</f>
        <v>518793013.34005684</v>
      </c>
      <c r="Z69" s="22">
        <f>Z8*Constants!$H43*(1-Constants!$H61)</f>
        <v>504376811.74388993</v>
      </c>
      <c r="AA69" s="22">
        <f>AA8*Constants!$H43*(1-Constants!$H61)</f>
        <v>495907981.30717754</v>
      </c>
      <c r="AB69" s="22">
        <f>AB8*Constants!$H43*(1-Constants!$H61)</f>
        <v>494349036.41895235</v>
      </c>
      <c r="AC69" s="22">
        <f>AC8*Constants!$H43*(1-Constants!$H61)</f>
        <v>492573930.50973994</v>
      </c>
      <c r="AD69" s="22">
        <f>AD8*Constants!$H43*(1-Constants!$H61)</f>
        <v>488853361.18483955</v>
      </c>
      <c r="AE69" s="22">
        <f>AE8*Constants!$H43*(1-Constants!$H61)</f>
        <v>486106092.22441149</v>
      </c>
      <c r="AF69" s="22">
        <f>AF8*Constants!$H43*(1-Constants!$H61)</f>
        <v>484164160.78061521</v>
      </c>
      <c r="AG69" s="22">
        <f>AG8*Constants!$H43*(1-Constants!$H61)</f>
        <v>482994478.18396538</v>
      </c>
      <c r="AH69" s="22">
        <f>AH8*Constants!$H43*(1-Constants!$H61)</f>
        <v>482454086.30942112</v>
      </c>
      <c r="AI69" s="22">
        <f>AI8*Constants!$H43*(1-Constants!$H61)</f>
        <v>481425663.42249256</v>
      </c>
      <c r="AJ69" s="22">
        <f>AJ8*Constants!$H43*(1-Constants!$H61)</f>
        <v>480608625.66426235</v>
      </c>
      <c r="AK69" s="22">
        <f>AK8*Constants!$H43*(1-Constants!$H61)</f>
        <v>479983559.91733539</v>
      </c>
      <c r="AL69" s="22">
        <f>AL8*Constants!$H43*(1-Constants!$H61)</f>
        <v>490766093.81348979</v>
      </c>
      <c r="AM69" s="22">
        <f>AM8*Constants!$H43*(1-Constants!$H61)</f>
        <v>488189099.60195237</v>
      </c>
      <c r="AN69" s="22">
        <f>AN8*Constants!$H43*(1-Constants!$H61)</f>
        <v>485844439.29016811</v>
      </c>
      <c r="AO69" s="22">
        <f>AO8*Constants!$H43*(1-Constants!$H61)</f>
        <v>483567206.91512686</v>
      </c>
      <c r="AP69" s="22">
        <f>AP8*Constants!$H43*(1-Constants!$H61)</f>
        <v>481472541.1509831</v>
      </c>
      <c r="AQ69" s="22">
        <f>AQ8*Constants!$H43*(1-Constants!$H61)</f>
        <v>479346546.69894761</v>
      </c>
      <c r="AR69" s="22">
        <f>AR8*Constants!$H43*(1-Constants!$H61)</f>
        <v>476874699.99544287</v>
      </c>
      <c r="AS69" s="22">
        <f>AS8*Constants!$H43*(1-Constants!$H61)</f>
        <v>474533703.13646311</v>
      </c>
      <c r="AT69" s="22">
        <f>AT8*Constants!$H43*(1-Constants!$H61)</f>
        <v>472163413.20958275</v>
      </c>
      <c r="AU69" s="22">
        <f>AU8*Constants!$H43*(1-Constants!$H61)</f>
        <v>469803260.11771369</v>
      </c>
      <c r="AV69" s="22">
        <f>AV8*Constants!$H43*(1-Constants!$H61)</f>
        <v>467449505.75375938</v>
      </c>
      <c r="AW69" s="22">
        <f>AW8*Constants!$H43*(1-Constants!$H61)</f>
        <v>471799116.23565</v>
      </c>
      <c r="AX69" s="22">
        <f>AX8*Constants!$H43*(1-Constants!$H61)</f>
        <v>473857899.43725997</v>
      </c>
      <c r="AY69" s="22">
        <f>AY8*Constants!$H43*(1-Constants!$H61)</f>
        <v>476618493.77930862</v>
      </c>
      <c r="AZ69" s="22">
        <f>AZ8*Constants!$H43*(1-Constants!$H61)</f>
        <v>479257296.20056152</v>
      </c>
      <c r="BA69" s="22">
        <f>BA8*Constants!$H43*(1-Constants!$H61)</f>
        <v>481674275.73072481</v>
      </c>
      <c r="BB69" s="22">
        <f>BB8*Constants!$H43*(1-Constants!$H61)</f>
        <v>482989671.57786047</v>
      </c>
      <c r="BC69" s="22">
        <f>BC8*Constants!$H43*(1-Constants!$H61)</f>
        <v>483484230.9642337</v>
      </c>
      <c r="BD69" s="22">
        <f>BD8*Constants!$H43*(1-Constants!$H61)</f>
        <v>482599056.74846578</v>
      </c>
      <c r="BE69" s="22">
        <f>BE8*Constants!$H43*(1-Constants!$H61)</f>
        <v>480781716.99496561</v>
      </c>
      <c r="BF69" s="22">
        <f>BF8*Constants!$H43*(1-Constants!$H61)</f>
        <v>478321845.01899225</v>
      </c>
      <c r="BG69" s="22">
        <f>BG8*Constants!$H43*(1-Constants!$H61)</f>
        <v>480050162.3223049</v>
      </c>
      <c r="BH69" s="22">
        <f>BH8*Constants!$H43*(1-Constants!$H61)</f>
        <v>481104772.02246749</v>
      </c>
      <c r="BI69" s="22">
        <f>BI8*Constants!$H43*(1-Constants!$H61)</f>
        <v>481371738.23379546</v>
      </c>
      <c r="BJ69" s="22">
        <f>BJ8*Constants!$H43*(1-Constants!$H61)</f>
        <v>480876385.63839316</v>
      </c>
      <c r="BK69" s="22">
        <f>BK8*Constants!$H43*(1-Constants!$H61)</f>
        <v>479876805.13043922</v>
      </c>
      <c r="BL69" s="22">
        <f>BL8*Constants!$H43*(1-Constants!$H61)</f>
        <v>478103064.62899601</v>
      </c>
      <c r="BM69" s="22">
        <f>BM8*Constants!$H43*(1-Constants!$H61)</f>
        <v>475462537.37286544</v>
      </c>
      <c r="BN69" s="22">
        <f>BN8*Constants!$H43*(1-Constants!$H61)</f>
        <v>471343919.87166798</v>
      </c>
      <c r="BO69" s="22">
        <f>BO8*Constants!$H43*(1-Constants!$H61)</f>
        <v>466313357.29159886</v>
      </c>
      <c r="BP69" s="22">
        <f>BP8*Constants!$H43*(1-Constants!$H61)</f>
        <v>460333115.77373785</v>
      </c>
    </row>
    <row r="70" spans="1:68" x14ac:dyDescent="0.25">
      <c r="A70" t="str">
        <f t="shared" si="28"/>
        <v>3C Aggregated and non-CO2 emissions on land</v>
      </c>
      <c r="B70" t="str">
        <f t="shared" si="29"/>
        <v>3C4 Direct N2O from managed soils (N2O)</v>
      </c>
      <c r="C70" t="s">
        <v>415</v>
      </c>
      <c r="D70" t="str">
        <f t="shared" si="30"/>
        <v xml:space="preserve"> - Subsistence cattle</v>
      </c>
      <c r="E70" t="str">
        <f t="shared" si="31"/>
        <v>Urine &amp; dung - Subsistence cattle</v>
      </c>
      <c r="F70" t="str">
        <f t="shared" si="32"/>
        <v>kg N</v>
      </c>
      <c r="H70" s="22">
        <f>H9*Constants!$H44*(1-Constants!$H62)</f>
        <v>330989233.74116176</v>
      </c>
      <c r="I70" s="22">
        <f>I9*Constants!$H44*(1-Constants!$H62)</f>
        <v>356584183.27474904</v>
      </c>
      <c r="J70" s="22">
        <f>J9*Constants!$H44*(1-Constants!$H62)</f>
        <v>360074403.66569275</v>
      </c>
      <c r="K70" s="22">
        <f>K9*Constants!$H44*(1-Constants!$H62)</f>
        <v>360074403.66569269</v>
      </c>
      <c r="L70" s="22">
        <f>L9*Constants!$H44*(1-Constants!$H62)</f>
        <v>316446648.77889633</v>
      </c>
      <c r="M70" s="22">
        <f>M9*Constants!$H44*(1-Constants!$H62)</f>
        <v>312374724.98946202</v>
      </c>
      <c r="N70" s="22">
        <f>N9*Constants!$H44*(1-Constants!$H62)</f>
        <v>319936869.1698401</v>
      </c>
      <c r="O70" s="22">
        <f>O9*Constants!$H44*(1-Constants!$H62)</f>
        <v>329244123.54568994</v>
      </c>
      <c r="P70" s="22">
        <f>P9*Constants!$H44*(1-Constants!$H62)</f>
        <v>343786708.50795549</v>
      </c>
      <c r="Q70" s="22">
        <f>Q9*Constants!$H44*(1-Constants!$H62)</f>
        <v>356002479.87625837</v>
      </c>
      <c r="R70" s="22">
        <f>R9*Constants!$H44*(1-Constants!$H62)</f>
        <v>365891437.65059894</v>
      </c>
      <c r="S70" s="22">
        <f>S9*Constants!$H44*(1-Constants!$H62)</f>
        <v>358329293.47022092</v>
      </c>
      <c r="T70" s="22">
        <f>T9*Constants!$H44*(1-Constants!$H62)</f>
        <v>386832759.99626118</v>
      </c>
      <c r="U70" s="22">
        <f>U9*Constants!$H44*(1-Constants!$H62)</f>
        <v>386251056.59777063</v>
      </c>
      <c r="V70" s="22">
        <f>V9*Constants!$H44*(1-Constants!$H62)</f>
        <v>378107209.01890194</v>
      </c>
      <c r="W70" s="22">
        <f>W9*Constants!$H44*(1-Constants!$H62)</f>
        <v>373453581.83097696</v>
      </c>
      <c r="X70" s="22">
        <f>X9*Constants!$H44*(1-Constants!$H62)</f>
        <v>382179132.80833626</v>
      </c>
      <c r="Y70" s="22">
        <f>Y9*Constants!$H44*(1-Constants!$H62)</f>
        <v>394976607.57512981</v>
      </c>
      <c r="Z70" s="22">
        <f>Z9*Constants!$H44*(1-Constants!$H62)</f>
        <v>402538751.75550789</v>
      </c>
      <c r="AA70" s="22">
        <f>AA9*Constants!$H44*(1-Constants!$H62)</f>
        <v>401375344.95852667</v>
      </c>
      <c r="AB70" s="22">
        <f>AB9*Constants!$H44*(1-Constants!$H62)</f>
        <v>396721717.77060175</v>
      </c>
      <c r="AC70" s="22">
        <f>AC9*Constants!$H44*(1-Constants!$H62)</f>
        <v>395558310.97362047</v>
      </c>
      <c r="AD70" s="22">
        <f>AD9*Constants!$H44*(1-Constants!$H62)</f>
        <v>392492022.07329452</v>
      </c>
      <c r="AE70" s="22">
        <f>AE9*Constants!$H44*(1-Constants!$H62)</f>
        <v>393521398.20373422</v>
      </c>
      <c r="AF70" s="22">
        <f>AF9*Constants!$H44*(1-Constants!$H62)</f>
        <v>394560122.70881987</v>
      </c>
      <c r="AG70" s="22">
        <f>AG9*Constants!$H44*(1-Constants!$H62)</f>
        <v>395608280.48667437</v>
      </c>
      <c r="AH70" s="22">
        <f>AH9*Constants!$H44*(1-Constants!$H62)</f>
        <v>396750649.61100411</v>
      </c>
      <c r="AI70" s="22">
        <f>AI9*Constants!$H44*(1-Constants!$H62)</f>
        <v>397893018.73533386</v>
      </c>
      <c r="AJ70" s="22">
        <f>AJ9*Constants!$H44*(1-Constants!$H62)</f>
        <v>399035387.85966355</v>
      </c>
      <c r="AK70" s="22">
        <f>AK9*Constants!$H44*(1-Constants!$H62)</f>
        <v>400177756.98399329</v>
      </c>
      <c r="AL70" s="22">
        <f>AL9*Constants!$H44*(1-Constants!$H62)</f>
        <v>401320126.10832304</v>
      </c>
      <c r="AM70" s="22">
        <f>AM9*Constants!$H44*(1-Constants!$H62)</f>
        <v>402478040.47906703</v>
      </c>
      <c r="AN70" s="22">
        <f>AN9*Constants!$H44*(1-Constants!$H62)</f>
        <v>403635954.82843786</v>
      </c>
      <c r="AO70" s="22">
        <f>AO9*Constants!$H44*(1-Constants!$H62)</f>
        <v>404793869.17780852</v>
      </c>
      <c r="AP70" s="22">
        <f>AP9*Constants!$H44*(1-Constants!$H62)</f>
        <v>405951783.52717936</v>
      </c>
      <c r="AQ70" s="22">
        <f>AQ9*Constants!$H44*(1-Constants!$H62)</f>
        <v>407109697.89792329</v>
      </c>
      <c r="AR70" s="22">
        <f>AR9*Constants!$H44*(1-Constants!$H62)</f>
        <v>408364173.88356769</v>
      </c>
      <c r="AS70" s="22">
        <f>AS9*Constants!$H44*(1-Constants!$H62)</f>
        <v>409618649.86921191</v>
      </c>
      <c r="AT70" s="22">
        <f>AT9*Constants!$H44*(1-Constants!$H62)</f>
        <v>410873125.85485619</v>
      </c>
      <c r="AU70" s="22">
        <f>AU9*Constants!$H44*(1-Constants!$H62)</f>
        <v>412127601.84050053</v>
      </c>
      <c r="AV70" s="22">
        <f>AV9*Constants!$H44*(1-Constants!$H62)</f>
        <v>413382077.82614487</v>
      </c>
      <c r="AW70" s="22">
        <f>AW9*Constants!$H44*(1-Constants!$H62)</f>
        <v>414593964.18137133</v>
      </c>
      <c r="AX70" s="22">
        <f>AX9*Constants!$H44*(1-Constants!$H62)</f>
        <v>415805850.51522475</v>
      </c>
      <c r="AY70" s="22">
        <f>AY9*Constants!$H44*(1-Constants!$H62)</f>
        <v>417017736.87045133</v>
      </c>
      <c r="AZ70" s="22">
        <f>AZ9*Constants!$H44*(1-Constants!$H62)</f>
        <v>418229623.2043047</v>
      </c>
      <c r="BA70" s="22">
        <f>BA9*Constants!$H44*(1-Constants!$H62)</f>
        <v>419441509.53815806</v>
      </c>
      <c r="BB70" s="22">
        <f>BB9*Constants!$H44*(1-Constants!$H62)</f>
        <v>420701040.81411785</v>
      </c>
      <c r="BC70" s="22">
        <f>BC9*Constants!$H44*(1-Constants!$H62)</f>
        <v>421960572.0900777</v>
      </c>
      <c r="BD70" s="22">
        <f>BD9*Constants!$H44*(1-Constants!$H62)</f>
        <v>423220103.34466428</v>
      </c>
      <c r="BE70" s="22">
        <f>BE9*Constants!$H44*(1-Constants!$H62)</f>
        <v>424479634.62062418</v>
      </c>
      <c r="BF70" s="22">
        <f>BF9*Constants!$H44*(1-Constants!$H62)</f>
        <v>425739165.89658397</v>
      </c>
      <c r="BG70" s="22">
        <f>BG9*Constants!$H44*(1-Constants!$H62)</f>
        <v>427176956.55701643</v>
      </c>
      <c r="BH70" s="22">
        <f>BH9*Constants!$H44*(1-Constants!$H62)</f>
        <v>428614747.19607562</v>
      </c>
      <c r="BI70" s="22">
        <f>BI9*Constants!$H44*(1-Constants!$H62)</f>
        <v>430052537.85650808</v>
      </c>
      <c r="BJ70" s="22">
        <f>BJ9*Constants!$H44*(1-Constants!$H62)</f>
        <v>431490328.51694053</v>
      </c>
      <c r="BK70" s="22">
        <f>BK9*Constants!$H44*(1-Constants!$H62)</f>
        <v>432928119.17737299</v>
      </c>
      <c r="BL70" s="22">
        <f>BL9*Constants!$H44*(1-Constants!$H62)</f>
        <v>434315164.23328555</v>
      </c>
      <c r="BM70" s="22">
        <f>BM9*Constants!$H44*(1-Constants!$H62)</f>
        <v>435702209.2891981</v>
      </c>
      <c r="BN70" s="22">
        <f>BN9*Constants!$H44*(1-Constants!$H62)</f>
        <v>437089254.36648393</v>
      </c>
      <c r="BO70" s="22">
        <f>BO9*Constants!$H44*(1-Constants!$H62)</f>
        <v>438476299.42239648</v>
      </c>
      <c r="BP70" s="22">
        <f>BP9*Constants!$H44*(1-Constants!$H62)</f>
        <v>439863344.47830904</v>
      </c>
    </row>
    <row r="71" spans="1:68" x14ac:dyDescent="0.25">
      <c r="A71" t="str">
        <f t="shared" si="28"/>
        <v>3C Aggregated and non-CO2 emissions on land</v>
      </c>
      <c r="B71" t="str">
        <f t="shared" si="29"/>
        <v>3C4 Direct N2O from managed soils (N2O)</v>
      </c>
      <c r="C71" t="s">
        <v>415</v>
      </c>
      <c r="D71" t="str">
        <f t="shared" si="30"/>
        <v xml:space="preserve"> - Feedlot</v>
      </c>
      <c r="E71" t="str">
        <f t="shared" si="31"/>
        <v>Urine &amp; dung - Feedlot</v>
      </c>
      <c r="F71" t="str">
        <f t="shared" si="32"/>
        <v>kg N</v>
      </c>
      <c r="H71" s="22">
        <f>H10*Constants!$H45*(1-Constants!$H63)</f>
        <v>0</v>
      </c>
      <c r="I71" s="22">
        <f>I10*Constants!$H45*(1-Constants!$H63)</f>
        <v>0</v>
      </c>
      <c r="J71" s="22">
        <f>J10*Constants!$H45*(1-Constants!$H63)</f>
        <v>0</v>
      </c>
      <c r="K71" s="22">
        <f>K10*Constants!$H45*(1-Constants!$H63)</f>
        <v>0</v>
      </c>
      <c r="L71" s="22">
        <f>L10*Constants!$H45*(1-Constants!$H63)</f>
        <v>0</v>
      </c>
      <c r="M71" s="22">
        <f>M10*Constants!$H45*(1-Constants!$H63)</f>
        <v>0</v>
      </c>
      <c r="N71" s="22">
        <f>N10*Constants!$H45*(1-Constants!$H63)</f>
        <v>0</v>
      </c>
      <c r="O71" s="22">
        <f>O10*Constants!$H45*(1-Constants!$H63)</f>
        <v>0</v>
      </c>
      <c r="P71" s="22">
        <f>P10*Constants!$H45*(1-Constants!$H63)</f>
        <v>0</v>
      </c>
      <c r="Q71" s="22">
        <f>Q10*Constants!$H45*(1-Constants!$H63)</f>
        <v>0</v>
      </c>
      <c r="R71" s="22">
        <f>R10*Constants!$H45*(1-Constants!$H63)</f>
        <v>0</v>
      </c>
      <c r="S71" s="22">
        <f>S10*Constants!$H45*(1-Constants!$H63)</f>
        <v>0</v>
      </c>
      <c r="T71" s="22">
        <f>T10*Constants!$H45*(1-Constants!$H63)</f>
        <v>0</v>
      </c>
      <c r="U71" s="22">
        <f>U10*Constants!$H45*(1-Constants!$H63)</f>
        <v>0</v>
      </c>
      <c r="V71" s="22">
        <f>V10*Constants!$H45*(1-Constants!$H63)</f>
        <v>0</v>
      </c>
      <c r="W71" s="22">
        <f>W10*Constants!$H45*(1-Constants!$H63)</f>
        <v>0</v>
      </c>
      <c r="X71" s="22">
        <f>X10*Constants!$H45*(1-Constants!$H63)</f>
        <v>0</v>
      </c>
      <c r="Y71" s="22">
        <f>Y10*Constants!$H45*(1-Constants!$H63)</f>
        <v>0</v>
      </c>
      <c r="Z71" s="22">
        <f>Z10*Constants!$H45*(1-Constants!$H63)</f>
        <v>0</v>
      </c>
      <c r="AA71" s="22">
        <f>AA10*Constants!$H45*(1-Constants!$H63)</f>
        <v>0</v>
      </c>
      <c r="AB71" s="22">
        <f>AB10*Constants!$H45*(1-Constants!$H63)</f>
        <v>0</v>
      </c>
      <c r="AC71" s="22">
        <f>AC10*Constants!$H45*(1-Constants!$H63)</f>
        <v>0</v>
      </c>
      <c r="AD71" s="22">
        <f>AD10*Constants!$H45*(1-Constants!$H63)</f>
        <v>0</v>
      </c>
      <c r="AE71" s="22">
        <f>AE10*Constants!$H45*(1-Constants!$H63)</f>
        <v>0</v>
      </c>
      <c r="AF71" s="22">
        <f>AF10*Constants!$H45*(1-Constants!$H63)</f>
        <v>0</v>
      </c>
      <c r="AG71" s="22">
        <f>AG10*Constants!$H45*(1-Constants!$H63)</f>
        <v>0</v>
      </c>
      <c r="AH71" s="22">
        <f>AH10*Constants!$H45*(1-Constants!$H63)</f>
        <v>0</v>
      </c>
      <c r="AI71" s="22">
        <f>AI10*Constants!$H45*(1-Constants!$H63)</f>
        <v>0</v>
      </c>
      <c r="AJ71" s="22">
        <f>AJ10*Constants!$H45*(1-Constants!$H63)</f>
        <v>0</v>
      </c>
      <c r="AK71" s="22">
        <f>AK10*Constants!$H45*(1-Constants!$H63)</f>
        <v>0</v>
      </c>
      <c r="AL71" s="22">
        <f>AL10*Constants!$H45*(1-Constants!$H63)</f>
        <v>0</v>
      </c>
      <c r="AM71" s="22">
        <f>AM10*Constants!$H45*(1-Constants!$H63)</f>
        <v>0</v>
      </c>
      <c r="AN71" s="22">
        <f>AN10*Constants!$H45*(1-Constants!$H63)</f>
        <v>0</v>
      </c>
      <c r="AO71" s="22">
        <f>AO10*Constants!$H45*(1-Constants!$H63)</f>
        <v>0</v>
      </c>
      <c r="AP71" s="22">
        <f>AP10*Constants!$H45*(1-Constants!$H63)</f>
        <v>0</v>
      </c>
      <c r="AQ71" s="22">
        <f>AQ10*Constants!$H45*(1-Constants!$H63)</f>
        <v>0</v>
      </c>
      <c r="AR71" s="22">
        <f>AR10*Constants!$H45*(1-Constants!$H63)</f>
        <v>0</v>
      </c>
      <c r="AS71" s="22">
        <f>AS10*Constants!$H45*(1-Constants!$H63)</f>
        <v>0</v>
      </c>
      <c r="AT71" s="22">
        <f>AT10*Constants!$H45*(1-Constants!$H63)</f>
        <v>0</v>
      </c>
      <c r="AU71" s="22">
        <f>AU10*Constants!$H45*(1-Constants!$H63)</f>
        <v>0</v>
      </c>
      <c r="AV71" s="22">
        <f>AV10*Constants!$H45*(1-Constants!$H63)</f>
        <v>0</v>
      </c>
      <c r="AW71" s="22">
        <f>AW10*Constants!$H45*(1-Constants!$H63)</f>
        <v>0</v>
      </c>
      <c r="AX71" s="22">
        <f>AX10*Constants!$H45*(1-Constants!$H63)</f>
        <v>0</v>
      </c>
      <c r="AY71" s="22">
        <f>AY10*Constants!$H45*(1-Constants!$H63)</f>
        <v>0</v>
      </c>
      <c r="AZ71" s="22">
        <f>AZ10*Constants!$H45*(1-Constants!$H63)</f>
        <v>0</v>
      </c>
      <c r="BA71" s="22">
        <f>BA10*Constants!$H45*(1-Constants!$H63)</f>
        <v>0</v>
      </c>
      <c r="BB71" s="22">
        <f>BB10*Constants!$H45*(1-Constants!$H63)</f>
        <v>0</v>
      </c>
      <c r="BC71" s="22">
        <f>BC10*Constants!$H45*(1-Constants!$H63)</f>
        <v>0</v>
      </c>
      <c r="BD71" s="22">
        <f>BD10*Constants!$H45*(1-Constants!$H63)</f>
        <v>0</v>
      </c>
      <c r="BE71" s="22">
        <f>BE10*Constants!$H45*(1-Constants!$H63)</f>
        <v>0</v>
      </c>
      <c r="BF71" s="22">
        <f>BF10*Constants!$H45*(1-Constants!$H63)</f>
        <v>0</v>
      </c>
      <c r="BG71" s="22">
        <f>BG10*Constants!$H45*(1-Constants!$H63)</f>
        <v>0</v>
      </c>
      <c r="BH71" s="22">
        <f>BH10*Constants!$H45*(1-Constants!$H63)</f>
        <v>0</v>
      </c>
      <c r="BI71" s="22">
        <f>BI10*Constants!$H45*(1-Constants!$H63)</f>
        <v>0</v>
      </c>
      <c r="BJ71" s="22">
        <f>BJ10*Constants!$H45*(1-Constants!$H63)</f>
        <v>0</v>
      </c>
      <c r="BK71" s="22">
        <f>BK10*Constants!$H45*(1-Constants!$H63)</f>
        <v>0</v>
      </c>
      <c r="BL71" s="22">
        <f>BL10*Constants!$H45*(1-Constants!$H63)</f>
        <v>0</v>
      </c>
      <c r="BM71" s="22">
        <f>BM10*Constants!$H45*(1-Constants!$H63)</f>
        <v>0</v>
      </c>
      <c r="BN71" s="22">
        <f>BN10*Constants!$H45*(1-Constants!$H63)</f>
        <v>0</v>
      </c>
      <c r="BO71" s="22">
        <f>BO10*Constants!$H45*(1-Constants!$H63)</f>
        <v>0</v>
      </c>
      <c r="BP71" s="22">
        <f>BP10*Constants!$H45*(1-Constants!$H63)</f>
        <v>0</v>
      </c>
    </row>
    <row r="72" spans="1:68" x14ac:dyDescent="0.25">
      <c r="A72" t="str">
        <f t="shared" si="28"/>
        <v>3C Aggregated and non-CO2 emissions on land</v>
      </c>
      <c r="B72" t="str">
        <f t="shared" si="29"/>
        <v>3C4 Direct N2O from managed soils (N2O)</v>
      </c>
      <c r="C72" t="s">
        <v>415</v>
      </c>
      <c r="D72" t="str">
        <f t="shared" si="30"/>
        <v xml:space="preserve"> - Commercial sheep</v>
      </c>
      <c r="E72" t="str">
        <f t="shared" si="31"/>
        <v>Urine &amp; dung - Commercial sheep</v>
      </c>
      <c r="F72" t="str">
        <f t="shared" si="32"/>
        <v>kg N</v>
      </c>
      <c r="H72" s="22">
        <f>H11*Constants!$H46*(1-Constants!$H64)</f>
        <v>581876225.33466685</v>
      </c>
      <c r="I72" s="22">
        <f>I11*Constants!$H46*(1-Constants!$H64)</f>
        <v>555712272.17575133</v>
      </c>
      <c r="J72" s="22">
        <f>J11*Constants!$H46*(1-Constants!$H64)</f>
        <v>532750880.04889882</v>
      </c>
      <c r="K72" s="22">
        <f>K11*Constants!$H46*(1-Constants!$H64)</f>
        <v>498240858.74581867</v>
      </c>
      <c r="L72" s="22">
        <f>L11*Constants!$H46*(1-Constants!$H64)</f>
        <v>501753971.15068793</v>
      </c>
      <c r="M72" s="22">
        <f>M11*Constants!$H46*(1-Constants!$H64)</f>
        <v>494572470.65454638</v>
      </c>
      <c r="N72" s="22">
        <f>N11*Constants!$H46*(1-Constants!$H64)</f>
        <v>496222274.82257891</v>
      </c>
      <c r="O72" s="22">
        <f>O11*Constants!$H46*(1-Constants!$H64)</f>
        <v>485430614.61756623</v>
      </c>
      <c r="P72" s="22">
        <f>P11*Constants!$H46*(1-Constants!$H64)</f>
        <v>486769867.41279262</v>
      </c>
      <c r="Q72" s="22">
        <f>Q11*Constants!$H46*(1-Constants!$H64)</f>
        <v>474813639.55975699</v>
      </c>
      <c r="R72" s="22">
        <f>R11*Constants!$H46*(1-Constants!$H64)</f>
        <v>457791542.43782157</v>
      </c>
      <c r="S72" s="22">
        <f>S11*Constants!$H46*(1-Constants!$H64)</f>
        <v>446378779.48719668</v>
      </c>
      <c r="T72" s="22">
        <f>T11*Constants!$H46*(1-Constants!$H64)</f>
        <v>438925546.53984982</v>
      </c>
      <c r="U72" s="22">
        <f>U11*Constants!$H46*(1-Constants!$H64)</f>
        <v>440458893.94308001</v>
      </c>
      <c r="V72" s="22">
        <f>V11*Constants!$H46*(1-Constants!$H64)</f>
        <v>432617471.77972549</v>
      </c>
      <c r="W72" s="22">
        <f>W11*Constants!$H46*(1-Constants!$H64)</f>
        <v>431588770.35730517</v>
      </c>
      <c r="X72" s="22">
        <f>X11*Constants!$H46*(1-Constants!$H64)</f>
        <v>425940617.26439387</v>
      </c>
      <c r="Y72" s="22">
        <f>Y11*Constants!$H46*(1-Constants!$H64)</f>
        <v>425533018.58758587</v>
      </c>
      <c r="Z72" s="22">
        <f>Z11*Constants!$H46*(1-Constants!$H64)</f>
        <v>426911090.30441302</v>
      </c>
      <c r="AA72" s="22">
        <f>AA11*Constants!$H46*(1-Constants!$H64)</f>
        <v>425397152.36198318</v>
      </c>
      <c r="AB72" s="22">
        <f>AB11*Constants!$H46*(1-Constants!$H64)</f>
        <v>417167540.98262095</v>
      </c>
      <c r="AC72" s="22">
        <f>AC11*Constants!$H46*(1-Constants!$H64)</f>
        <v>413906751.56815672</v>
      </c>
      <c r="AD72" s="22">
        <f>AD11*Constants!$H46*(1-Constants!$H64)</f>
        <v>424952496.81995219</v>
      </c>
      <c r="AE72" s="22">
        <f>AE11*Constants!$H46*(1-Constants!$H64)</f>
        <v>423549539.41653073</v>
      </c>
      <c r="AF72" s="22">
        <f>AF11*Constants!$H46*(1-Constants!$H64)</f>
        <v>422181683.12512952</v>
      </c>
      <c r="AG72" s="22">
        <f>AG11*Constants!$H46*(1-Constants!$H64)</f>
        <v>420849702.16750246</v>
      </c>
      <c r="AH72" s="22">
        <f>AH11*Constants!$H46*(1-Constants!$H64)</f>
        <v>419446677.08375418</v>
      </c>
      <c r="AI72" s="22">
        <f>AI11*Constants!$H46*(1-Constants!$H64)</f>
        <v>418043401.7988711</v>
      </c>
      <c r="AJ72" s="22">
        <f>AJ11*Constants!$H46*(1-Constants!$H64)</f>
        <v>416667463.45501053</v>
      </c>
      <c r="AK72" s="22">
        <f>AK11*Constants!$H46*(1-Constants!$H64)</f>
        <v>415317535.77604812</v>
      </c>
      <c r="AL72" s="22">
        <f>AL11*Constants!$H46*(1-Constants!$H64)</f>
        <v>414387134.898058</v>
      </c>
      <c r="AM72" s="22">
        <f>AM11*Constants!$H46*(1-Constants!$H64)</f>
        <v>412991063.93630707</v>
      </c>
      <c r="AN72" s="22">
        <f>AN11*Constants!$H46*(1-Constants!$H64)</f>
        <v>411618229.03232121</v>
      </c>
      <c r="AO72" s="22">
        <f>AO11*Constants!$H46*(1-Constants!$H64)</f>
        <v>410263140.11208975</v>
      </c>
      <c r="AP72" s="22">
        <f>AP11*Constants!$H46*(1-Constants!$H64)</f>
        <v>408929536.03059345</v>
      </c>
      <c r="AQ72" s="22">
        <f>AQ11*Constants!$H46*(1-Constants!$H64)</f>
        <v>407609700.62948442</v>
      </c>
      <c r="AR72" s="22">
        <f>AR11*Constants!$H46*(1-Constants!$H64)</f>
        <v>406189680.87422311</v>
      </c>
      <c r="AS72" s="22">
        <f>AS11*Constants!$H46*(1-Constants!$H64)</f>
        <v>404790564.61938077</v>
      </c>
      <c r="AT72" s="22">
        <f>AT11*Constants!$H46*(1-Constants!$H64)</f>
        <v>403405838.45650446</v>
      </c>
      <c r="AU72" s="22">
        <f>AU11*Constants!$H46*(1-Constants!$H64)</f>
        <v>402036434.28010088</v>
      </c>
      <c r="AV72" s="22">
        <f>AV11*Constants!$H46*(1-Constants!$H64)</f>
        <v>400681660.20732242</v>
      </c>
      <c r="AW72" s="22">
        <f>AW11*Constants!$H46*(1-Constants!$H64)</f>
        <v>399363648.27626598</v>
      </c>
      <c r="AX72" s="22">
        <f>AX11*Constants!$H46*(1-Constants!$H64)</f>
        <v>399363648.27626598</v>
      </c>
      <c r="AY72" s="22">
        <f>AY11*Constants!$H46*(1-Constants!$H64)</f>
        <v>399363648.27626598</v>
      </c>
      <c r="AZ72" s="22">
        <f>AZ11*Constants!$H46*(1-Constants!$H64)</f>
        <v>399363648.27626598</v>
      </c>
      <c r="BA72" s="22">
        <f>BA11*Constants!$H46*(1-Constants!$H64)</f>
        <v>399363648.27626598</v>
      </c>
      <c r="BB72" s="22">
        <f>BB11*Constants!$H46*(1-Constants!$H64)</f>
        <v>399363648.27626598</v>
      </c>
      <c r="BC72" s="22">
        <f>BC11*Constants!$H46*(1-Constants!$H64)</f>
        <v>399363648.27626598</v>
      </c>
      <c r="BD72" s="22">
        <f>BD11*Constants!$H46*(1-Constants!$H64)</f>
        <v>399363648.27626598</v>
      </c>
      <c r="BE72" s="22">
        <f>BE11*Constants!$H46*(1-Constants!$H64)</f>
        <v>399363648.27626598</v>
      </c>
      <c r="BF72" s="22">
        <f>BF11*Constants!$H46*(1-Constants!$H64)</f>
        <v>399363648.27626598</v>
      </c>
      <c r="BG72" s="22">
        <f>BG11*Constants!$H46*(1-Constants!$H64)</f>
        <v>399363648.27626598</v>
      </c>
      <c r="BH72" s="22">
        <f>BH11*Constants!$H46*(1-Constants!$H64)</f>
        <v>399363648.27626598</v>
      </c>
      <c r="BI72" s="22">
        <f>BI11*Constants!$H46*(1-Constants!$H64)</f>
        <v>399363648.27626598</v>
      </c>
      <c r="BJ72" s="22">
        <f>BJ11*Constants!$H46*(1-Constants!$H64)</f>
        <v>399363648.27626598</v>
      </c>
      <c r="BK72" s="22">
        <f>BK11*Constants!$H46*(1-Constants!$H64)</f>
        <v>399363648.27626598</v>
      </c>
      <c r="BL72" s="22">
        <f>BL11*Constants!$H46*(1-Constants!$H64)</f>
        <v>399363648.27626598</v>
      </c>
      <c r="BM72" s="22">
        <f>BM11*Constants!$H46*(1-Constants!$H64)</f>
        <v>399363648.27626598</v>
      </c>
      <c r="BN72" s="22">
        <f>BN11*Constants!$H46*(1-Constants!$H64)</f>
        <v>399363648.27626598</v>
      </c>
      <c r="BO72" s="22">
        <f>BO11*Constants!$H46*(1-Constants!$H64)</f>
        <v>399363648.27626598</v>
      </c>
      <c r="BP72" s="22">
        <f>BP11*Constants!$H46*(1-Constants!$H64)</f>
        <v>399363648.27626598</v>
      </c>
    </row>
    <row r="73" spans="1:68" x14ac:dyDescent="0.25">
      <c r="A73" t="str">
        <f t="shared" si="28"/>
        <v>3C Aggregated and non-CO2 emissions on land</v>
      </c>
      <c r="B73" t="str">
        <f t="shared" si="29"/>
        <v>3C4 Direct N2O from managed soils (N2O)</v>
      </c>
      <c r="C73" t="s">
        <v>415</v>
      </c>
      <c r="D73" t="str">
        <f t="shared" si="30"/>
        <v xml:space="preserve"> - Subsistence sheep</v>
      </c>
      <c r="E73" t="str">
        <f t="shared" si="31"/>
        <v>Urine &amp; dung - Subsistence sheep</v>
      </c>
      <c r="F73" t="str">
        <f t="shared" si="32"/>
        <v>kg N</v>
      </c>
      <c r="H73" s="22">
        <f>H12*Constants!$H47*(1-Constants!$H65)</f>
        <v>60666073.386478163</v>
      </c>
      <c r="I73" s="22">
        <f>I12*Constants!$H47*(1-Constants!$H65)</f>
        <v>57938235.002110019</v>
      </c>
      <c r="J73" s="22">
        <f>J12*Constants!$H47*(1-Constants!$H65)</f>
        <v>55544293.74935963</v>
      </c>
      <c r="K73" s="22">
        <f>K12*Constants!$H47*(1-Constants!$H65)</f>
        <v>51946299.203805812</v>
      </c>
      <c r="L73" s="22">
        <f>L12*Constants!$H47*(1-Constants!$H65)</f>
        <v>52312574.239095598</v>
      </c>
      <c r="M73" s="22">
        <f>M12*Constants!$H47*(1-Constants!$H65)</f>
        <v>51563835.216680013</v>
      </c>
      <c r="N73" s="22">
        <f>N12*Constants!$H47*(1-Constants!$H65)</f>
        <v>51735842.829937644</v>
      </c>
      <c r="O73" s="22">
        <f>O12*Constants!$H47*(1-Constants!$H65)</f>
        <v>50610710.677334763</v>
      </c>
      <c r="P73" s="22">
        <f>P12*Constants!$H47*(1-Constants!$H65)</f>
        <v>50750340.386920534</v>
      </c>
      <c r="Q73" s="22">
        <f>Q12*Constants!$H47*(1-Constants!$H65)</f>
        <v>49503791.095547549</v>
      </c>
      <c r="R73" s="22">
        <f>R12*Constants!$H47*(1-Constants!$H65)</f>
        <v>47729077.250524655</v>
      </c>
      <c r="S73" s="22">
        <f>S12*Constants!$H47*(1-Constants!$H65)</f>
        <v>46539189.29057771</v>
      </c>
      <c r="T73" s="22">
        <f>T12*Constants!$H47*(1-Constants!$H65)</f>
        <v>45762119.602449097</v>
      </c>
      <c r="U73" s="22">
        <f>U12*Constants!$H47*(1-Constants!$H65)</f>
        <v>45921985.501829728</v>
      </c>
      <c r="V73" s="22">
        <f>V12*Constants!$H47*(1-Constants!$H65)</f>
        <v>45104443.434111074</v>
      </c>
      <c r="W73" s="22">
        <f>W12*Constants!$H47*(1-Constants!$H65)</f>
        <v>44997191.628197499</v>
      </c>
      <c r="X73" s="22">
        <f>X12*Constants!$H47*(1-Constants!$H65)</f>
        <v>44408318.50516253</v>
      </c>
      <c r="Y73" s="22">
        <f>Y12*Constants!$H47*(1-Constants!$H65)</f>
        <v>44365822.506592996</v>
      </c>
      <c r="Z73" s="22">
        <f>Z12*Constants!$H47*(1-Constants!$H65)</f>
        <v>44509499.454137608</v>
      </c>
      <c r="AA73" s="22">
        <f>AA12*Constants!$H47*(1-Constants!$H65)</f>
        <v>44351657.173736483</v>
      </c>
      <c r="AB73" s="22">
        <f>AB12*Constants!$H47*(1-Constants!$H65)</f>
        <v>43493642.726427816</v>
      </c>
      <c r="AC73" s="22">
        <f>AC12*Constants!$H47*(1-Constants!$H65)</f>
        <v>43153674.737871543</v>
      </c>
      <c r="AD73" s="22">
        <f>AD12*Constants!$H47*(1-Constants!$H65)</f>
        <v>44445050.652770527</v>
      </c>
      <c r="AE73" s="22">
        <f>AE12*Constants!$H47*(1-Constants!$H65)</f>
        <v>44298317.751268916</v>
      </c>
      <c r="AF73" s="22">
        <f>AF12*Constants!$H47*(1-Constants!$H65)</f>
        <v>44155256.0146937</v>
      </c>
      <c r="AG73" s="22">
        <f>AG12*Constants!$H47*(1-Constants!$H65)</f>
        <v>44015946.417566322</v>
      </c>
      <c r="AH73" s="22">
        <f>AH12*Constants!$H47*(1-Constants!$H65)</f>
        <v>43869206.437495753</v>
      </c>
      <c r="AI73" s="22">
        <f>AI12*Constants!$H47*(1-Constants!$H65)</f>
        <v>43722440.289318874</v>
      </c>
      <c r="AJ73" s="22">
        <f>AJ12*Constants!$H47*(1-Constants!$H65)</f>
        <v>43578533.264779419</v>
      </c>
      <c r="AK73" s="22">
        <f>AK12*Constants!$H47*(1-Constants!$H65)</f>
        <v>43437346.65093895</v>
      </c>
      <c r="AL73" s="22">
        <f>AL12*Constants!$H47*(1-Constants!$H65)</f>
        <v>43340037.623555653</v>
      </c>
      <c r="AM73" s="22">
        <f>AM12*Constants!$H47*(1-Constants!$H65)</f>
        <v>43194024.963142529</v>
      </c>
      <c r="AN73" s="22">
        <f>AN12*Constants!$H47*(1-Constants!$H65)</f>
        <v>43050442.522041127</v>
      </c>
      <c r="AO73" s="22">
        <f>AO12*Constants!$H47*(1-Constants!$H65)</f>
        <v>42908716.102854528</v>
      </c>
      <c r="AP73" s="22">
        <f>AP12*Constants!$H47*(1-Constants!$H65)</f>
        <v>42769236.745993711</v>
      </c>
      <c r="AQ73" s="22">
        <f>AQ12*Constants!$H47*(1-Constants!$H65)</f>
        <v>42631197.431730166</v>
      </c>
      <c r="AR73" s="22">
        <f>AR12*Constants!$H47*(1-Constants!$H65)</f>
        <v>42482680.008199729</v>
      </c>
      <c r="AS73" s="22">
        <f>AS12*Constants!$H47*(1-Constants!$H65)</f>
        <v>42336348.845820583</v>
      </c>
      <c r="AT73" s="22">
        <f>AT12*Constants!$H47*(1-Constants!$H65)</f>
        <v>42191522.718406796</v>
      </c>
      <c r="AU73" s="22">
        <f>AU12*Constants!$H47*(1-Constants!$H65)</f>
        <v>42048299.091201797</v>
      </c>
      <c r="AV73" s="22">
        <f>AV12*Constants!$H47*(1-Constants!$H65)</f>
        <v>41906605.601368733</v>
      </c>
      <c r="AW73" s="22">
        <f>AW12*Constants!$H47*(1-Constants!$H65)</f>
        <v>41768757.000701301</v>
      </c>
      <c r="AX73" s="22">
        <f>AX12*Constants!$H47*(1-Constants!$H65)</f>
        <v>41768757.000701301</v>
      </c>
      <c r="AY73" s="22">
        <f>AY12*Constants!$H47*(1-Constants!$H65)</f>
        <v>41768757.000701301</v>
      </c>
      <c r="AZ73" s="22">
        <f>AZ12*Constants!$H47*(1-Constants!$H65)</f>
        <v>41768757.000701301</v>
      </c>
      <c r="BA73" s="22">
        <f>BA12*Constants!$H47*(1-Constants!$H65)</f>
        <v>41768757.000701301</v>
      </c>
      <c r="BB73" s="22">
        <f>BB12*Constants!$H47*(1-Constants!$H65)</f>
        <v>41768757.000701301</v>
      </c>
      <c r="BC73" s="22">
        <f>BC12*Constants!$H47*(1-Constants!$H65)</f>
        <v>41768757.000701301</v>
      </c>
      <c r="BD73" s="22">
        <f>BD12*Constants!$H47*(1-Constants!$H65)</f>
        <v>41768757.000701301</v>
      </c>
      <c r="BE73" s="22">
        <f>BE12*Constants!$H47*(1-Constants!$H65)</f>
        <v>41768757.000701301</v>
      </c>
      <c r="BF73" s="22">
        <f>BF12*Constants!$H47*(1-Constants!$H65)</f>
        <v>41768757.000701301</v>
      </c>
      <c r="BG73" s="22">
        <f>BG12*Constants!$H47*(1-Constants!$H65)</f>
        <v>41768757.000701301</v>
      </c>
      <c r="BH73" s="22">
        <f>BH12*Constants!$H47*(1-Constants!$H65)</f>
        <v>41768757.000701301</v>
      </c>
      <c r="BI73" s="22">
        <f>BI12*Constants!$H47*(1-Constants!$H65)</f>
        <v>41768757.000701301</v>
      </c>
      <c r="BJ73" s="22">
        <f>BJ12*Constants!$H47*(1-Constants!$H65)</f>
        <v>41768757.000701301</v>
      </c>
      <c r="BK73" s="22">
        <f>BK12*Constants!$H47*(1-Constants!$H65)</f>
        <v>41768757.000701301</v>
      </c>
      <c r="BL73" s="22">
        <f>BL12*Constants!$H47*(1-Constants!$H65)</f>
        <v>41768757.000701301</v>
      </c>
      <c r="BM73" s="22">
        <f>BM12*Constants!$H47*(1-Constants!$H65)</f>
        <v>41768757.000701301</v>
      </c>
      <c r="BN73" s="22">
        <f>BN12*Constants!$H47*(1-Constants!$H65)</f>
        <v>41768757.000701301</v>
      </c>
      <c r="BO73" s="22">
        <f>BO12*Constants!$H47*(1-Constants!$H65)</f>
        <v>41768757.000701301</v>
      </c>
      <c r="BP73" s="22">
        <f>BP12*Constants!$H47*(1-Constants!$H65)</f>
        <v>41768757.000701301</v>
      </c>
    </row>
    <row r="74" spans="1:68" x14ac:dyDescent="0.25">
      <c r="A74" t="str">
        <f t="shared" si="28"/>
        <v>3C Aggregated and non-CO2 emissions on land</v>
      </c>
      <c r="B74" t="str">
        <f t="shared" si="29"/>
        <v>3C4 Direct N2O from managed soils (N2O)</v>
      </c>
      <c r="C74" t="s">
        <v>415</v>
      </c>
      <c r="D74" t="str">
        <f t="shared" si="30"/>
        <v xml:space="preserve"> - Commercial goats</v>
      </c>
      <c r="E74" t="str">
        <f t="shared" si="31"/>
        <v>Urine &amp; dung - Commercial goats</v>
      </c>
      <c r="F74" t="str">
        <f t="shared" si="32"/>
        <v>kg N</v>
      </c>
      <c r="H74" s="22">
        <f>H13*Constants!$H48*(1-Constants!$H66)</f>
        <v>61206867.799308397</v>
      </c>
      <c r="I74" s="22">
        <f>I13*Constants!$H48*(1-Constants!$H66)</f>
        <v>54124169.686987571</v>
      </c>
      <c r="J74" s="22">
        <f>J13*Constants!$H48*(1-Constants!$H66)</f>
        <v>50417337.030071966</v>
      </c>
      <c r="K74" s="22">
        <f>K13*Constants!$H48*(1-Constants!$H66)</f>
        <v>47637212.537385285</v>
      </c>
      <c r="L74" s="22">
        <f>L13*Constants!$H48*(1-Constants!$H66)</f>
        <v>51564689.995307736</v>
      </c>
      <c r="M74" s="22">
        <f>M13*Constants!$H48*(1-Constants!$H66)</f>
        <v>52270753.358529769</v>
      </c>
      <c r="N74" s="22">
        <f>N13*Constants!$H48*(1-Constants!$H66)</f>
        <v>53087139.122255206</v>
      </c>
      <c r="O74" s="22">
        <f>O13*Constants!$H48*(1-Constants!$H66)</f>
        <v>52822365.361046962</v>
      </c>
      <c r="P74" s="22">
        <f>P13*Constants!$H48*(1-Constants!$H66)</f>
        <v>52072173.037623577</v>
      </c>
      <c r="Q74" s="22">
        <f>Q13*Constants!$H48*(1-Constants!$H66)</f>
        <v>51299916.234099507</v>
      </c>
      <c r="R74" s="22">
        <f>R13*Constants!$H48*(1-Constants!$H66)</f>
        <v>51961850.637120128</v>
      </c>
      <c r="S74" s="22">
        <f>S13*Constants!$H48*(1-Constants!$H66)</f>
        <v>53550493.204369679</v>
      </c>
      <c r="T74" s="22">
        <f>T13*Constants!$H48*(1-Constants!$H66)</f>
        <v>48894887.903124519</v>
      </c>
      <c r="U74" s="22">
        <f>U13*Constants!$H48*(1-Constants!$H66)</f>
        <v>47659277.017485984</v>
      </c>
      <c r="V74" s="22">
        <f>V13*Constants!$H48*(1-Constants!$H66)</f>
        <v>47747534.937888749</v>
      </c>
      <c r="W74" s="22">
        <f>W13*Constants!$H48*(1-Constants!$H66)</f>
        <v>47129729.495069467</v>
      </c>
      <c r="X74" s="22">
        <f>X13*Constants!$H48*(1-Constants!$H66)</f>
        <v>48122631.099600427</v>
      </c>
      <c r="Y74" s="22">
        <f>Y13*Constants!$H48*(1-Constants!$H66)</f>
        <v>46688439.893055715</v>
      </c>
      <c r="Z74" s="22">
        <f>Z13*Constants!$H48*(1-Constants!$H66)</f>
        <v>46644310.932854347</v>
      </c>
      <c r="AA74" s="22">
        <f>AA13*Constants!$H48*(1-Constants!$H66)</f>
        <v>45827925.16912888</v>
      </c>
      <c r="AB74" s="22">
        <f>AB13*Constants!$H48*(1-Constants!$H66)</f>
        <v>45276313.166611686</v>
      </c>
      <c r="AC74" s="22">
        <f>AC13*Constants!$H48*(1-Constants!$H66)</f>
        <v>44857088.044698618</v>
      </c>
      <c r="AD74" s="22">
        <f>AD13*Constants!$H48*(1-Constants!$H66)</f>
        <v>45355840.454698302</v>
      </c>
      <c r="AE74" s="22">
        <f>AE13*Constants!$H48*(1-Constants!$H66)</f>
        <v>45192319.785496265</v>
      </c>
      <c r="AF74" s="22">
        <f>AF13*Constants!$H48*(1-Constants!$H66)</f>
        <v>45030661.96913936</v>
      </c>
      <c r="AG74" s="22">
        <f>AG13*Constants!$H48*(1-Constants!$H66)</f>
        <v>44871100.546420865</v>
      </c>
      <c r="AH74" s="22">
        <f>AH13*Constants!$H48*(1-Constants!$H66)</f>
        <v>44700709.79802487</v>
      </c>
      <c r="AI74" s="22">
        <f>AI13*Constants!$H48*(1-Constants!$H66)</f>
        <v>44527875.909961358</v>
      </c>
      <c r="AJ74" s="22">
        <f>AJ13*Constants!$H48*(1-Constants!$H66)</f>
        <v>44356033.095854908</v>
      </c>
      <c r="AK74" s="22">
        <f>AK13*Constants!$H48*(1-Constants!$H66)</f>
        <v>44185120.831184164</v>
      </c>
      <c r="AL74" s="22">
        <f>AL13*Constants!$H48*(1-Constants!$H66)</f>
        <v>44065971.328966893</v>
      </c>
      <c r="AM74" s="22">
        <f>AM13*Constants!$H48*(1-Constants!$H66)</f>
        <v>43885090.26466509</v>
      </c>
      <c r="AN74" s="22">
        <f>AN13*Constants!$H48*(1-Constants!$H66)</f>
        <v>43704735.384746879</v>
      </c>
      <c r="AO74" s="22">
        <f>AO13*Constants!$H48*(1-Constants!$H66)</f>
        <v>43524262.391526774</v>
      </c>
      <c r="AP74" s="22">
        <f>AP13*Constants!$H48*(1-Constants!$H66)</f>
        <v>43344242.36704208</v>
      </c>
      <c r="AQ74" s="22">
        <f>AQ13*Constants!$H48*(1-Constants!$H66)</f>
        <v>43163696.942378558</v>
      </c>
      <c r="AR74" s="22">
        <f>AR13*Constants!$H48*(1-Constants!$H66)</f>
        <v>42966762.133052252</v>
      </c>
      <c r="AS74" s="22">
        <f>AS13*Constants!$H48*(1-Constants!$H66)</f>
        <v>42769966.630664244</v>
      </c>
      <c r="AT74" s="22">
        <f>AT13*Constants!$H48*(1-Constants!$H66)</f>
        <v>42572459.95509588</v>
      </c>
      <c r="AU74" s="22">
        <f>AU13*Constants!$H48*(1-Constants!$H66)</f>
        <v>42374425.208105251</v>
      </c>
      <c r="AV74" s="22">
        <f>AV13*Constants!$H48*(1-Constants!$H66)</f>
        <v>42175814.19126118</v>
      </c>
      <c r="AW74" s="22">
        <f>AW13*Constants!$H48*(1-Constants!$H66)</f>
        <v>42196660.946363419</v>
      </c>
      <c r="AX74" s="22">
        <f>AX13*Constants!$H48*(1-Constants!$H66)</f>
        <v>42208097.714435056</v>
      </c>
      <c r="AY74" s="22">
        <f>AY13*Constants!$H48*(1-Constants!$H66)</f>
        <v>42216448.32543616</v>
      </c>
      <c r="AZ74" s="22">
        <f>AZ13*Constants!$H48*(1-Constants!$H66)</f>
        <v>42220295.722401582</v>
      </c>
      <c r="BA74" s="22">
        <f>BA13*Constants!$H48*(1-Constants!$H66)</f>
        <v>42219715.755321398</v>
      </c>
      <c r="BB74" s="22">
        <f>BB13*Constants!$H48*(1-Constants!$H66)</f>
        <v>42226571.21584335</v>
      </c>
      <c r="BC74" s="22">
        <f>BC13*Constants!$H48*(1-Constants!$H66)</f>
        <v>42227626.744780846</v>
      </c>
      <c r="BD74" s="22">
        <f>BD13*Constants!$H48*(1-Constants!$H66)</f>
        <v>42221501.459327251</v>
      </c>
      <c r="BE74" s="22">
        <f>BE13*Constants!$H48*(1-Constants!$H66)</f>
        <v>42209497.912859485</v>
      </c>
      <c r="BF74" s="22">
        <f>BF13*Constants!$H48*(1-Constants!$H66)</f>
        <v>42192715.630754523</v>
      </c>
      <c r="BG74" s="22">
        <f>BG13*Constants!$H48*(1-Constants!$H66)</f>
        <v>42325701.737121552</v>
      </c>
      <c r="BH74" s="22">
        <f>BH13*Constants!$H48*(1-Constants!$H66)</f>
        <v>42454301.609959416</v>
      </c>
      <c r="BI74" s="22">
        <f>BI13*Constants!$H48*(1-Constants!$H66)</f>
        <v>42578320.58693403</v>
      </c>
      <c r="BJ74" s="22">
        <f>BJ13*Constants!$H48*(1-Constants!$H66)</f>
        <v>42698045.019985892</v>
      </c>
      <c r="BK74" s="22">
        <f>BK13*Constants!$H48*(1-Constants!$H66)</f>
        <v>42814748.868791185</v>
      </c>
      <c r="BL74" s="22">
        <f>BL13*Constants!$H48*(1-Constants!$H66)</f>
        <v>42914417.096821487</v>
      </c>
      <c r="BM74" s="22">
        <f>BM13*Constants!$H48*(1-Constants!$H66)</f>
        <v>43010567.261894114</v>
      </c>
      <c r="BN74" s="22">
        <f>BN13*Constants!$H48*(1-Constants!$H66)</f>
        <v>43100642.074591748</v>
      </c>
      <c r="BO74" s="22">
        <f>BO13*Constants!$H48*(1-Constants!$H66)</f>
        <v>43187376.906870797</v>
      </c>
      <c r="BP74" s="22">
        <f>BP13*Constants!$H48*(1-Constants!$H66)</f>
        <v>43270981.260173514</v>
      </c>
    </row>
    <row r="75" spans="1:68" x14ac:dyDescent="0.25">
      <c r="A75" t="str">
        <f t="shared" si="28"/>
        <v>3C Aggregated and non-CO2 emissions on land</v>
      </c>
      <c r="B75" t="str">
        <f t="shared" si="29"/>
        <v>3C4 Direct N2O from managed soils (N2O)</v>
      </c>
      <c r="C75" t="s">
        <v>415</v>
      </c>
      <c r="D75" t="str">
        <f t="shared" si="30"/>
        <v xml:space="preserve"> - Subsistence goats</v>
      </c>
      <c r="E75" t="str">
        <f t="shared" si="31"/>
        <v>Urine &amp; dung - Subsistence goats</v>
      </c>
      <c r="F75" t="str">
        <f t="shared" si="32"/>
        <v>kg N</v>
      </c>
      <c r="H75" s="22">
        <f>H14*Constants!$H49*(1-Constants!$H67)</f>
        <v>103073074.7293009</v>
      </c>
      <c r="I75" s="22">
        <f>I14*Constants!$H49*(1-Constants!$H67)</f>
        <v>91145729.023422912</v>
      </c>
      <c r="J75" s="22">
        <f>J14*Constants!$H49*(1-Constants!$H67)</f>
        <v>84903379.868944705</v>
      </c>
      <c r="K75" s="22">
        <f>K14*Constants!$H49*(1-Constants!$H67)</f>
        <v>80221618.003086045</v>
      </c>
      <c r="L75" s="22">
        <f>L14*Constants!$H49*(1-Constants!$H67)</f>
        <v>86835535.559616521</v>
      </c>
      <c r="M75" s="22">
        <f>M14*Constants!$H49*(1-Constants!$H67)</f>
        <v>88024554.446183816</v>
      </c>
      <c r="N75" s="22">
        <f>N14*Constants!$H49*(1-Constants!$H67)</f>
        <v>89399357.533777222</v>
      </c>
      <c r="O75" s="22">
        <f>O14*Constants!$H49*(1-Constants!$H67)</f>
        <v>88953475.451314494</v>
      </c>
      <c r="P75" s="22">
        <f>P14*Constants!$H49*(1-Constants!$H67)</f>
        <v>87690142.884336755</v>
      </c>
      <c r="Q75" s="22">
        <f>Q14*Constants!$H49*(1-Constants!$H67)</f>
        <v>86389653.477153808</v>
      </c>
      <c r="R75" s="22">
        <f>R14*Constants!$H49*(1-Constants!$H67)</f>
        <v>87504358.683310628</v>
      </c>
      <c r="S75" s="22">
        <f>S14*Constants!$H49*(1-Constants!$H67)</f>
        <v>90179651.178086996</v>
      </c>
      <c r="T75" s="22">
        <f>T14*Constants!$H49*(1-Constants!$H67)</f>
        <v>82339557.894784003</v>
      </c>
      <c r="U75" s="22">
        <f>U14*Constants!$H49*(1-Constants!$H67)</f>
        <v>80258774.843291268</v>
      </c>
      <c r="V75" s="22">
        <f>V14*Constants!$H49*(1-Constants!$H67)</f>
        <v>80407402.204112172</v>
      </c>
      <c r="W75" s="22">
        <f>W14*Constants!$H49*(1-Constants!$H67)</f>
        <v>79367010.678365812</v>
      </c>
      <c r="X75" s="22">
        <f>X14*Constants!$H49*(1-Constants!$H67)</f>
        <v>81039068.487601057</v>
      </c>
      <c r="Y75" s="22">
        <f>Y14*Constants!$H49*(1-Constants!$H67)</f>
        <v>78623873.874261275</v>
      </c>
      <c r="Z75" s="22">
        <f>Z14*Constants!$H49*(1-Constants!$H67)</f>
        <v>78549560.1938508</v>
      </c>
      <c r="AA75" s="22">
        <f>AA14*Constants!$H49*(1-Constants!$H67)</f>
        <v>77174757.106257394</v>
      </c>
      <c r="AB75" s="22">
        <f>AB14*Constants!$H49*(1-Constants!$H67)</f>
        <v>76245836.101126716</v>
      </c>
      <c r="AC75" s="22">
        <f>AC14*Constants!$H49*(1-Constants!$H67)</f>
        <v>75539856.137227386</v>
      </c>
      <c r="AD75" s="22">
        <f>AD14*Constants!$H49*(1-Constants!$H67)</f>
        <v>76370910.472392246</v>
      </c>
      <c r="AE75" s="22">
        <f>AE14*Constants!$H49*(1-Constants!$H67)</f>
        <v>76095571.678913444</v>
      </c>
      <c r="AF75" s="22">
        <f>AF14*Constants!$H49*(1-Constants!$H67)</f>
        <v>75823369.587707862</v>
      </c>
      <c r="AG75" s="22">
        <f>AG14*Constants!$H49*(1-Constants!$H67)</f>
        <v>75554697.438606068</v>
      </c>
      <c r="AH75" s="22">
        <f>AH14*Constants!$H49*(1-Constants!$H67)</f>
        <v>75267790.692735657</v>
      </c>
      <c r="AI75" s="22">
        <f>AI14*Constants!$H49*(1-Constants!$H67)</f>
        <v>74976770.148092076</v>
      </c>
      <c r="AJ75" s="22">
        <f>AJ14*Constants!$H49*(1-Constants!$H67)</f>
        <v>74687418.390085176</v>
      </c>
      <c r="AK75" s="22">
        <f>AK14*Constants!$H49*(1-Constants!$H67)</f>
        <v>74399633.506529972</v>
      </c>
      <c r="AL75" s="22">
        <f>AL14*Constants!$H49*(1-Constants!$H67)</f>
        <v>74199007.614132419</v>
      </c>
      <c r="AM75" s="22">
        <f>AM14*Constants!$H49*(1-Constants!$H67)</f>
        <v>73894437.10172528</v>
      </c>
      <c r="AN75" s="22">
        <f>AN14*Constants!$H49*(1-Constants!$H67)</f>
        <v>73590752.587241426</v>
      </c>
      <c r="AO75" s="22">
        <f>AO14*Constants!$H49*(1-Constants!$H67)</f>
        <v>73286869.191636309</v>
      </c>
      <c r="AP75" s="22">
        <f>AP14*Constants!$H49*(1-Constants!$H67)</f>
        <v>72983748.512241334</v>
      </c>
      <c r="AQ75" s="22">
        <f>AQ14*Constants!$H49*(1-Constants!$H67)</f>
        <v>72679743.155379951</v>
      </c>
      <c r="AR75" s="22">
        <f>AR14*Constants!$H49*(1-Constants!$H67)</f>
        <v>72348141.082941696</v>
      </c>
      <c r="AS75" s="22">
        <f>AS14*Constants!$H49*(1-Constants!$H67)</f>
        <v>72016773.577818409</v>
      </c>
      <c r="AT75" s="22">
        <f>AT14*Constants!$H49*(1-Constants!$H67)</f>
        <v>71684208.587591901</v>
      </c>
      <c r="AU75" s="22">
        <f>AU14*Constants!$H49*(1-Constants!$H67)</f>
        <v>71350754.422015354</v>
      </c>
      <c r="AV75" s="22">
        <f>AV14*Constants!$H49*(1-Constants!$H67)</f>
        <v>71350754.422015354</v>
      </c>
      <c r="AW75" s="22">
        <f>AW14*Constants!$H49*(1-Constants!$H67)</f>
        <v>71350754.422015354</v>
      </c>
      <c r="AX75" s="22">
        <f>AX14*Constants!$H49*(1-Constants!$H67)</f>
        <v>71350754.422015354</v>
      </c>
      <c r="AY75" s="22">
        <f>AY14*Constants!$H49*(1-Constants!$H67)</f>
        <v>71350754.422015354</v>
      </c>
      <c r="AZ75" s="22">
        <f>AZ14*Constants!$H49*(1-Constants!$H67)</f>
        <v>71350754.422015354</v>
      </c>
      <c r="BA75" s="22">
        <f>BA14*Constants!$H49*(1-Constants!$H67)</f>
        <v>71350754.422015354</v>
      </c>
      <c r="BB75" s="22">
        <f>BB14*Constants!$H49*(1-Constants!$H67)</f>
        <v>71350754.422015354</v>
      </c>
      <c r="BC75" s="22">
        <f>BC14*Constants!$H49*(1-Constants!$H67)</f>
        <v>71350754.422015354</v>
      </c>
      <c r="BD75" s="22">
        <f>BD14*Constants!$H49*(1-Constants!$H67)</f>
        <v>71350754.422015354</v>
      </c>
      <c r="BE75" s="22">
        <f>BE14*Constants!$H49*(1-Constants!$H67)</f>
        <v>71350754.422015354</v>
      </c>
      <c r="BF75" s="22">
        <f>BF14*Constants!$H49*(1-Constants!$H67)</f>
        <v>71350754.422015354</v>
      </c>
      <c r="BG75" s="22">
        <f>BG14*Constants!$H49*(1-Constants!$H67)</f>
        <v>71350754.422015354</v>
      </c>
      <c r="BH75" s="22">
        <f>BH14*Constants!$H49*(1-Constants!$H67)</f>
        <v>71350754.422015354</v>
      </c>
      <c r="BI75" s="22">
        <f>BI14*Constants!$H49*(1-Constants!$H67)</f>
        <v>71350754.422015354</v>
      </c>
      <c r="BJ75" s="22">
        <f>BJ14*Constants!$H49*(1-Constants!$H67)</f>
        <v>71350754.422015354</v>
      </c>
      <c r="BK75" s="22">
        <f>BK14*Constants!$H49*(1-Constants!$H67)</f>
        <v>71350754.422015354</v>
      </c>
      <c r="BL75" s="22">
        <f>BL14*Constants!$H49*(1-Constants!$H67)</f>
        <v>71350754.422015354</v>
      </c>
      <c r="BM75" s="22">
        <f>BM14*Constants!$H49*(1-Constants!$H67)</f>
        <v>71350754.422015354</v>
      </c>
      <c r="BN75" s="22">
        <f>BN14*Constants!$H49*(1-Constants!$H67)</f>
        <v>71350754.422015354</v>
      </c>
      <c r="BO75" s="22">
        <f>BO14*Constants!$H49*(1-Constants!$H67)</f>
        <v>71350754.422015354</v>
      </c>
      <c r="BP75" s="22">
        <f>BP14*Constants!$H49*(1-Constants!$H67)</f>
        <v>71350754.422015354</v>
      </c>
    </row>
    <row r="76" spans="1:68" x14ac:dyDescent="0.25">
      <c r="A76" t="str">
        <f t="shared" si="28"/>
        <v>3C Aggregated and non-CO2 emissions on land</v>
      </c>
      <c r="B76" t="str">
        <f t="shared" si="29"/>
        <v>3C4 Direct N2O from managed soils (N2O)</v>
      </c>
      <c r="C76" t="s">
        <v>415</v>
      </c>
      <c r="D76" t="str">
        <f t="shared" si="30"/>
        <v xml:space="preserve"> - Horses</v>
      </c>
      <c r="E76" t="str">
        <f t="shared" si="31"/>
        <v>Urine &amp; dung - Horses</v>
      </c>
      <c r="F76" t="str">
        <f t="shared" si="32"/>
        <v>kg N</v>
      </c>
      <c r="H76" s="22">
        <f>H15*Constants!$H50*(1-Constants!$H68)</f>
        <v>9085000</v>
      </c>
      <c r="I76" s="22">
        <f>I15*Constants!$H50*(1-Constants!$H68)</f>
        <v>9085000</v>
      </c>
      <c r="J76" s="22">
        <f>J15*Constants!$H50*(1-Constants!$H68)</f>
        <v>9085000</v>
      </c>
      <c r="K76" s="22">
        <f>K15*Constants!$H50*(1-Constants!$H68)</f>
        <v>9282500</v>
      </c>
      <c r="L76" s="22">
        <f>L15*Constants!$H50*(1-Constants!$H68)</f>
        <v>9480000</v>
      </c>
      <c r="M76" s="22">
        <f>M15*Constants!$H50*(1-Constants!$H68)</f>
        <v>9677500</v>
      </c>
      <c r="N76" s="22">
        <f>N15*Constants!$H50*(1-Constants!$H68)</f>
        <v>9875000</v>
      </c>
      <c r="O76" s="22">
        <f>O15*Constants!$H50*(1-Constants!$H68)</f>
        <v>10072500</v>
      </c>
      <c r="P76" s="22">
        <f>P15*Constants!$H50*(1-Constants!$H68)</f>
        <v>10270000</v>
      </c>
      <c r="Q76" s="22">
        <f>Q15*Constants!$H50*(1-Constants!$H68)</f>
        <v>10191000</v>
      </c>
      <c r="R76" s="22">
        <f>R15*Constants!$H50*(1-Constants!$H68)</f>
        <v>10665000</v>
      </c>
      <c r="S76" s="22">
        <f>S15*Constants!$H50*(1-Constants!$H68)</f>
        <v>10665000</v>
      </c>
      <c r="T76" s="22">
        <f>T15*Constants!$H50*(1-Constants!$H68)</f>
        <v>10665000</v>
      </c>
      <c r="U76" s="22">
        <f>U15*Constants!$H50*(1-Constants!$H68)</f>
        <v>10665000</v>
      </c>
      <c r="V76" s="22">
        <f>V15*Constants!$H50*(1-Constants!$H68)</f>
        <v>10665000</v>
      </c>
      <c r="W76" s="22">
        <f>W15*Constants!$H50*(1-Constants!$H68)</f>
        <v>10665000</v>
      </c>
      <c r="X76" s="22">
        <f>X15*Constants!$H50*(1-Constants!$H68)</f>
        <v>11060000</v>
      </c>
      <c r="Y76" s="22">
        <f>Y15*Constants!$H50*(1-Constants!$H68)</f>
        <v>11455000</v>
      </c>
      <c r="Z76" s="22">
        <f>Z15*Constants!$H50*(1-Constants!$H68)</f>
        <v>11771000</v>
      </c>
      <c r="AA76" s="22">
        <f>AA15*Constants!$H50*(1-Constants!$H68)</f>
        <v>11850000</v>
      </c>
      <c r="AB76" s="22">
        <f>AB15*Constants!$H50*(1-Constants!$H68)</f>
        <v>11850000</v>
      </c>
      <c r="AC76" s="22">
        <f>AC15*Constants!$H50*(1-Constants!$H68)</f>
        <v>12047500</v>
      </c>
      <c r="AD76" s="22">
        <f>AD15*Constants!$H50*(1-Constants!$H68)</f>
        <v>12094551.930679914</v>
      </c>
      <c r="AE76" s="22">
        <f>AE15*Constants!$H50*(1-Constants!$H68)</f>
        <v>12223504.12338567</v>
      </c>
      <c r="AF76" s="22">
        <f>AF15*Constants!$H50*(1-Constants!$H68)</f>
        <v>12304453.046999782</v>
      </c>
      <c r="AG76" s="22">
        <f>AG15*Constants!$H50*(1-Constants!$H68)</f>
        <v>12335248.643245688</v>
      </c>
      <c r="AH76" s="22">
        <f>AH15*Constants!$H50*(1-Constants!$H68)</f>
        <v>12319956.440452516</v>
      </c>
      <c r="AI76" s="22">
        <f>AI15*Constants!$H50*(1-Constants!$H68)</f>
        <v>12338182.833010618</v>
      </c>
      <c r="AJ76" s="22">
        <f>AJ15*Constants!$H50*(1-Constants!$H68)</f>
        <v>12342712.647916986</v>
      </c>
      <c r="AK76" s="22">
        <f>AK15*Constants!$H50*(1-Constants!$H68)</f>
        <v>12334741.248122411</v>
      </c>
      <c r="AL76" s="22">
        <f>AL15*Constants!$H50*(1-Constants!$H68)</f>
        <v>11642740.21589236</v>
      </c>
      <c r="AM76" s="22">
        <f>AM15*Constants!$H50*(1-Constants!$H68)</f>
        <v>11741456.827585345</v>
      </c>
      <c r="AN76" s="22">
        <f>AN15*Constants!$H50*(1-Constants!$H68)</f>
        <v>11831511.614154607</v>
      </c>
      <c r="AO76" s="22">
        <f>AO15*Constants!$H50*(1-Constants!$H68)</f>
        <v>11921424.623646714</v>
      </c>
      <c r="AP76" s="22">
        <f>AP15*Constants!$H50*(1-Constants!$H68)</f>
        <v>12003927.118466631</v>
      </c>
      <c r="AQ76" s="22">
        <f>AQ15*Constants!$H50*(1-Constants!$H68)</f>
        <v>12091566.826080479</v>
      </c>
      <c r="AR76" s="22">
        <f>AR15*Constants!$H50*(1-Constants!$H68)</f>
        <v>12201403.714149868</v>
      </c>
      <c r="AS76" s="22">
        <f>AS15*Constants!$H50*(1-Constants!$H68)</f>
        <v>12307404.305239642</v>
      </c>
      <c r="AT76" s="22">
        <f>AT15*Constants!$H50*(1-Constants!$H68)</f>
        <v>12420104.271807933</v>
      </c>
      <c r="AU76" s="22">
        <f>AU15*Constants!$H50*(1-Constants!$H68)</f>
        <v>12537090.543744704</v>
      </c>
      <c r="AV76" s="22">
        <f>AV15*Constants!$H50*(1-Constants!$H68)</f>
        <v>12658822.775068199</v>
      </c>
      <c r="AW76" s="22">
        <f>AW15*Constants!$H50*(1-Constants!$H68)</f>
        <v>12821468.785079338</v>
      </c>
      <c r="AX76" s="22">
        <f>AX15*Constants!$H50*(1-Constants!$H68)</f>
        <v>12970035.166162105</v>
      </c>
      <c r="AY76" s="22">
        <f>AY15*Constants!$H50*(1-Constants!$H68)</f>
        <v>13141018.143252775</v>
      </c>
      <c r="AZ76" s="22">
        <f>AZ15*Constants!$H50*(1-Constants!$H68)</f>
        <v>13326366.02550952</v>
      </c>
      <c r="BA76" s="22">
        <f>BA15*Constants!$H50*(1-Constants!$H68)</f>
        <v>13526637.2109592</v>
      </c>
      <c r="BB76" s="22">
        <f>BB15*Constants!$H50*(1-Constants!$H68)</f>
        <v>13728395.305602945</v>
      </c>
      <c r="BC76" s="22">
        <f>BC15*Constants!$H50*(1-Constants!$H68)</f>
        <v>13938841.955880446</v>
      </c>
      <c r="BD76" s="22">
        <f>BD15*Constants!$H50*(1-Constants!$H68)</f>
        <v>14150119.128335755</v>
      </c>
      <c r="BE76" s="22">
        <f>BE15*Constants!$H50*(1-Constants!$H68)</f>
        <v>14369882.765661294</v>
      </c>
      <c r="BF76" s="22">
        <f>BF15*Constants!$H50*(1-Constants!$H68)</f>
        <v>14604653.854322642</v>
      </c>
      <c r="BG76" s="22">
        <f>BG15*Constants!$H50*(1-Constants!$H68)</f>
        <v>14835450.445837334</v>
      </c>
      <c r="BH76" s="22">
        <f>BH15*Constants!$H50*(1-Constants!$H68)</f>
        <v>15075949.197194871</v>
      </c>
      <c r="BI76" s="22">
        <f>BI15*Constants!$H50*(1-Constants!$H68)</f>
        <v>15325074.280922586</v>
      </c>
      <c r="BJ76" s="22">
        <f>BJ15*Constants!$H50*(1-Constants!$H68)</f>
        <v>15584533.850475753</v>
      </c>
      <c r="BK76" s="22">
        <f>BK15*Constants!$H50*(1-Constants!$H68)</f>
        <v>15861706.382400667</v>
      </c>
      <c r="BL76" s="22">
        <f>BL15*Constants!$H50*(1-Constants!$H68)</f>
        <v>16156739.116467489</v>
      </c>
      <c r="BM76" s="22">
        <f>BM15*Constants!$H50*(1-Constants!$H68)</f>
        <v>16465655.140993217</v>
      </c>
      <c r="BN76" s="22">
        <f>BN15*Constants!$H50*(1-Constants!$H68)</f>
        <v>16773895.764853861</v>
      </c>
      <c r="BO76" s="22">
        <f>BO15*Constants!$H50*(1-Constants!$H68)</f>
        <v>17097249.916340027</v>
      </c>
      <c r="BP76" s="22">
        <f>BP15*Constants!$H50*(1-Constants!$H68)</f>
        <v>17437020.590161536</v>
      </c>
    </row>
    <row r="77" spans="1:68" x14ac:dyDescent="0.25">
      <c r="A77" t="str">
        <f t="shared" si="28"/>
        <v>3C Aggregated and non-CO2 emissions on land</v>
      </c>
      <c r="B77" t="str">
        <f t="shared" si="29"/>
        <v>3C4 Direct N2O from managed soils (N2O)</v>
      </c>
      <c r="C77" t="s">
        <v>415</v>
      </c>
      <c r="D77" t="str">
        <f t="shared" si="30"/>
        <v xml:space="preserve"> - Mules &amp; Asses</v>
      </c>
      <c r="E77" t="str">
        <f t="shared" si="31"/>
        <v>Urine &amp; dung - Mules &amp; Asses</v>
      </c>
      <c r="F77" t="str">
        <f t="shared" si="32"/>
        <v>kg N</v>
      </c>
      <c r="H77" s="22">
        <f>H16*Constants!$H51*(1-Constants!$H69)</f>
        <v>2956800</v>
      </c>
      <c r="I77" s="22">
        <f>I16*Constants!$H51*(1-Constants!$H69)</f>
        <v>2956800</v>
      </c>
      <c r="J77" s="22">
        <f>J16*Constants!$H51*(1-Constants!$H69)</f>
        <v>2956800</v>
      </c>
      <c r="K77" s="22">
        <f>K16*Constants!$H51*(1-Constants!$H69)</f>
        <v>2956800</v>
      </c>
      <c r="L77" s="22">
        <f>L16*Constants!$H51*(1-Constants!$H69)</f>
        <v>2956800</v>
      </c>
      <c r="M77" s="22">
        <f>M16*Constants!$H51*(1-Constants!$H69)</f>
        <v>2956800</v>
      </c>
      <c r="N77" s="22">
        <f>N16*Constants!$H51*(1-Constants!$H69)</f>
        <v>2956800</v>
      </c>
      <c r="O77" s="22">
        <f>O16*Constants!$H51*(1-Constants!$H69)</f>
        <v>2956800</v>
      </c>
      <c r="P77" s="22">
        <f>P16*Constants!$H51*(1-Constants!$H69)</f>
        <v>2956800</v>
      </c>
      <c r="Q77" s="22">
        <f>Q16*Constants!$H51*(1-Constants!$H69)</f>
        <v>2956800</v>
      </c>
      <c r="R77" s="22">
        <f>R16*Constants!$H51*(1-Constants!$H69)</f>
        <v>2164800</v>
      </c>
      <c r="S77" s="22">
        <f>S16*Constants!$H51*(1-Constants!$H69)</f>
        <v>2164800</v>
      </c>
      <c r="T77" s="22">
        <f>T16*Constants!$H51*(1-Constants!$H69)</f>
        <v>2164800</v>
      </c>
      <c r="U77" s="22">
        <f>U16*Constants!$H51*(1-Constants!$H69)</f>
        <v>2164800</v>
      </c>
      <c r="V77" s="22">
        <f>V16*Constants!$H51*(1-Constants!$H69)</f>
        <v>2164800</v>
      </c>
      <c r="W77" s="22">
        <f>W16*Constants!$H51*(1-Constants!$H69)</f>
        <v>2164800</v>
      </c>
      <c r="X77" s="22">
        <f>X16*Constants!$H51*(1-Constants!$H69)</f>
        <v>2165460</v>
      </c>
      <c r="Y77" s="22">
        <f>Y16*Constants!$H51*(1-Constants!$H69)</f>
        <v>2172720</v>
      </c>
      <c r="Z77" s="22">
        <f>Z16*Constants!$H51*(1-Constants!$H69)</f>
        <v>2174040</v>
      </c>
      <c r="AA77" s="22">
        <f>AA16*Constants!$H51*(1-Constants!$H69)</f>
        <v>2175360</v>
      </c>
      <c r="AB77" s="22">
        <f>AB16*Constants!$H51*(1-Constants!$H69)</f>
        <v>2195160</v>
      </c>
      <c r="AC77" s="22">
        <f>AC16*Constants!$H51*(1-Constants!$H69)</f>
        <v>2204400</v>
      </c>
      <c r="AD77" s="22">
        <f>AD16*Constants!$H51*(1-Constants!$H69)</f>
        <v>2204400</v>
      </c>
      <c r="AE77" s="22">
        <f>AE16*Constants!$H51*(1-Constants!$H69)</f>
        <v>2204400</v>
      </c>
      <c r="AF77" s="22">
        <f>AF16*Constants!$H51*(1-Constants!$H69)</f>
        <v>2204400</v>
      </c>
      <c r="AG77" s="22">
        <f>AG16*Constants!$H51*(1-Constants!$H69)</f>
        <v>2204400</v>
      </c>
      <c r="AH77" s="22">
        <f>AH16*Constants!$H51*(1-Constants!$H69)</f>
        <v>2204400</v>
      </c>
      <c r="AI77" s="22">
        <f>AI16*Constants!$H51*(1-Constants!$H69)</f>
        <v>2204400</v>
      </c>
      <c r="AJ77" s="22">
        <f>AJ16*Constants!$H51*(1-Constants!$H69)</f>
        <v>2204400</v>
      </c>
      <c r="AK77" s="22">
        <f>AK16*Constants!$H51*(1-Constants!$H69)</f>
        <v>2204400</v>
      </c>
      <c r="AL77" s="22">
        <f>AL16*Constants!$H51*(1-Constants!$H69)</f>
        <v>2204400</v>
      </c>
      <c r="AM77" s="22">
        <f>AM16*Constants!$H51*(1-Constants!$H69)</f>
        <v>2204400</v>
      </c>
      <c r="AN77" s="22">
        <f>AN16*Constants!$H51*(1-Constants!$H69)</f>
        <v>2204400</v>
      </c>
      <c r="AO77" s="22">
        <f>AO16*Constants!$H51*(1-Constants!$H69)</f>
        <v>2204400</v>
      </c>
      <c r="AP77" s="22">
        <f>AP16*Constants!$H51*(1-Constants!$H69)</f>
        <v>2204400</v>
      </c>
      <c r="AQ77" s="22">
        <f>AQ16*Constants!$H51*(1-Constants!$H69)</f>
        <v>2204400</v>
      </c>
      <c r="AR77" s="22">
        <f>AR16*Constants!$H51*(1-Constants!$H69)</f>
        <v>2204400</v>
      </c>
      <c r="AS77" s="22">
        <f>AS16*Constants!$H51*(1-Constants!$H69)</f>
        <v>2204400</v>
      </c>
      <c r="AT77" s="22">
        <f>AT16*Constants!$H51*(1-Constants!$H69)</f>
        <v>2204400</v>
      </c>
      <c r="AU77" s="22">
        <f>AU16*Constants!$H51*(1-Constants!$H69)</f>
        <v>2204400</v>
      </c>
      <c r="AV77" s="22">
        <f>AV16*Constants!$H51*(1-Constants!$H69)</f>
        <v>2204400</v>
      </c>
      <c r="AW77" s="22">
        <f>AW16*Constants!$H51*(1-Constants!$H69)</f>
        <v>2204400</v>
      </c>
      <c r="AX77" s="22">
        <f>AX16*Constants!$H51*(1-Constants!$H69)</f>
        <v>2204400</v>
      </c>
      <c r="AY77" s="22">
        <f>AY16*Constants!$H51*(1-Constants!$H69)</f>
        <v>2204400</v>
      </c>
      <c r="AZ77" s="22">
        <f>AZ16*Constants!$H51*(1-Constants!$H69)</f>
        <v>2204400</v>
      </c>
      <c r="BA77" s="22">
        <f>BA16*Constants!$H51*(1-Constants!$H69)</f>
        <v>2204400</v>
      </c>
      <c r="BB77" s="22">
        <f>BB16*Constants!$H51*(1-Constants!$H69)</f>
        <v>2204400</v>
      </c>
      <c r="BC77" s="22">
        <f>BC16*Constants!$H51*(1-Constants!$H69)</f>
        <v>2204400</v>
      </c>
      <c r="BD77" s="22">
        <f>BD16*Constants!$H51*(1-Constants!$H69)</f>
        <v>2204400</v>
      </c>
      <c r="BE77" s="22">
        <f>BE16*Constants!$H51*(1-Constants!$H69)</f>
        <v>2204400</v>
      </c>
      <c r="BF77" s="22">
        <f>BF16*Constants!$H51*(1-Constants!$H69)</f>
        <v>2204400</v>
      </c>
      <c r="BG77" s="22">
        <f>BG16*Constants!$H51*(1-Constants!$H69)</f>
        <v>2204400</v>
      </c>
      <c r="BH77" s="22">
        <f>BH16*Constants!$H51*(1-Constants!$H69)</f>
        <v>2204400</v>
      </c>
      <c r="BI77" s="22">
        <f>BI16*Constants!$H51*(1-Constants!$H69)</f>
        <v>2204400</v>
      </c>
      <c r="BJ77" s="22">
        <f>BJ16*Constants!$H51*(1-Constants!$H69)</f>
        <v>2204400</v>
      </c>
      <c r="BK77" s="22">
        <f>BK16*Constants!$H51*(1-Constants!$H69)</f>
        <v>2204400</v>
      </c>
      <c r="BL77" s="22">
        <f>BL16*Constants!$H51*(1-Constants!$H69)</f>
        <v>2204400</v>
      </c>
      <c r="BM77" s="22">
        <f>BM16*Constants!$H51*(1-Constants!$H69)</f>
        <v>2204400</v>
      </c>
      <c r="BN77" s="22">
        <f>BN16*Constants!$H51*(1-Constants!$H69)</f>
        <v>2204400</v>
      </c>
      <c r="BO77" s="22">
        <f>BO16*Constants!$H51*(1-Constants!$H69)</f>
        <v>2204400</v>
      </c>
      <c r="BP77" s="22">
        <f>BP16*Constants!$H51*(1-Constants!$H69)</f>
        <v>2204400</v>
      </c>
    </row>
    <row r="78" spans="1:68" x14ac:dyDescent="0.25">
      <c r="A78" t="str">
        <f t="shared" si="28"/>
        <v>3C Aggregated and non-CO2 emissions on land</v>
      </c>
      <c r="B78" t="str">
        <f t="shared" si="29"/>
        <v>3C4 Direct N2O from managed soils (N2O)</v>
      </c>
      <c r="C78" t="s">
        <v>415</v>
      </c>
      <c r="D78" t="str">
        <f t="shared" si="30"/>
        <v xml:space="preserve"> - Commercial swine</v>
      </c>
      <c r="E78" t="str">
        <f t="shared" si="31"/>
        <v>Urine &amp; dung - Commercial swine</v>
      </c>
      <c r="F78" t="str">
        <f t="shared" si="32"/>
        <v>kg N</v>
      </c>
      <c r="H78" s="22">
        <f>H17*Constants!$H52*(1-Constants!$H70)</f>
        <v>0</v>
      </c>
      <c r="I78" s="22">
        <f>I17*Constants!$H52*(1-Constants!$H70)</f>
        <v>0</v>
      </c>
      <c r="J78" s="22">
        <f>J17*Constants!$H52*(1-Constants!$H70)</f>
        <v>0</v>
      </c>
      <c r="K78" s="22">
        <f>K17*Constants!$H52*(1-Constants!$H70)</f>
        <v>0</v>
      </c>
      <c r="L78" s="22">
        <f>L17*Constants!$H52*(1-Constants!$H70)</f>
        <v>0</v>
      </c>
      <c r="M78" s="22">
        <f>M17*Constants!$H52*(1-Constants!$H70)</f>
        <v>0</v>
      </c>
      <c r="N78" s="22">
        <f>N17*Constants!$H52*(1-Constants!$H70)</f>
        <v>0</v>
      </c>
      <c r="O78" s="22">
        <f>O17*Constants!$H52*(1-Constants!$H70)</f>
        <v>0</v>
      </c>
      <c r="P78" s="22">
        <f>P17*Constants!$H52*(1-Constants!$H70)</f>
        <v>0</v>
      </c>
      <c r="Q78" s="22">
        <f>Q17*Constants!$H52*(1-Constants!$H70)</f>
        <v>0</v>
      </c>
      <c r="R78" s="22">
        <f>R17*Constants!$H52*(1-Constants!$H70)</f>
        <v>0</v>
      </c>
      <c r="S78" s="22">
        <f>S17*Constants!$H52*(1-Constants!$H70)</f>
        <v>0</v>
      </c>
      <c r="T78" s="22">
        <f>T17*Constants!$H52*(1-Constants!$H70)</f>
        <v>0</v>
      </c>
      <c r="U78" s="22">
        <f>U17*Constants!$H52*(1-Constants!$H70)</f>
        <v>0</v>
      </c>
      <c r="V78" s="22">
        <f>V17*Constants!$H52*(1-Constants!$H70)</f>
        <v>0</v>
      </c>
      <c r="W78" s="22">
        <f>W17*Constants!$H52*(1-Constants!$H70)</f>
        <v>0</v>
      </c>
      <c r="X78" s="22">
        <f>X17*Constants!$H52*(1-Constants!$H70)</f>
        <v>0</v>
      </c>
      <c r="Y78" s="22">
        <f>Y17*Constants!$H52*(1-Constants!$H70)</f>
        <v>0</v>
      </c>
      <c r="Z78" s="22">
        <f>Z17*Constants!$H52*(1-Constants!$H70)</f>
        <v>0</v>
      </c>
      <c r="AA78" s="22">
        <f>AA17*Constants!$H52*(1-Constants!$H70)</f>
        <v>0</v>
      </c>
      <c r="AB78" s="22">
        <f>AB17*Constants!$H52*(1-Constants!$H70)</f>
        <v>0</v>
      </c>
      <c r="AC78" s="22">
        <f>AC17*Constants!$H52*(1-Constants!$H70)</f>
        <v>0</v>
      </c>
      <c r="AD78" s="22">
        <f>AD17*Constants!$H52*(1-Constants!$H70)</f>
        <v>0</v>
      </c>
      <c r="AE78" s="22">
        <f>AE17*Constants!$H52*(1-Constants!$H70)</f>
        <v>0</v>
      </c>
      <c r="AF78" s="22">
        <f>AF17*Constants!$H52*(1-Constants!$H70)</f>
        <v>0</v>
      </c>
      <c r="AG78" s="22">
        <f>AG17*Constants!$H52*(1-Constants!$H70)</f>
        <v>0</v>
      </c>
      <c r="AH78" s="22">
        <f>AH17*Constants!$H52*(1-Constants!$H70)</f>
        <v>0</v>
      </c>
      <c r="AI78" s="22">
        <f>AI17*Constants!$H52*(1-Constants!$H70)</f>
        <v>0</v>
      </c>
      <c r="AJ78" s="22">
        <f>AJ17*Constants!$H52*(1-Constants!$H70)</f>
        <v>0</v>
      </c>
      <c r="AK78" s="22">
        <f>AK17*Constants!$H52*(1-Constants!$H70)</f>
        <v>0</v>
      </c>
      <c r="AL78" s="22">
        <f>AL17*Constants!$H52*(1-Constants!$H70)</f>
        <v>0</v>
      </c>
      <c r="AM78" s="22">
        <f>AM17*Constants!$H52*(1-Constants!$H70)</f>
        <v>0</v>
      </c>
      <c r="AN78" s="22">
        <f>AN17*Constants!$H52*(1-Constants!$H70)</f>
        <v>0</v>
      </c>
      <c r="AO78" s="22">
        <f>AO17*Constants!$H52*(1-Constants!$H70)</f>
        <v>0</v>
      </c>
      <c r="AP78" s="22">
        <f>AP17*Constants!$H52*(1-Constants!$H70)</f>
        <v>0</v>
      </c>
      <c r="AQ78" s="22">
        <f>AQ17*Constants!$H52*(1-Constants!$H70)</f>
        <v>0</v>
      </c>
      <c r="AR78" s="22">
        <f>AR17*Constants!$H52*(1-Constants!$H70)</f>
        <v>0</v>
      </c>
      <c r="AS78" s="22">
        <f>AS17*Constants!$H52*(1-Constants!$H70)</f>
        <v>0</v>
      </c>
      <c r="AT78" s="22">
        <f>AT17*Constants!$H52*(1-Constants!$H70)</f>
        <v>0</v>
      </c>
      <c r="AU78" s="22">
        <f>AU17*Constants!$H52*(1-Constants!$H70)</f>
        <v>0</v>
      </c>
      <c r="AV78" s="22">
        <f>AV17*Constants!$H52*(1-Constants!$H70)</f>
        <v>0</v>
      </c>
      <c r="AW78" s="22">
        <f>AW17*Constants!$H52*(1-Constants!$H70)</f>
        <v>0</v>
      </c>
      <c r="AX78" s="22">
        <f>AX17*Constants!$H52*(1-Constants!$H70)</f>
        <v>0</v>
      </c>
      <c r="AY78" s="22">
        <f>AY17*Constants!$H52*(1-Constants!$H70)</f>
        <v>0</v>
      </c>
      <c r="AZ78" s="22">
        <f>AZ17*Constants!$H52*(1-Constants!$H70)</f>
        <v>0</v>
      </c>
      <c r="BA78" s="22">
        <f>BA17*Constants!$H52*(1-Constants!$H70)</f>
        <v>0</v>
      </c>
      <c r="BB78" s="22">
        <f>BB17*Constants!$H52*(1-Constants!$H70)</f>
        <v>0</v>
      </c>
      <c r="BC78" s="22">
        <f>BC17*Constants!$H52*(1-Constants!$H70)</f>
        <v>0</v>
      </c>
      <c r="BD78" s="22">
        <f>BD17*Constants!$H52*(1-Constants!$H70)</f>
        <v>0</v>
      </c>
      <c r="BE78" s="22">
        <f>BE17*Constants!$H52*(1-Constants!$H70)</f>
        <v>0</v>
      </c>
      <c r="BF78" s="22">
        <f>BF17*Constants!$H52*(1-Constants!$H70)</f>
        <v>0</v>
      </c>
      <c r="BG78" s="22">
        <f>BG17*Constants!$H52*(1-Constants!$H70)</f>
        <v>0</v>
      </c>
      <c r="BH78" s="22">
        <f>BH17*Constants!$H52*(1-Constants!$H70)</f>
        <v>0</v>
      </c>
      <c r="BI78" s="22">
        <f>BI17*Constants!$H52*(1-Constants!$H70)</f>
        <v>0</v>
      </c>
      <c r="BJ78" s="22">
        <f>BJ17*Constants!$H52*(1-Constants!$H70)</f>
        <v>0</v>
      </c>
      <c r="BK78" s="22">
        <f>BK17*Constants!$H52*(1-Constants!$H70)</f>
        <v>0</v>
      </c>
      <c r="BL78" s="22">
        <f>BL17*Constants!$H52*(1-Constants!$H70)</f>
        <v>0</v>
      </c>
      <c r="BM78" s="22">
        <f>BM17*Constants!$H52*(1-Constants!$H70)</f>
        <v>0</v>
      </c>
      <c r="BN78" s="22">
        <f>BN17*Constants!$H52*(1-Constants!$H70)</f>
        <v>0</v>
      </c>
      <c r="BO78" s="22">
        <f>BO17*Constants!$H52*(1-Constants!$H70)</f>
        <v>0</v>
      </c>
      <c r="BP78" s="22">
        <f>BP17*Constants!$H52*(1-Constants!$H70)</f>
        <v>0</v>
      </c>
    </row>
    <row r="79" spans="1:68" x14ac:dyDescent="0.25">
      <c r="A79" t="str">
        <f t="shared" si="28"/>
        <v>3C Aggregated and non-CO2 emissions on land</v>
      </c>
      <c r="B79" t="str">
        <f t="shared" si="29"/>
        <v>3C4 Direct N2O from managed soils (N2O)</v>
      </c>
      <c r="C79" t="s">
        <v>415</v>
      </c>
      <c r="D79" t="str">
        <f>D63</f>
        <v xml:space="preserve"> - Subsistence swine</v>
      </c>
      <c r="E79" t="str">
        <f t="shared" si="31"/>
        <v>Urine &amp; dung - Subsistence swine</v>
      </c>
      <c r="F79" t="str">
        <f t="shared" si="32"/>
        <v>kg N</v>
      </c>
      <c r="H79" s="22">
        <f>H18*Constants!$H53*(1-Constants!$H71)</f>
        <v>0</v>
      </c>
      <c r="I79" s="22">
        <f>I18*Constants!$H53*(1-Constants!$H71)</f>
        <v>0</v>
      </c>
      <c r="J79" s="22">
        <f>J18*Constants!$H53*(1-Constants!$H71)</f>
        <v>0</v>
      </c>
      <c r="K79" s="22">
        <f>K18*Constants!$H53*(1-Constants!$H71)</f>
        <v>0</v>
      </c>
      <c r="L79" s="22">
        <f>L18*Constants!$H53*(1-Constants!$H71)</f>
        <v>0</v>
      </c>
      <c r="M79" s="22">
        <f>M18*Constants!$H53*(1-Constants!$H71)</f>
        <v>0</v>
      </c>
      <c r="N79" s="22">
        <f>N18*Constants!$H53*(1-Constants!$H71)</f>
        <v>0</v>
      </c>
      <c r="O79" s="22">
        <f>O18*Constants!$H53*(1-Constants!$H71)</f>
        <v>0</v>
      </c>
      <c r="P79" s="22">
        <f>P18*Constants!$H53*(1-Constants!$H71)</f>
        <v>0</v>
      </c>
      <c r="Q79" s="22">
        <f>Q18*Constants!$H53*(1-Constants!$H71)</f>
        <v>0</v>
      </c>
      <c r="R79" s="22">
        <f>R18*Constants!$H53*(1-Constants!$H71)</f>
        <v>0</v>
      </c>
      <c r="S79" s="22">
        <f>S18*Constants!$H53*(1-Constants!$H71)</f>
        <v>0</v>
      </c>
      <c r="T79" s="22">
        <f>T18*Constants!$H53*(1-Constants!$H71)</f>
        <v>0</v>
      </c>
      <c r="U79" s="22">
        <f>U18*Constants!$H53*(1-Constants!$H71)</f>
        <v>0</v>
      </c>
      <c r="V79" s="22">
        <f>V18*Constants!$H53*(1-Constants!$H71)</f>
        <v>0</v>
      </c>
      <c r="W79" s="22">
        <f>W18*Constants!$H53*(1-Constants!$H71)</f>
        <v>0</v>
      </c>
      <c r="X79" s="22">
        <f>X18*Constants!$H53*(1-Constants!$H71)</f>
        <v>0</v>
      </c>
      <c r="Y79" s="22">
        <f>Y18*Constants!$H53*(1-Constants!$H71)</f>
        <v>0</v>
      </c>
      <c r="Z79" s="22">
        <f>Z18*Constants!$H53*(1-Constants!$H71)</f>
        <v>0</v>
      </c>
      <c r="AA79" s="22">
        <f>AA18*Constants!$H53*(1-Constants!$H71)</f>
        <v>0</v>
      </c>
      <c r="AB79" s="22">
        <f>AB18*Constants!$H53*(1-Constants!$H71)</f>
        <v>0</v>
      </c>
      <c r="AC79" s="22">
        <f>AC18*Constants!$H53*(1-Constants!$H71)</f>
        <v>0</v>
      </c>
      <c r="AD79" s="22">
        <f>AD18*Constants!$H53*(1-Constants!$H71)</f>
        <v>0</v>
      </c>
      <c r="AE79" s="22">
        <f>AE18*Constants!$H53*(1-Constants!$H71)</f>
        <v>0</v>
      </c>
      <c r="AF79" s="22">
        <f>AF18*Constants!$H53*(1-Constants!$H71)</f>
        <v>0</v>
      </c>
      <c r="AG79" s="22">
        <f>AG18*Constants!$H53*(1-Constants!$H71)</f>
        <v>0</v>
      </c>
      <c r="AH79" s="22">
        <f>AH18*Constants!$H53*(1-Constants!$H71)</f>
        <v>0</v>
      </c>
      <c r="AI79" s="22">
        <f>AI18*Constants!$H53*(1-Constants!$H71)</f>
        <v>0</v>
      </c>
      <c r="AJ79" s="22">
        <f>AJ18*Constants!$H53*(1-Constants!$H71)</f>
        <v>0</v>
      </c>
      <c r="AK79" s="22">
        <f>AK18*Constants!$H53*(1-Constants!$H71)</f>
        <v>0</v>
      </c>
      <c r="AL79" s="22">
        <f>AL18*Constants!$H53*(1-Constants!$H71)</f>
        <v>0</v>
      </c>
      <c r="AM79" s="22">
        <f>AM18*Constants!$H53*(1-Constants!$H71)</f>
        <v>0</v>
      </c>
      <c r="AN79" s="22">
        <f>AN18*Constants!$H53*(1-Constants!$H71)</f>
        <v>0</v>
      </c>
      <c r="AO79" s="22">
        <f>AO18*Constants!$H53*(1-Constants!$H71)</f>
        <v>0</v>
      </c>
      <c r="AP79" s="22">
        <f>AP18*Constants!$H53*(1-Constants!$H71)</f>
        <v>0</v>
      </c>
      <c r="AQ79" s="22">
        <f>AQ18*Constants!$H53*(1-Constants!$H71)</f>
        <v>0</v>
      </c>
      <c r="AR79" s="22">
        <f>AR18*Constants!$H53*(1-Constants!$H71)</f>
        <v>0</v>
      </c>
      <c r="AS79" s="22">
        <f>AS18*Constants!$H53*(1-Constants!$H71)</f>
        <v>0</v>
      </c>
      <c r="AT79" s="22">
        <f>AT18*Constants!$H53*(1-Constants!$H71)</f>
        <v>0</v>
      </c>
      <c r="AU79" s="22">
        <f>AU18*Constants!$H53*(1-Constants!$H71)</f>
        <v>0</v>
      </c>
      <c r="AV79" s="22">
        <f>AV18*Constants!$H53*(1-Constants!$H71)</f>
        <v>0</v>
      </c>
      <c r="AW79" s="22">
        <f>AW18*Constants!$H53*(1-Constants!$H71)</f>
        <v>0</v>
      </c>
      <c r="AX79" s="22">
        <f>AX18*Constants!$H53*(1-Constants!$H71)</f>
        <v>0</v>
      </c>
      <c r="AY79" s="22">
        <f>AY18*Constants!$H53*(1-Constants!$H71)</f>
        <v>0</v>
      </c>
      <c r="AZ79" s="22">
        <f>AZ18*Constants!$H53*(1-Constants!$H71)</f>
        <v>0</v>
      </c>
      <c r="BA79" s="22">
        <f>BA18*Constants!$H53*(1-Constants!$H71)</f>
        <v>0</v>
      </c>
      <c r="BB79" s="22">
        <f>BB18*Constants!$H53*(1-Constants!$H71)</f>
        <v>0</v>
      </c>
      <c r="BC79" s="22">
        <f>BC18*Constants!$H53*(1-Constants!$H71)</f>
        <v>0</v>
      </c>
      <c r="BD79" s="22">
        <f>BD18*Constants!$H53*(1-Constants!$H71)</f>
        <v>0</v>
      </c>
      <c r="BE79" s="22">
        <f>BE18*Constants!$H53*(1-Constants!$H71)</f>
        <v>0</v>
      </c>
      <c r="BF79" s="22">
        <f>BF18*Constants!$H53*(1-Constants!$H71)</f>
        <v>0</v>
      </c>
      <c r="BG79" s="22">
        <f>BG18*Constants!$H53*(1-Constants!$H71)</f>
        <v>0</v>
      </c>
      <c r="BH79" s="22">
        <f>BH18*Constants!$H53*(1-Constants!$H71)</f>
        <v>0</v>
      </c>
      <c r="BI79" s="22">
        <f>BI18*Constants!$H53*(1-Constants!$H71)</f>
        <v>0</v>
      </c>
      <c r="BJ79" s="22">
        <f>BJ18*Constants!$H53*(1-Constants!$H71)</f>
        <v>0</v>
      </c>
      <c r="BK79" s="22">
        <f>BK18*Constants!$H53*(1-Constants!$H71)</f>
        <v>0</v>
      </c>
      <c r="BL79" s="22">
        <f>BL18*Constants!$H53*(1-Constants!$H71)</f>
        <v>0</v>
      </c>
      <c r="BM79" s="22">
        <f>BM18*Constants!$H53*(1-Constants!$H71)</f>
        <v>0</v>
      </c>
      <c r="BN79" s="22">
        <f>BN18*Constants!$H53*(1-Constants!$H71)</f>
        <v>0</v>
      </c>
      <c r="BO79" s="22">
        <f>BO18*Constants!$H53*(1-Constants!$H71)</f>
        <v>0</v>
      </c>
      <c r="BP79" s="22">
        <f>BP18*Constants!$H53*(1-Constants!$H71)</f>
        <v>0</v>
      </c>
    </row>
    <row r="80" spans="1:68" x14ac:dyDescent="0.25">
      <c r="A80" t="str">
        <f t="shared" si="28"/>
        <v>3C Aggregated and non-CO2 emissions on land</v>
      </c>
      <c r="B80" t="str">
        <f t="shared" si="29"/>
        <v>3C4 Direct N2O from managed soils (N2O)</v>
      </c>
      <c r="C80" t="s">
        <v>415</v>
      </c>
      <c r="D80" t="str">
        <f t="shared" si="30"/>
        <v xml:space="preserve"> - Commercial layers</v>
      </c>
      <c r="E80" t="str">
        <f t="shared" ref="E80:E81" si="33">C80&amp;D80</f>
        <v>Urine &amp; dung - Commercial layers</v>
      </c>
      <c r="F80" t="str">
        <f t="shared" ref="F80:F81" si="34">F79</f>
        <v>kg N</v>
      </c>
      <c r="H80" s="22">
        <f>H19*Constants!$H54*(1-Constants!$H72)</f>
        <v>0</v>
      </c>
      <c r="I80" s="22">
        <f>I19*Constants!$H54*(1-Constants!$H72)</f>
        <v>0</v>
      </c>
      <c r="J80" s="22">
        <f>J19*Constants!$H54*(1-Constants!$H72)</f>
        <v>0</v>
      </c>
      <c r="K80" s="22">
        <f>K19*Constants!$H54*(1-Constants!$H72)</f>
        <v>0</v>
      </c>
      <c r="L80" s="22">
        <f>L19*Constants!$H54*(1-Constants!$H72)</f>
        <v>0</v>
      </c>
      <c r="M80" s="22">
        <f>M19*Constants!$H54*(1-Constants!$H72)</f>
        <v>0</v>
      </c>
      <c r="N80" s="22">
        <f>N19*Constants!$H54*(1-Constants!$H72)</f>
        <v>0</v>
      </c>
      <c r="O80" s="22">
        <f>O19*Constants!$H54*(1-Constants!$H72)</f>
        <v>0</v>
      </c>
      <c r="P80" s="22">
        <f>P19*Constants!$H54*(1-Constants!$H72)</f>
        <v>0</v>
      </c>
      <c r="Q80" s="22">
        <f>Q19*Constants!$H54*(1-Constants!$H72)</f>
        <v>0</v>
      </c>
      <c r="R80" s="22">
        <f>R19*Constants!$H54*(1-Constants!$H72)</f>
        <v>0</v>
      </c>
      <c r="S80" s="22">
        <f>S19*Constants!$H54*(1-Constants!$H72)</f>
        <v>0</v>
      </c>
      <c r="T80" s="22">
        <f>T19*Constants!$H54*(1-Constants!$H72)</f>
        <v>0</v>
      </c>
      <c r="U80" s="22">
        <f>U19*Constants!$H54*(1-Constants!$H72)</f>
        <v>0</v>
      </c>
      <c r="V80" s="22">
        <f>V19*Constants!$H54*(1-Constants!$H72)</f>
        <v>0</v>
      </c>
      <c r="W80" s="22">
        <f>W19*Constants!$H54*(1-Constants!$H72)</f>
        <v>0</v>
      </c>
      <c r="X80" s="22">
        <f>X19*Constants!$H54*(1-Constants!$H72)</f>
        <v>0</v>
      </c>
      <c r="Y80" s="22">
        <f>Y19*Constants!$H54*(1-Constants!$H72)</f>
        <v>0</v>
      </c>
      <c r="Z80" s="22">
        <f>Z19*Constants!$H54*(1-Constants!$H72)</f>
        <v>0</v>
      </c>
      <c r="AA80" s="22">
        <f>AA19*Constants!$H54*(1-Constants!$H72)</f>
        <v>0</v>
      </c>
      <c r="AB80" s="22">
        <f>AB19*Constants!$H54*(1-Constants!$H72)</f>
        <v>0</v>
      </c>
      <c r="AC80" s="22">
        <f>AC19*Constants!$H54*(1-Constants!$H72)</f>
        <v>0</v>
      </c>
      <c r="AD80" s="22">
        <f>AD19*Constants!$H54*(1-Constants!$H72)</f>
        <v>0</v>
      </c>
      <c r="AE80" s="22">
        <f>AE19*Constants!$H54*(1-Constants!$H72)</f>
        <v>0</v>
      </c>
      <c r="AF80" s="22">
        <f>AF19*Constants!$H54*(1-Constants!$H72)</f>
        <v>0</v>
      </c>
      <c r="AG80" s="22">
        <f>AG19*Constants!$H54*(1-Constants!$H72)</f>
        <v>0</v>
      </c>
      <c r="AH80" s="22">
        <f>AH19*Constants!$H54*(1-Constants!$H72)</f>
        <v>0</v>
      </c>
      <c r="AI80" s="22">
        <f>AI19*Constants!$H54*(1-Constants!$H72)</f>
        <v>0</v>
      </c>
      <c r="AJ80" s="22">
        <f>AJ19*Constants!$H54*(1-Constants!$H72)</f>
        <v>0</v>
      </c>
      <c r="AK80" s="22">
        <f>AK19*Constants!$H54*(1-Constants!$H72)</f>
        <v>0</v>
      </c>
      <c r="AL80" s="22">
        <f>AL19*Constants!$H54*(1-Constants!$H72)</f>
        <v>0</v>
      </c>
      <c r="AM80" s="22">
        <f>AM19*Constants!$H54*(1-Constants!$H72)</f>
        <v>0</v>
      </c>
      <c r="AN80" s="22">
        <f>AN19*Constants!$H54*(1-Constants!$H72)</f>
        <v>0</v>
      </c>
      <c r="AO80" s="22">
        <f>AO19*Constants!$H54*(1-Constants!$H72)</f>
        <v>0</v>
      </c>
      <c r="AP80" s="22">
        <f>AP19*Constants!$H54*(1-Constants!$H72)</f>
        <v>0</v>
      </c>
      <c r="AQ80" s="22">
        <f>AQ19*Constants!$H54*(1-Constants!$H72)</f>
        <v>0</v>
      </c>
      <c r="AR80" s="22">
        <f>AR19*Constants!$H54*(1-Constants!$H72)</f>
        <v>0</v>
      </c>
      <c r="AS80" s="22">
        <f>AS19*Constants!$H54*(1-Constants!$H72)</f>
        <v>0</v>
      </c>
      <c r="AT80" s="22">
        <f>AT19*Constants!$H54*(1-Constants!$H72)</f>
        <v>0</v>
      </c>
      <c r="AU80" s="22">
        <f>AU19*Constants!$H54*(1-Constants!$H72)</f>
        <v>0</v>
      </c>
      <c r="AV80" s="22">
        <f>AV19*Constants!$H54*(1-Constants!$H72)</f>
        <v>0</v>
      </c>
      <c r="AW80" s="22">
        <f>AW19*Constants!$H54*(1-Constants!$H72)</f>
        <v>0</v>
      </c>
      <c r="AX80" s="22">
        <f>AX19*Constants!$H54*(1-Constants!$H72)</f>
        <v>0</v>
      </c>
      <c r="AY80" s="22">
        <f>AY19*Constants!$H54*(1-Constants!$H72)</f>
        <v>0</v>
      </c>
      <c r="AZ80" s="22">
        <f>AZ19*Constants!$H54*(1-Constants!$H72)</f>
        <v>0</v>
      </c>
      <c r="BA80" s="22">
        <f>BA19*Constants!$H54*(1-Constants!$H72)</f>
        <v>0</v>
      </c>
      <c r="BB80" s="22">
        <f>BB19*Constants!$H54*(1-Constants!$H72)</f>
        <v>0</v>
      </c>
      <c r="BC80" s="22">
        <f>BC19*Constants!$H54*(1-Constants!$H72)</f>
        <v>0</v>
      </c>
      <c r="BD80" s="22">
        <f>BD19*Constants!$H54*(1-Constants!$H72)</f>
        <v>0</v>
      </c>
      <c r="BE80" s="22">
        <f>BE19*Constants!$H54*(1-Constants!$H72)</f>
        <v>0</v>
      </c>
      <c r="BF80" s="22">
        <f>BF19*Constants!$H54*(1-Constants!$H72)</f>
        <v>0</v>
      </c>
      <c r="BG80" s="22">
        <f>BG19*Constants!$H54*(1-Constants!$H72)</f>
        <v>0</v>
      </c>
      <c r="BH80" s="22">
        <f>BH19*Constants!$H54*(1-Constants!$H72)</f>
        <v>0</v>
      </c>
      <c r="BI80" s="22">
        <f>BI19*Constants!$H54*(1-Constants!$H72)</f>
        <v>0</v>
      </c>
      <c r="BJ80" s="22">
        <f>BJ19*Constants!$H54*(1-Constants!$H72)</f>
        <v>0</v>
      </c>
      <c r="BK80" s="22">
        <f>BK19*Constants!$H54*(1-Constants!$H72)</f>
        <v>0</v>
      </c>
      <c r="BL80" s="22">
        <f>BL19*Constants!$H54*(1-Constants!$H72)</f>
        <v>0</v>
      </c>
      <c r="BM80" s="22">
        <f>BM19*Constants!$H54*(1-Constants!$H72)</f>
        <v>0</v>
      </c>
      <c r="BN80" s="22">
        <f>BN19*Constants!$H54*(1-Constants!$H72)</f>
        <v>0</v>
      </c>
      <c r="BO80" s="22">
        <f>BO19*Constants!$H54*(1-Constants!$H72)</f>
        <v>0</v>
      </c>
      <c r="BP80" s="22">
        <f>BP19*Constants!$H54*(1-Constants!$H72)</f>
        <v>0</v>
      </c>
    </row>
    <row r="81" spans="1:72" x14ac:dyDescent="0.25">
      <c r="A81" t="str">
        <f t="shared" si="28"/>
        <v>3C Aggregated and non-CO2 emissions on land</v>
      </c>
      <c r="B81" t="str">
        <f t="shared" si="29"/>
        <v>3C4 Direct N2O from managed soils (N2O)</v>
      </c>
      <c r="C81" t="s">
        <v>415</v>
      </c>
      <c r="D81" t="str">
        <f t="shared" si="30"/>
        <v xml:space="preserve"> - Commercial broilers</v>
      </c>
      <c r="E81" t="str">
        <f t="shared" si="33"/>
        <v>Urine &amp; dung - Commercial broilers</v>
      </c>
      <c r="F81" t="str">
        <f t="shared" si="34"/>
        <v>kg N</v>
      </c>
      <c r="H81" s="22">
        <f>H20*Constants!$H55*(1-Constants!$H73)</f>
        <v>0</v>
      </c>
      <c r="I81" s="22">
        <f>I20*Constants!$H55*(1-Constants!$H73)</f>
        <v>0</v>
      </c>
      <c r="J81" s="22">
        <f>J20*Constants!$H55*(1-Constants!$H73)</f>
        <v>0</v>
      </c>
      <c r="K81" s="22">
        <f>K20*Constants!$H55*(1-Constants!$H73)</f>
        <v>0</v>
      </c>
      <c r="L81" s="22">
        <f>L20*Constants!$H55*(1-Constants!$H73)</f>
        <v>0</v>
      </c>
      <c r="M81" s="22">
        <f>M20*Constants!$H55*(1-Constants!$H73)</f>
        <v>0</v>
      </c>
      <c r="N81" s="22">
        <f>N20*Constants!$H55*(1-Constants!$H73)</f>
        <v>0</v>
      </c>
      <c r="O81" s="22">
        <f>O20*Constants!$H55*(1-Constants!$H73)</f>
        <v>0</v>
      </c>
      <c r="P81" s="22">
        <f>P20*Constants!$H55*(1-Constants!$H73)</f>
        <v>0</v>
      </c>
      <c r="Q81" s="22">
        <f>Q20*Constants!$H55*(1-Constants!$H73)</f>
        <v>0</v>
      </c>
      <c r="R81" s="22">
        <f>R20*Constants!$H55*(1-Constants!$H73)</f>
        <v>0</v>
      </c>
      <c r="S81" s="22">
        <f>S20*Constants!$H55*(1-Constants!$H73)</f>
        <v>0</v>
      </c>
      <c r="T81" s="22">
        <f>T20*Constants!$H55*(1-Constants!$H73)</f>
        <v>0</v>
      </c>
      <c r="U81" s="22">
        <f>U20*Constants!$H55*(1-Constants!$H73)</f>
        <v>0</v>
      </c>
      <c r="V81" s="22">
        <f>V20*Constants!$H55*(1-Constants!$H73)</f>
        <v>0</v>
      </c>
      <c r="W81" s="22">
        <f>W20*Constants!$H55*(1-Constants!$H73)</f>
        <v>0</v>
      </c>
      <c r="X81" s="22">
        <f>X20*Constants!$H55*(1-Constants!$H73)</f>
        <v>0</v>
      </c>
      <c r="Y81" s="22">
        <f>Y20*Constants!$H55*(1-Constants!$H73)</f>
        <v>0</v>
      </c>
      <c r="Z81" s="22">
        <f>Z20*Constants!$H55*(1-Constants!$H73)</f>
        <v>0</v>
      </c>
      <c r="AA81" s="22">
        <f>AA20*Constants!$H55*(1-Constants!$H73)</f>
        <v>0</v>
      </c>
      <c r="AB81" s="22">
        <f>AB20*Constants!$H55*(1-Constants!$H73)</f>
        <v>0</v>
      </c>
      <c r="AC81" s="22">
        <f>AC20*Constants!$H55*(1-Constants!$H73)</f>
        <v>0</v>
      </c>
      <c r="AD81" s="22">
        <f>AD20*Constants!$H55*(1-Constants!$H73)</f>
        <v>0</v>
      </c>
      <c r="AE81" s="22">
        <f>AE20*Constants!$H55*(1-Constants!$H73)</f>
        <v>0</v>
      </c>
      <c r="AF81" s="22">
        <f>AF20*Constants!$H55*(1-Constants!$H73)</f>
        <v>0</v>
      </c>
      <c r="AG81" s="22">
        <f>AG20*Constants!$H55*(1-Constants!$H73)</f>
        <v>0</v>
      </c>
      <c r="AH81" s="22">
        <f>AH20*Constants!$H55*(1-Constants!$H73)</f>
        <v>0</v>
      </c>
      <c r="AI81" s="22">
        <f>AI20*Constants!$H55*(1-Constants!$H73)</f>
        <v>0</v>
      </c>
      <c r="AJ81" s="22">
        <f>AJ20*Constants!$H55*(1-Constants!$H73)</f>
        <v>0</v>
      </c>
      <c r="AK81" s="22">
        <f>AK20*Constants!$H55*(1-Constants!$H73)</f>
        <v>0</v>
      </c>
      <c r="AL81" s="22">
        <f>AL20*Constants!$H55*(1-Constants!$H73)</f>
        <v>0</v>
      </c>
      <c r="AM81" s="22">
        <f>AM20*Constants!$H55*(1-Constants!$H73)</f>
        <v>0</v>
      </c>
      <c r="AN81" s="22">
        <f>AN20*Constants!$H55*(1-Constants!$H73)</f>
        <v>0</v>
      </c>
      <c r="AO81" s="22">
        <f>AO20*Constants!$H55*(1-Constants!$H73)</f>
        <v>0</v>
      </c>
      <c r="AP81" s="22">
        <f>AP20*Constants!$H55*(1-Constants!$H73)</f>
        <v>0</v>
      </c>
      <c r="AQ81" s="22">
        <f>AQ20*Constants!$H55*(1-Constants!$H73)</f>
        <v>0</v>
      </c>
      <c r="AR81" s="22">
        <f>AR20*Constants!$H55*(1-Constants!$H73)</f>
        <v>0</v>
      </c>
      <c r="AS81" s="22">
        <f>AS20*Constants!$H55*(1-Constants!$H73)</f>
        <v>0</v>
      </c>
      <c r="AT81" s="22">
        <f>AT20*Constants!$H55*(1-Constants!$H73)</f>
        <v>0</v>
      </c>
      <c r="AU81" s="22">
        <f>AU20*Constants!$H55*(1-Constants!$H73)</f>
        <v>0</v>
      </c>
      <c r="AV81" s="22">
        <f>AV20*Constants!$H55*(1-Constants!$H73)</f>
        <v>0</v>
      </c>
      <c r="AW81" s="22">
        <f>AW20*Constants!$H55*(1-Constants!$H73)</f>
        <v>0</v>
      </c>
      <c r="AX81" s="22">
        <f>AX20*Constants!$H55*(1-Constants!$H73)</f>
        <v>0</v>
      </c>
      <c r="AY81" s="22">
        <f>AY20*Constants!$H55*(1-Constants!$H73)</f>
        <v>0</v>
      </c>
      <c r="AZ81" s="22">
        <f>AZ20*Constants!$H55*(1-Constants!$H73)</f>
        <v>0</v>
      </c>
      <c r="BA81" s="22">
        <f>BA20*Constants!$H55*(1-Constants!$H73)</f>
        <v>0</v>
      </c>
      <c r="BB81" s="22">
        <f>BB20*Constants!$H55*(1-Constants!$H73)</f>
        <v>0</v>
      </c>
      <c r="BC81" s="22">
        <f>BC20*Constants!$H55*(1-Constants!$H73)</f>
        <v>0</v>
      </c>
      <c r="BD81" s="22">
        <f>BD20*Constants!$H55*(1-Constants!$H73)</f>
        <v>0</v>
      </c>
      <c r="BE81" s="22">
        <f>BE20*Constants!$H55*(1-Constants!$H73)</f>
        <v>0</v>
      </c>
      <c r="BF81" s="22">
        <f>BF20*Constants!$H55*(1-Constants!$H73)</f>
        <v>0</v>
      </c>
      <c r="BG81" s="22">
        <f>BG20*Constants!$H55*(1-Constants!$H73)</f>
        <v>0</v>
      </c>
      <c r="BH81" s="22">
        <f>BH20*Constants!$H55*(1-Constants!$H73)</f>
        <v>0</v>
      </c>
      <c r="BI81" s="22">
        <f>BI20*Constants!$H55*(1-Constants!$H73)</f>
        <v>0</v>
      </c>
      <c r="BJ81" s="22">
        <f>BJ20*Constants!$H55*(1-Constants!$H73)</f>
        <v>0</v>
      </c>
      <c r="BK81" s="22">
        <f>BK20*Constants!$H55*(1-Constants!$H73)</f>
        <v>0</v>
      </c>
      <c r="BL81" s="22">
        <f>BL20*Constants!$H55*(1-Constants!$H73)</f>
        <v>0</v>
      </c>
      <c r="BM81" s="22">
        <f>BM20*Constants!$H55*(1-Constants!$H73)</f>
        <v>0</v>
      </c>
      <c r="BN81" s="22">
        <f>BN20*Constants!$H55*(1-Constants!$H73)</f>
        <v>0</v>
      </c>
      <c r="BO81" s="22">
        <f>BO20*Constants!$H55*(1-Constants!$H73)</f>
        <v>0</v>
      </c>
      <c r="BP81" s="22">
        <f>BP20*Constants!$H55*(1-Constants!$H73)</f>
        <v>0</v>
      </c>
    </row>
    <row r="82" spans="1:72" x14ac:dyDescent="0.25">
      <c r="A82" t="str">
        <f>A81</f>
        <v>3C Aggregated and non-CO2 emissions on land</v>
      </c>
      <c r="B82" t="str">
        <f t="shared" si="29"/>
        <v>3C4 Direct N2O from managed soils (N2O)</v>
      </c>
      <c r="C82" t="s">
        <v>667</v>
      </c>
      <c r="D82" t="s">
        <v>449</v>
      </c>
      <c r="E82" t="str">
        <f t="shared" ref="E82:E85" si="35">C82&amp;D82</f>
        <v>Crop residue N - maize</v>
      </c>
      <c r="F82" t="str">
        <f t="shared" ref="F82:F85" si="36">F81</f>
        <v>kg N</v>
      </c>
      <c r="H82" s="22">
        <v>169222719.81423381</v>
      </c>
      <c r="I82" s="22">
        <v>146469055.03045925</v>
      </c>
      <c r="J82" s="22">
        <v>159221366.84252763</v>
      </c>
      <c r="K82" s="22">
        <v>166361838.74906701</v>
      </c>
      <c r="L82" s="22">
        <v>177207855.24554062</v>
      </c>
      <c r="M82" s="22">
        <v>134194234.50025843</v>
      </c>
      <c r="N82" s="22">
        <v>143395687.73539102</v>
      </c>
      <c r="O82" s="22">
        <v>154135462.82738763</v>
      </c>
      <c r="P82" s="22">
        <v>135980324.06223202</v>
      </c>
      <c r="Q82" s="22">
        <v>136205316.98976544</v>
      </c>
      <c r="R82" s="22">
        <v>153316816.86155123</v>
      </c>
      <c r="S82" s="22">
        <v>121680505.97819223</v>
      </c>
      <c r="T82" s="22">
        <v>134754504.74286324</v>
      </c>
      <c r="U82" s="22">
        <v>139005050.45193782</v>
      </c>
      <c r="V82" s="22">
        <v>122072648.78867763</v>
      </c>
      <c r="W82" s="22">
        <v>122727616.37001581</v>
      </c>
      <c r="X82" s="22">
        <v>76773886.659184024</v>
      </c>
      <c r="Y82" s="22">
        <v>110722449.64123464</v>
      </c>
      <c r="Z82" s="22">
        <v>126740304.25230721</v>
      </c>
      <c r="AA82" s="22">
        <v>112126055.04929921</v>
      </c>
      <c r="AB82" s="22">
        <v>127466246.79321264</v>
      </c>
      <c r="AC82" s="22">
        <v>113245894.01580001</v>
      </c>
      <c r="AD82" s="22">
        <f t="shared" ref="AD82:AI82" si="37">(35.693*AD41)+10000000</f>
        <v>114971743.62461077</v>
      </c>
      <c r="AE82" s="22">
        <f t="shared" si="37"/>
        <v>113976914.08195978</v>
      </c>
      <c r="AF82" s="22">
        <f t="shared" si="37"/>
        <v>112973049.90269881</v>
      </c>
      <c r="AG82" s="22">
        <f t="shared" si="37"/>
        <v>111960069.03794566</v>
      </c>
      <c r="AH82" s="22">
        <f t="shared" si="37"/>
        <v>110856038.62584534</v>
      </c>
      <c r="AI82" s="22">
        <f t="shared" si="37"/>
        <v>109752008.21374507</v>
      </c>
      <c r="AJ82" s="22">
        <f t="shared" ref="AJ82:BP82" si="38">(35.693*AJ41)+10000000</f>
        <v>108647977.8016448</v>
      </c>
      <c r="AK82" s="22">
        <f t="shared" si="38"/>
        <v>107543947.3895445</v>
      </c>
      <c r="AL82" s="22">
        <f t="shared" si="38"/>
        <v>106439916.97744422</v>
      </c>
      <c r="AM82" s="22">
        <f t="shared" si="38"/>
        <v>105320863.02834575</v>
      </c>
      <c r="AN82" s="22">
        <f t="shared" si="38"/>
        <v>104201809.0999032</v>
      </c>
      <c r="AO82" s="22">
        <f t="shared" si="38"/>
        <v>103082755.1714607</v>
      </c>
      <c r="AP82" s="22">
        <f t="shared" si="38"/>
        <v>103082755.1714607</v>
      </c>
      <c r="AQ82" s="22">
        <f t="shared" si="38"/>
        <v>103082755.1714607</v>
      </c>
      <c r="AR82" s="22">
        <f t="shared" si="38"/>
        <v>103082755.1714607</v>
      </c>
      <c r="AS82" s="22">
        <f t="shared" si="38"/>
        <v>103082755.1714607</v>
      </c>
      <c r="AT82" s="22">
        <f t="shared" si="38"/>
        <v>103082755.1714607</v>
      </c>
      <c r="AU82" s="22">
        <f t="shared" si="38"/>
        <v>103082755.1714607</v>
      </c>
      <c r="AV82" s="22">
        <f t="shared" si="38"/>
        <v>103082755.1714607</v>
      </c>
      <c r="AW82" s="22">
        <f t="shared" si="38"/>
        <v>103082755.1714607</v>
      </c>
      <c r="AX82" s="22">
        <f t="shared" si="38"/>
        <v>103082755.1714607</v>
      </c>
      <c r="AY82" s="22">
        <f t="shared" si="38"/>
        <v>103082755.1714607</v>
      </c>
      <c r="AZ82" s="22">
        <f t="shared" si="38"/>
        <v>103082755.1714607</v>
      </c>
      <c r="BA82" s="22">
        <f t="shared" si="38"/>
        <v>103082755.1714607</v>
      </c>
      <c r="BB82" s="22">
        <f t="shared" si="38"/>
        <v>103082755.1714607</v>
      </c>
      <c r="BC82" s="22">
        <f t="shared" si="38"/>
        <v>103082755.1714607</v>
      </c>
      <c r="BD82" s="22">
        <f t="shared" si="38"/>
        <v>103082755.1714607</v>
      </c>
      <c r="BE82" s="22">
        <f t="shared" si="38"/>
        <v>103082755.1714607</v>
      </c>
      <c r="BF82" s="22">
        <f t="shared" si="38"/>
        <v>103082755.1714607</v>
      </c>
      <c r="BG82" s="22">
        <f t="shared" si="38"/>
        <v>103082755.1714607</v>
      </c>
      <c r="BH82" s="22">
        <f t="shared" si="38"/>
        <v>103082755.1714607</v>
      </c>
      <c r="BI82" s="22">
        <f t="shared" si="38"/>
        <v>103082755.1714607</v>
      </c>
      <c r="BJ82" s="22">
        <f t="shared" si="38"/>
        <v>103082755.1714607</v>
      </c>
      <c r="BK82" s="22">
        <f t="shared" si="38"/>
        <v>103082755.1714607</v>
      </c>
      <c r="BL82" s="22">
        <f t="shared" si="38"/>
        <v>103082755.1714607</v>
      </c>
      <c r="BM82" s="22">
        <f t="shared" si="38"/>
        <v>103082755.1714607</v>
      </c>
      <c r="BN82" s="22">
        <f t="shared" si="38"/>
        <v>103082755.1714607</v>
      </c>
      <c r="BO82" s="22">
        <f t="shared" si="38"/>
        <v>103082755.1714607</v>
      </c>
      <c r="BP82" s="22">
        <f t="shared" si="38"/>
        <v>103082755.1714607</v>
      </c>
    </row>
    <row r="83" spans="1:72" x14ac:dyDescent="0.25">
      <c r="A83" t="str">
        <f>A82</f>
        <v>3C Aggregated and non-CO2 emissions on land</v>
      </c>
      <c r="B83" t="str">
        <f t="shared" ref="B83:C83" si="39">B82</f>
        <v>3C4 Direct N2O from managed soils (N2O)</v>
      </c>
      <c r="C83" t="str">
        <f t="shared" si="39"/>
        <v>Crop residue N</v>
      </c>
      <c r="D83" t="s">
        <v>379</v>
      </c>
      <c r="E83" t="str">
        <f t="shared" si="35"/>
        <v>Crop residue N - wheat</v>
      </c>
      <c r="F83" t="str">
        <f t="shared" si="36"/>
        <v>kg N</v>
      </c>
      <c r="H83" s="22">
        <v>12027674.492947873</v>
      </c>
      <c r="I83" s="22">
        <v>15073733.727081215</v>
      </c>
      <c r="J83" s="22">
        <v>9317109.7170359995</v>
      </c>
      <c r="K83" s="22">
        <v>13960385.955568802</v>
      </c>
      <c r="L83" s="22">
        <v>12951268.598936448</v>
      </c>
      <c r="M83" s="22">
        <v>13915210.572107857</v>
      </c>
      <c r="N83" s="22">
        <v>19086964.362997342</v>
      </c>
      <c r="O83" s="22">
        <v>17104848.961899597</v>
      </c>
      <c r="P83" s="22">
        <v>13260858.352196401</v>
      </c>
      <c r="Q83" s="22">
        <v>12195250.161865054</v>
      </c>
      <c r="R83" s="22">
        <v>17086357.776156764</v>
      </c>
      <c r="S83" s="22">
        <v>17620050.867103875</v>
      </c>
      <c r="T83" s="22">
        <v>17154163.058715936</v>
      </c>
      <c r="U83" s="22">
        <v>10885377.79194624</v>
      </c>
      <c r="V83" s="22">
        <v>11871375.563916</v>
      </c>
      <c r="W83" s="22">
        <v>13405603.487245198</v>
      </c>
      <c r="X83" s="22">
        <v>14812335.740283838</v>
      </c>
      <c r="Y83" s="22">
        <v>13404854.889448704</v>
      </c>
      <c r="Z83" s="22">
        <v>14988421.865818368</v>
      </c>
      <c r="AA83" s="22">
        <v>13767379.251199199</v>
      </c>
      <c r="AB83" s="22">
        <v>10061071.645942945</v>
      </c>
      <c r="AC83" s="22">
        <v>14115618.755591758</v>
      </c>
      <c r="AD83" s="22">
        <f t="shared" ref="AD83:AI83" si="40">(4.6488*AD42)+10000000</f>
        <v>12375536.800000001</v>
      </c>
      <c r="AE83" s="22">
        <f t="shared" si="40"/>
        <v>12375536.800000001</v>
      </c>
      <c r="AF83" s="22">
        <f t="shared" si="40"/>
        <v>12375536.800000001</v>
      </c>
      <c r="AG83" s="22">
        <f t="shared" si="40"/>
        <v>12375536.800000001</v>
      </c>
      <c r="AH83" s="22">
        <f t="shared" si="40"/>
        <v>12375536.800000001</v>
      </c>
      <c r="AI83" s="22">
        <f t="shared" si="40"/>
        <v>12375536.800000001</v>
      </c>
      <c r="AJ83" s="22">
        <f t="shared" ref="AJ83:BP83" si="41">(4.6488*AJ42)+10000000</f>
        <v>12375536.800000001</v>
      </c>
      <c r="AK83" s="22">
        <f t="shared" si="41"/>
        <v>12375536.800000001</v>
      </c>
      <c r="AL83" s="22">
        <f t="shared" si="41"/>
        <v>12375536.800000001</v>
      </c>
      <c r="AM83" s="22">
        <f t="shared" si="41"/>
        <v>12375536.800000001</v>
      </c>
      <c r="AN83" s="22">
        <f t="shared" si="41"/>
        <v>12375536.800000001</v>
      </c>
      <c r="AO83" s="22">
        <f t="shared" si="41"/>
        <v>12375536.800000001</v>
      </c>
      <c r="AP83" s="22">
        <f t="shared" si="41"/>
        <v>12375536.800000001</v>
      </c>
      <c r="AQ83" s="22">
        <f t="shared" si="41"/>
        <v>12375536.800000001</v>
      </c>
      <c r="AR83" s="22">
        <f t="shared" si="41"/>
        <v>12375536.800000001</v>
      </c>
      <c r="AS83" s="22">
        <f t="shared" si="41"/>
        <v>12375536.800000001</v>
      </c>
      <c r="AT83" s="22">
        <f t="shared" si="41"/>
        <v>12375536.800000001</v>
      </c>
      <c r="AU83" s="22">
        <f t="shared" si="41"/>
        <v>12375536.800000001</v>
      </c>
      <c r="AV83" s="22">
        <f t="shared" si="41"/>
        <v>12375536.800000001</v>
      </c>
      <c r="AW83" s="22">
        <f t="shared" si="41"/>
        <v>12375536.800000001</v>
      </c>
      <c r="AX83" s="22">
        <f t="shared" si="41"/>
        <v>12375536.800000001</v>
      </c>
      <c r="AY83" s="22">
        <f t="shared" si="41"/>
        <v>12375536.800000001</v>
      </c>
      <c r="AZ83" s="22">
        <f t="shared" si="41"/>
        <v>12375536.800000001</v>
      </c>
      <c r="BA83" s="22">
        <f t="shared" si="41"/>
        <v>12375536.800000001</v>
      </c>
      <c r="BB83" s="22">
        <f t="shared" si="41"/>
        <v>12375536.800000001</v>
      </c>
      <c r="BC83" s="22">
        <f t="shared" si="41"/>
        <v>12375536.800000001</v>
      </c>
      <c r="BD83" s="22">
        <f t="shared" si="41"/>
        <v>12375536.800000001</v>
      </c>
      <c r="BE83" s="22">
        <f t="shared" si="41"/>
        <v>12375536.800000001</v>
      </c>
      <c r="BF83" s="22">
        <f t="shared" si="41"/>
        <v>12375536.800000001</v>
      </c>
      <c r="BG83" s="22">
        <f t="shared" si="41"/>
        <v>12375536.800000001</v>
      </c>
      <c r="BH83" s="22">
        <f t="shared" si="41"/>
        <v>12375536.800000001</v>
      </c>
      <c r="BI83" s="22">
        <f t="shared" si="41"/>
        <v>12375536.800000001</v>
      </c>
      <c r="BJ83" s="22">
        <f t="shared" si="41"/>
        <v>12375536.800000001</v>
      </c>
      <c r="BK83" s="22">
        <f t="shared" si="41"/>
        <v>12375536.800000001</v>
      </c>
      <c r="BL83" s="22">
        <f t="shared" si="41"/>
        <v>12375536.800000001</v>
      </c>
      <c r="BM83" s="22">
        <f t="shared" si="41"/>
        <v>12375536.800000001</v>
      </c>
      <c r="BN83" s="22">
        <f t="shared" si="41"/>
        <v>12375536.800000001</v>
      </c>
      <c r="BO83" s="22">
        <f t="shared" si="41"/>
        <v>12375536.800000001</v>
      </c>
      <c r="BP83" s="22">
        <f t="shared" si="41"/>
        <v>12375536.800000001</v>
      </c>
    </row>
    <row r="84" spans="1:72" x14ac:dyDescent="0.25">
      <c r="A84" t="str">
        <f>A83</f>
        <v>3C Aggregated and non-CO2 emissions on land</v>
      </c>
      <c r="B84" t="str">
        <f t="shared" ref="B84" si="42">B83</f>
        <v>3C4 Direct N2O from managed soils (N2O)</v>
      </c>
      <c r="C84" t="str">
        <f t="shared" ref="C84" si="43">C83</f>
        <v>Crop residue N</v>
      </c>
      <c r="D84" t="s">
        <v>380</v>
      </c>
      <c r="E84" t="str">
        <f t="shared" si="35"/>
        <v>Crop residue N - sorghum</v>
      </c>
      <c r="F84" t="str">
        <f t="shared" si="36"/>
        <v>kg N</v>
      </c>
      <c r="H84" s="22">
        <v>390687.3631584</v>
      </c>
      <c r="I84" s="22">
        <v>361799.87719679996</v>
      </c>
      <c r="J84" s="22">
        <v>48092.127955199998</v>
      </c>
      <c r="K84" s="22">
        <v>731712.72642101767</v>
      </c>
      <c r="L84" s="22">
        <v>784820.45288404799</v>
      </c>
      <c r="M84" s="22">
        <v>388730.34895175043</v>
      </c>
      <c r="N84" s="22">
        <v>1085449.9899444769</v>
      </c>
      <c r="O84" s="22">
        <v>767913.6197730815</v>
      </c>
      <c r="P84" s="22">
        <v>644364.57901744312</v>
      </c>
      <c r="Q84" s="22">
        <v>332629.55174332805</v>
      </c>
      <c r="R84" s="22">
        <v>310743.09356160002</v>
      </c>
      <c r="S84" s="22">
        <v>135738.5035776</v>
      </c>
      <c r="T84" s="22">
        <v>169256.39976</v>
      </c>
      <c r="U84" s="22">
        <v>170266.89153600001</v>
      </c>
      <c r="V84" s="22">
        <v>245534.82844799999</v>
      </c>
      <c r="W84" s="22">
        <v>170159.33773440003</v>
      </c>
      <c r="X84" s="22">
        <v>62943.126489599999</v>
      </c>
      <c r="Y84" s="22">
        <v>115864.25639040001</v>
      </c>
      <c r="Z84" s="22">
        <v>168245.86927680002</v>
      </c>
      <c r="AA84" s="22">
        <v>183064.86347520002</v>
      </c>
      <c r="AB84" s="22">
        <v>129857.51237760003</v>
      </c>
      <c r="AC84" s="22">
        <v>101755.71665280001</v>
      </c>
      <c r="AD84" s="22">
        <f t="shared" ref="AD84:AI84" si="44">27944*EXP(0.00002*AD43)</f>
        <v>129364.26797901058</v>
      </c>
      <c r="AE84" s="22">
        <f t="shared" si="44"/>
        <v>113355.43180326319</v>
      </c>
      <c r="AF84" s="22">
        <f t="shared" si="44"/>
        <v>104857.75884494887</v>
      </c>
      <c r="AG84" s="22">
        <f t="shared" si="44"/>
        <v>102815.58719677186</v>
      </c>
      <c r="AH84" s="22">
        <f t="shared" si="44"/>
        <v>106655.5598588627</v>
      </c>
      <c r="AI84" s="22">
        <f t="shared" si="44"/>
        <v>106256.73327417528</v>
      </c>
      <c r="AJ84" s="22">
        <f t="shared" ref="AJ84:BP84" si="45">27944*EXP(0.00002*AJ43)</f>
        <v>107609.17985470335</v>
      </c>
      <c r="AK84" s="22">
        <f t="shared" si="45"/>
        <v>110669.32839734366</v>
      </c>
      <c r="AL84" s="22">
        <f t="shared" si="45"/>
        <v>267960.18492372351</v>
      </c>
      <c r="AM84" s="22">
        <f t="shared" si="45"/>
        <v>242943.96854241457</v>
      </c>
      <c r="AN84" s="22">
        <f t="shared" si="45"/>
        <v>222188.75392927916</v>
      </c>
      <c r="AO84" s="22">
        <f t="shared" si="45"/>
        <v>202810.06123832567</v>
      </c>
      <c r="AP84" s="22">
        <f t="shared" si="45"/>
        <v>186513.83772312233</v>
      </c>
      <c r="AQ84" s="22">
        <f t="shared" si="45"/>
        <v>170042.76368201891</v>
      </c>
      <c r="AR84" s="22">
        <f t="shared" si="45"/>
        <v>150480.06027002353</v>
      </c>
      <c r="AS84" s="22">
        <f t="shared" si="45"/>
        <v>133475.18847569526</v>
      </c>
      <c r="AT84" s="22">
        <f t="shared" si="45"/>
        <v>117007.32274317021</v>
      </c>
      <c r="AU84" s="22">
        <f t="shared" si="45"/>
        <v>101679.13967777164</v>
      </c>
      <c r="AV84" s="22">
        <f t="shared" si="45"/>
        <v>87520.692600186885</v>
      </c>
      <c r="AW84" s="22">
        <f t="shared" si="45"/>
        <v>87520.692600186885</v>
      </c>
      <c r="AX84" s="22">
        <f t="shared" si="45"/>
        <v>87520.692600186885</v>
      </c>
      <c r="AY84" s="22">
        <f t="shared" si="45"/>
        <v>87520.692600186885</v>
      </c>
      <c r="AZ84" s="22">
        <f t="shared" si="45"/>
        <v>87520.692600186885</v>
      </c>
      <c r="BA84" s="22">
        <f t="shared" si="45"/>
        <v>87520.692600186885</v>
      </c>
      <c r="BB84" s="22">
        <f t="shared" si="45"/>
        <v>87520.692600186885</v>
      </c>
      <c r="BC84" s="22">
        <f t="shared" si="45"/>
        <v>87520.692600186885</v>
      </c>
      <c r="BD84" s="22">
        <f t="shared" si="45"/>
        <v>87520.692600186885</v>
      </c>
      <c r="BE84" s="22">
        <f t="shared" si="45"/>
        <v>87520.692600186885</v>
      </c>
      <c r="BF84" s="22">
        <f t="shared" si="45"/>
        <v>87520.692600186885</v>
      </c>
      <c r="BG84" s="22">
        <f t="shared" si="45"/>
        <v>87520.692600186885</v>
      </c>
      <c r="BH84" s="22">
        <f t="shared" si="45"/>
        <v>87520.692600186885</v>
      </c>
      <c r="BI84" s="22">
        <f t="shared" si="45"/>
        <v>87520.692600186885</v>
      </c>
      <c r="BJ84" s="22">
        <f t="shared" si="45"/>
        <v>87520.692600186885</v>
      </c>
      <c r="BK84" s="22">
        <f t="shared" si="45"/>
        <v>87520.692600186885</v>
      </c>
      <c r="BL84" s="22">
        <f t="shared" si="45"/>
        <v>87520.692600186885</v>
      </c>
      <c r="BM84" s="22">
        <f t="shared" si="45"/>
        <v>87520.692600186885</v>
      </c>
      <c r="BN84" s="22">
        <f t="shared" si="45"/>
        <v>87520.692600186885</v>
      </c>
      <c r="BO84" s="22">
        <f t="shared" si="45"/>
        <v>87520.692600186885</v>
      </c>
      <c r="BP84" s="22">
        <f t="shared" si="45"/>
        <v>87520.692600186885</v>
      </c>
    </row>
    <row r="85" spans="1:72" x14ac:dyDescent="0.25">
      <c r="A85" t="str">
        <f>A84</f>
        <v>3C Aggregated and non-CO2 emissions on land</v>
      </c>
      <c r="B85" t="str">
        <f t="shared" ref="B85" si="46">B84</f>
        <v>3C4 Direct N2O from managed soils (N2O)</v>
      </c>
      <c r="C85" t="str">
        <f t="shared" ref="C85" si="47">C84</f>
        <v>Crop residue N</v>
      </c>
      <c r="D85" t="s">
        <v>381</v>
      </c>
      <c r="E85" t="str">
        <f t="shared" si="35"/>
        <v>Crop residue N - total</v>
      </c>
      <c r="F85" t="str">
        <f t="shared" si="36"/>
        <v>kg N</v>
      </c>
      <c r="H85" s="22">
        <f>SUM(H82:H84)*Constants!$H$39</f>
        <v>605470272.23446703</v>
      </c>
      <c r="I85" s="22">
        <f>SUM(I82:I84)*Constants!$H$39</f>
        <v>539681962.11579084</v>
      </c>
      <c r="J85" s="22">
        <f>SUM(J82:J84)*Constants!$H$39</f>
        <v>561955228.9583962</v>
      </c>
      <c r="K85" s="22">
        <f>SUM(K82:K84)*Constants!$H$39</f>
        <v>603513124.7701894</v>
      </c>
      <c r="L85" s="22">
        <f>SUM(L82:L84)*Constants!$H$39</f>
        <v>636479814.32453704</v>
      </c>
      <c r="M85" s="22">
        <f>SUM(M82:M84)*Constants!$H$39</f>
        <v>494993918.07106018</v>
      </c>
      <c r="N85" s="22">
        <f>SUM(N82:N84)*Constants!$H$39</f>
        <v>545227006.96110952</v>
      </c>
      <c r="O85" s="22">
        <f>SUM(O82:O84)*Constants!$H$39</f>
        <v>573360751.36353445</v>
      </c>
      <c r="P85" s="22">
        <f>SUM(P82:P84)*Constants!$H$39</f>
        <v>499618489.97815281</v>
      </c>
      <c r="Q85" s="22">
        <f>SUM(Q82:Q84)*Constants!$H$39</f>
        <v>495777322.3445794</v>
      </c>
      <c r="R85" s="22">
        <f>SUM(R82:R84)*Constants!$H$39</f>
        <v>569046392.43756521</v>
      </c>
      <c r="S85" s="22">
        <f>SUM(S82:S84)*Constants!$H$39</f>
        <v>464787651.16291225</v>
      </c>
      <c r="T85" s="22">
        <f>SUM(T82:T84)*Constants!$H$39</f>
        <v>506926414.00446397</v>
      </c>
      <c r="U85" s="22">
        <f>SUM(U82:U84)*Constants!$H$39</f>
        <v>500202317.11806685</v>
      </c>
      <c r="V85" s="22">
        <f>SUM(V82:V84)*Constants!$H$39</f>
        <v>447298530.60347211</v>
      </c>
      <c r="W85" s="22">
        <f>SUM(W82:W84)*Constants!$H$39</f>
        <v>454344597.31665134</v>
      </c>
      <c r="X85" s="22">
        <f>SUM(X82:X84)*Constants!$H$39</f>
        <v>305497218.41985816</v>
      </c>
      <c r="Y85" s="22">
        <f>SUM(Y82:Y84)*Constants!$H$39</f>
        <v>414143895.95691246</v>
      </c>
      <c r="Z85" s="22">
        <f>SUM(Z82:Z84)*Constants!$H$39</f>
        <v>472989906.62467462</v>
      </c>
      <c r="AA85" s="22">
        <f>SUM(AA82:AA84)*Constants!$H$39</f>
        <v>420254997.21324539</v>
      </c>
      <c r="AB85" s="22">
        <f>SUM(AB82:AB84)*Constants!$H$39</f>
        <v>458857253.17177725</v>
      </c>
      <c r="AC85" s="22">
        <f>SUM(AC82:AC84)*Constants!$H$39</f>
        <v>424877561.62681526</v>
      </c>
      <c r="AD85" s="22">
        <f>SUM(AD82:AD84)*Constants!$H$39</f>
        <v>424922148.97529924</v>
      </c>
      <c r="AE85" s="22">
        <f>SUM(AE82:AE84)*Constants!$H$39</f>
        <v>421552687.71254349</v>
      </c>
      <c r="AF85" s="22">
        <f>SUM(AF82:AF84)*Constants!$H$39</f>
        <v>418178148.20514584</v>
      </c>
      <c r="AG85" s="22">
        <f>SUM(AG82:AG84)*Constants!$H$39</f>
        <v>414794738.08380806</v>
      </c>
      <c r="AH85" s="22">
        <f>SUM(AH82:AH84)*Constants!$H$39</f>
        <v>411127436.61901402</v>
      </c>
      <c r="AI85" s="22">
        <f>SUM(AI82:AI84)*Constants!$H$39</f>
        <v>407446005.82339752</v>
      </c>
      <c r="AJ85" s="22">
        <f>SUM(AJ82:AJ84)*Constants!$H$39</f>
        <v>403770412.60499835</v>
      </c>
      <c r="AK85" s="22">
        <f>SUM(AK82:AK84)*Constants!$H$39</f>
        <v>400100511.72647285</v>
      </c>
      <c r="AL85" s="22">
        <f>SUM(AL82:AL84)*Constants!$H$39</f>
        <v>396944713.20789313</v>
      </c>
      <c r="AM85" s="22">
        <f>SUM(AM82:AM84)*Constants!$H$39</f>
        <v>393131145.98962718</v>
      </c>
      <c r="AN85" s="22">
        <f>SUM(AN82:AN84)*Constants!$H$39</f>
        <v>389331782.17944157</v>
      </c>
      <c r="AO85" s="22">
        <f>SUM(AO82:AO84)*Constants!$H$39</f>
        <v>385537006.77566344</v>
      </c>
      <c r="AP85" s="22">
        <f>SUM(AP82:AP84)*Constants!$H$39</f>
        <v>385482686.03061277</v>
      </c>
      <c r="AQ85" s="22">
        <f>SUM(AQ82:AQ84)*Constants!$H$39</f>
        <v>385427782.45047575</v>
      </c>
      <c r="AR85" s="22">
        <f>SUM(AR82:AR84)*Constants!$H$39</f>
        <v>385362573.43910241</v>
      </c>
      <c r="AS85" s="22">
        <f>SUM(AS82:AS84)*Constants!$H$39</f>
        <v>385305890.53312135</v>
      </c>
      <c r="AT85" s="22">
        <f>SUM(AT82:AT84)*Constants!$H$39</f>
        <v>385250997.64734626</v>
      </c>
      <c r="AU85" s="22">
        <f>SUM(AU82:AU84)*Constants!$H$39</f>
        <v>385199903.70379496</v>
      </c>
      <c r="AV85" s="22">
        <f>SUM(AV82:AV84)*Constants!$H$39</f>
        <v>385152708.88020301</v>
      </c>
      <c r="AW85" s="22">
        <f>SUM(AW82:AW84)*Constants!$H$39</f>
        <v>385152708.88020301</v>
      </c>
      <c r="AX85" s="22">
        <f>SUM(AX82:AX84)*Constants!$H$39</f>
        <v>385152708.88020301</v>
      </c>
      <c r="AY85" s="22">
        <f>SUM(AY82:AY84)*Constants!$H$39</f>
        <v>385152708.88020301</v>
      </c>
      <c r="AZ85" s="22">
        <f>SUM(AZ82:AZ84)*Constants!$H$39</f>
        <v>385152708.88020301</v>
      </c>
      <c r="BA85" s="22">
        <f>SUM(BA82:BA84)*Constants!$H$39</f>
        <v>385152708.88020301</v>
      </c>
      <c r="BB85" s="22">
        <f>SUM(BB82:BB84)*Constants!$H$39</f>
        <v>385152708.88020301</v>
      </c>
      <c r="BC85" s="22">
        <f>SUM(BC82:BC84)*Constants!$H$39</f>
        <v>385152708.88020301</v>
      </c>
      <c r="BD85" s="22">
        <f>SUM(BD82:BD84)*Constants!$H$39</f>
        <v>385152708.88020301</v>
      </c>
      <c r="BE85" s="22">
        <f>SUM(BE82:BE84)*Constants!$H$39</f>
        <v>385152708.88020301</v>
      </c>
      <c r="BF85" s="22">
        <f>SUM(BF82:BF84)*Constants!$H$39</f>
        <v>385152708.88020301</v>
      </c>
      <c r="BG85" s="22">
        <f>SUM(BG82:BG84)*Constants!$H$39</f>
        <v>385152708.88020301</v>
      </c>
      <c r="BH85" s="22">
        <f>SUM(BH82:BH84)*Constants!$H$39</f>
        <v>385152708.88020301</v>
      </c>
      <c r="BI85" s="22">
        <f>SUM(BI82:BI84)*Constants!$H$39</f>
        <v>385152708.88020301</v>
      </c>
      <c r="BJ85" s="22">
        <f>SUM(BJ82:BJ84)*Constants!$H$39</f>
        <v>385152708.88020301</v>
      </c>
      <c r="BK85" s="22">
        <f>SUM(BK82:BK84)*Constants!$H$39</f>
        <v>385152708.88020301</v>
      </c>
      <c r="BL85" s="22">
        <f>SUM(BL82:BL84)*Constants!$H$39</f>
        <v>385152708.88020301</v>
      </c>
      <c r="BM85" s="22">
        <f>SUM(BM82:BM84)*Constants!$H$39</f>
        <v>385152708.88020301</v>
      </c>
      <c r="BN85" s="22">
        <f>SUM(BN82:BN84)*Constants!$H$39</f>
        <v>385152708.88020301</v>
      </c>
      <c r="BO85" s="22">
        <f>SUM(BO82:BO84)*Constants!$H$39</f>
        <v>385152708.88020301</v>
      </c>
      <c r="BP85" s="22">
        <f>SUM(BP82:BP84)*Constants!$H$39</f>
        <v>385152708.88020301</v>
      </c>
    </row>
    <row r="86" spans="1:72" ht="18.75" customHeight="1" x14ac:dyDescent="0.25">
      <c r="A86" s="20" t="s">
        <v>60</v>
      </c>
      <c r="B86" s="20"/>
      <c r="C86" s="20"/>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23"/>
      <c r="BS86" s="16"/>
      <c r="BT86" s="15"/>
    </row>
    <row r="87" spans="1:72" x14ac:dyDescent="0.25">
      <c r="A87" t="str">
        <f>'IPCC Categories'!A59</f>
        <v>3C Aggregated and non-CO2 emissions on land</v>
      </c>
      <c r="B87" t="str">
        <f>'IPCC Categories'!B73</f>
        <v>3C4 Direct N2O from managed soils (N2O)</v>
      </c>
      <c r="C87" t="s">
        <v>60</v>
      </c>
      <c r="D87" t="s">
        <v>724</v>
      </c>
      <c r="F87" t="s">
        <v>725</v>
      </c>
      <c r="H87" s="85" t="s">
        <v>726</v>
      </c>
      <c r="I87" s="85" t="s">
        <v>726</v>
      </c>
      <c r="J87" s="85" t="s">
        <v>726</v>
      </c>
      <c r="K87" s="85" t="s">
        <v>726</v>
      </c>
      <c r="L87" s="85" t="s">
        <v>726</v>
      </c>
      <c r="M87" s="85" t="s">
        <v>726</v>
      </c>
      <c r="N87" s="85" t="s">
        <v>726</v>
      </c>
      <c r="O87" s="85" t="s">
        <v>726</v>
      </c>
      <c r="P87" s="85" t="s">
        <v>726</v>
      </c>
      <c r="Q87" s="85" t="s">
        <v>726</v>
      </c>
      <c r="R87" s="85" t="s">
        <v>726</v>
      </c>
      <c r="S87" s="85" t="s">
        <v>726</v>
      </c>
      <c r="T87" s="85" t="s">
        <v>726</v>
      </c>
      <c r="U87" s="85" t="s">
        <v>726</v>
      </c>
      <c r="V87" s="85" t="s">
        <v>726</v>
      </c>
      <c r="W87" s="85" t="s">
        <v>726</v>
      </c>
      <c r="X87" s="85" t="s">
        <v>726</v>
      </c>
      <c r="Y87" s="85" t="s">
        <v>726</v>
      </c>
      <c r="Z87" s="85" t="s">
        <v>726</v>
      </c>
      <c r="AA87" s="85" t="s">
        <v>726</v>
      </c>
      <c r="AB87" s="85" t="s">
        <v>726</v>
      </c>
      <c r="AC87" s="85" t="s">
        <v>726</v>
      </c>
      <c r="AD87" s="45" t="str">
        <f>IF('[1]Baseline emission summary'!AC11*CO2toC*Ggtot&gt;0,'[1]Baseline emission summary'!AC11*CO2toC*Ggtot,"NO")</f>
        <v>NO</v>
      </c>
      <c r="AE87" s="45" t="str">
        <f>IF('[1]Baseline emission summary'!AD11*CO2toC*Ggtot&gt;0,'[1]Baseline emission summary'!AD11*CO2toC*Ggtot,"NO")</f>
        <v>NO</v>
      </c>
      <c r="AF87" s="45" t="str">
        <f>IF('[1]Baseline emission summary'!AE11*CO2toC*Ggtot&gt;0,'[1]Baseline emission summary'!AE11*CO2toC*Ggtot,"NO")</f>
        <v>NO</v>
      </c>
      <c r="AG87" s="45" t="str">
        <f>IF('[1]Baseline emission summary'!AF11*CO2toC*Ggtot&gt;0,'[1]Baseline emission summary'!AF11*CO2toC*Ggtot,"NO")</f>
        <v>NO</v>
      </c>
      <c r="AH87" s="45" t="str">
        <f>IF('[1]Baseline emission summary'!AG11*CO2toC*Ggtot&gt;0,'[1]Baseline emission summary'!AG11*CO2toC*Ggtot,"NO")</f>
        <v>NO</v>
      </c>
      <c r="AI87" s="45" t="str">
        <f>IF('[1]Baseline emission summary'!AH11*CO2toC*Ggtot&gt;0,'[1]Baseline emission summary'!AH11*CO2toC*Ggtot,"NO")</f>
        <v>NO</v>
      </c>
      <c r="AJ87" s="45" t="str">
        <f>IF('[1]Baseline emission summary'!AI11*CO2toC*Ggtot&gt;0,'[1]Baseline emission summary'!AI11*CO2toC*Ggtot,"NO")</f>
        <v>NO</v>
      </c>
      <c r="AK87" s="45" t="str">
        <f>IF('[1]Baseline emission summary'!AJ11*CO2toC*Ggtot&gt;0,'[1]Baseline emission summary'!AJ11*CO2toC*Ggtot,"NO")</f>
        <v>NO</v>
      </c>
      <c r="AL87" s="45" t="str">
        <f>IF('[1]Baseline emission summary'!AK11*CO2toC*Ggtot&gt;0,'[1]Baseline emission summary'!AK11*CO2toC*Ggtot,"NO")</f>
        <v>NO</v>
      </c>
      <c r="AM87" s="45" t="str">
        <f>IF('[1]Baseline emission summary'!AL11*CO2toC*Ggtot&gt;0,'[1]Baseline emission summary'!AL11*CO2toC*Ggtot,"NO")</f>
        <v>NO</v>
      </c>
      <c r="AN87" s="45" t="str">
        <f>IF('[1]Baseline emission summary'!AM11*CO2toC*Ggtot&gt;0,'[1]Baseline emission summary'!AM11*CO2toC*Ggtot,"NO")</f>
        <v>NO</v>
      </c>
      <c r="AO87" s="45" t="str">
        <f>IF('[1]Baseline emission summary'!AN11*CO2toC*Ggtot&gt;0,'[1]Baseline emission summary'!AN11*CO2toC*Ggtot,"NO")</f>
        <v>NO</v>
      </c>
      <c r="AP87" s="45" t="str">
        <f>IF('[1]Baseline emission summary'!AO11*CO2toC*Ggtot&gt;0,'[1]Baseline emission summary'!AO11*CO2toC*Ggtot,"NO")</f>
        <v>NO</v>
      </c>
      <c r="AQ87" s="45" t="str">
        <f>IF('[1]Baseline emission summary'!AP11*CO2toC*Ggtot&gt;0,'[1]Baseline emission summary'!AP11*CO2toC*Ggtot,"NO")</f>
        <v>NO</v>
      </c>
      <c r="AR87" s="45" t="str">
        <f>IF('[1]Baseline emission summary'!AQ11*CO2toC*Ggtot&gt;0,'[1]Baseline emission summary'!AQ11*CO2toC*Ggtot,"NO")</f>
        <v>NO</v>
      </c>
      <c r="AS87" s="45" t="str">
        <f>IF('[1]Baseline emission summary'!AR11*CO2toC*Ggtot&gt;0,'[1]Baseline emission summary'!AR11*CO2toC*Ggtot,"NO")</f>
        <v>NO</v>
      </c>
      <c r="AT87" s="45" t="str">
        <f>IF('[1]Baseline emission summary'!AS11*CO2toC*Ggtot&gt;0,'[1]Baseline emission summary'!AS11*CO2toC*Ggtot,"NO")</f>
        <v>NO</v>
      </c>
      <c r="AU87" s="45" t="str">
        <f>IF('[1]Baseline emission summary'!AT11*CO2toC*Ggtot&gt;0,'[1]Baseline emission summary'!AT11*CO2toC*Ggtot,"NO")</f>
        <v>NO</v>
      </c>
      <c r="AV87" s="45" t="str">
        <f>IF('[1]Baseline emission summary'!AU11*CO2toC*Ggtot&gt;0,'[1]Baseline emission summary'!AU11*CO2toC*Ggtot,"NO")</f>
        <v>NO</v>
      </c>
      <c r="AW87" s="45" t="str">
        <f>IF('[1]Baseline emission summary'!AV11*CO2toC*Ggtot&gt;0,'[1]Baseline emission summary'!AV11*CO2toC*Ggtot,"NO")</f>
        <v>NO</v>
      </c>
      <c r="AX87" s="45" t="str">
        <f>IF('[1]Baseline emission summary'!AW11*CO2toC*Ggtot&gt;0,'[1]Baseline emission summary'!AW11*CO2toC*Ggtot,"NO")</f>
        <v>NO</v>
      </c>
      <c r="AY87" s="45" t="str">
        <f>IF('[1]Baseline emission summary'!AX11*CO2toC*Ggtot&gt;0,'[1]Baseline emission summary'!AX11*CO2toC*Ggtot,"NO")</f>
        <v>NO</v>
      </c>
      <c r="AZ87" s="45" t="str">
        <f>IF('[1]Baseline emission summary'!AY11*CO2toC*Ggtot&gt;0,'[1]Baseline emission summary'!AY11*CO2toC*Ggtot,"NO")</f>
        <v>NO</v>
      </c>
      <c r="BA87" s="45" t="str">
        <f>IF('[1]Baseline emission summary'!AZ11*CO2toC*Ggtot&gt;0,'[1]Baseline emission summary'!AZ11*CO2toC*Ggtot,"NO")</f>
        <v>NO</v>
      </c>
      <c r="BB87" s="45" t="str">
        <f>IF('[1]Baseline emission summary'!BA11*CO2toC*Ggtot&gt;0,'[1]Baseline emission summary'!BA11*CO2toC*Ggtot,"NO")</f>
        <v>NO</v>
      </c>
      <c r="BC87" s="45" t="str">
        <f>IF('[1]Baseline emission summary'!BB11*CO2toC*Ggtot&gt;0,'[1]Baseline emission summary'!BB11*CO2toC*Ggtot,"NO")</f>
        <v>NO</v>
      </c>
      <c r="BD87" s="45" t="str">
        <f>IF('[1]Baseline emission summary'!BC11*CO2toC*Ggtot&gt;0,'[1]Baseline emission summary'!BC11*CO2toC*Ggtot,"NO")</f>
        <v>NO</v>
      </c>
      <c r="BE87" s="45" t="str">
        <f>IF('[1]Baseline emission summary'!BD11*CO2toC*Ggtot&gt;0,'[1]Baseline emission summary'!BD11*CO2toC*Ggtot,"NO")</f>
        <v>NO</v>
      </c>
      <c r="BF87" s="45" t="str">
        <f>IF('[1]Baseline emission summary'!BE11*CO2toC*Ggtot&gt;0,'[1]Baseline emission summary'!BE11*CO2toC*Ggtot,"NO")</f>
        <v>NO</v>
      </c>
      <c r="BG87" s="45" t="str">
        <f>IF('[1]Baseline emission summary'!BF11*CO2toC*Ggtot&gt;0,'[1]Baseline emission summary'!BF11*CO2toC*Ggtot,"NO")</f>
        <v>NO</v>
      </c>
      <c r="BH87" s="45" t="str">
        <f>IF('[1]Baseline emission summary'!BG11*CO2toC*Ggtot&gt;0,'[1]Baseline emission summary'!BG11*CO2toC*Ggtot,"NO")</f>
        <v>NO</v>
      </c>
      <c r="BI87" s="45" t="str">
        <f>IF('[1]Baseline emission summary'!BH11*CO2toC*Ggtot&gt;0,'[1]Baseline emission summary'!BH11*CO2toC*Ggtot,"NO")</f>
        <v>NO</v>
      </c>
      <c r="BJ87" s="45" t="str">
        <f>IF('[1]Baseline emission summary'!BI11*CO2toC*Ggtot&gt;0,'[1]Baseline emission summary'!BI11*CO2toC*Ggtot,"NO")</f>
        <v>NO</v>
      </c>
      <c r="BK87" s="45" t="str">
        <f>IF('[1]Baseline emission summary'!BJ11*CO2toC*Ggtot&gt;0,'[1]Baseline emission summary'!BJ11*CO2toC*Ggtot,"NO")</f>
        <v>NO</v>
      </c>
      <c r="BL87" s="45" t="str">
        <f>IF('[1]Baseline emission summary'!BK11*CO2toC*Ggtot&gt;0,'[1]Baseline emission summary'!BK11*CO2toC*Ggtot,"NO")</f>
        <v>NO</v>
      </c>
      <c r="BM87" s="45" t="str">
        <f>IF('[1]Baseline emission summary'!BL11*CO2toC*Ggtot&gt;0,'[1]Baseline emission summary'!BL11*CO2toC*Ggtot,"NO")</f>
        <v>NO</v>
      </c>
      <c r="BN87" s="45" t="str">
        <f>IF('[1]Baseline emission summary'!BM11*CO2toC*Ggtot&gt;0,'[1]Baseline emission summary'!BM11*CO2toC*Ggtot,"NO")</f>
        <v>NO</v>
      </c>
      <c r="BO87" s="45" t="str">
        <f>IF('[1]Baseline emission summary'!BN11*CO2toC*Ggtot&gt;0,'[1]Baseline emission summary'!BN11*CO2toC*Ggtot,"NO")</f>
        <v>NO</v>
      </c>
      <c r="BP87" s="45" t="str">
        <f>IF('[1]Baseline emission summary'!BO11*CO2toC*Ggtot&gt;0,'[1]Baseline emission summary'!BO11*CO2toC*Ggtot,"NO")</f>
        <v>NO</v>
      </c>
      <c r="BQ87" s="84"/>
    </row>
    <row r="88" spans="1:72" x14ac:dyDescent="0.25">
      <c r="C88" t="s">
        <v>60</v>
      </c>
      <c r="D88" t="s">
        <v>101</v>
      </c>
      <c r="F88" t="s">
        <v>725</v>
      </c>
      <c r="H88" s="21" t="s">
        <v>726</v>
      </c>
      <c r="I88" s="21" t="s">
        <v>726</v>
      </c>
      <c r="J88" s="21" t="s">
        <v>726</v>
      </c>
      <c r="K88" s="21" t="s">
        <v>726</v>
      </c>
      <c r="L88" s="21" t="s">
        <v>726</v>
      </c>
      <c r="M88" s="21" t="s">
        <v>726</v>
      </c>
      <c r="N88" s="21" t="s">
        <v>726</v>
      </c>
      <c r="O88" s="21" t="s">
        <v>726</v>
      </c>
      <c r="P88" s="21" t="s">
        <v>726</v>
      </c>
      <c r="Q88" s="21" t="s">
        <v>726</v>
      </c>
      <c r="R88" s="21" t="s">
        <v>726</v>
      </c>
      <c r="S88" s="21" t="s">
        <v>726</v>
      </c>
      <c r="T88" s="21" t="s">
        <v>726</v>
      </c>
      <c r="U88" s="21" t="s">
        <v>726</v>
      </c>
      <c r="V88" s="21" t="s">
        <v>726</v>
      </c>
      <c r="W88" s="21" t="s">
        <v>726</v>
      </c>
      <c r="X88" s="21" t="s">
        <v>726</v>
      </c>
      <c r="Y88" s="21" t="s">
        <v>726</v>
      </c>
      <c r="Z88" s="21" t="s">
        <v>726</v>
      </c>
      <c r="AA88" s="21" t="s">
        <v>726</v>
      </c>
      <c r="AB88" s="21" t="s">
        <v>726</v>
      </c>
      <c r="AC88" s="21" t="s">
        <v>726</v>
      </c>
      <c r="AD88" s="45" t="str">
        <f>IF('[1]Baseline emission summary'!AC16*CO2toC*Ggtot&gt;0,'[1]Baseline emission summary'!AC16*CO2toC*Ggtot,"NO")</f>
        <v>NO</v>
      </c>
      <c r="AE88" s="45" t="str">
        <f>IF('[1]Baseline emission summary'!AD16*CO2toC*Ggtot&gt;0,'[1]Baseline emission summary'!AD16*CO2toC*Ggtot,"NO")</f>
        <v>NO</v>
      </c>
      <c r="AF88" s="45" t="str">
        <f>IF('[1]Baseline emission summary'!AE16*CO2toC*Ggtot&gt;0,'[1]Baseline emission summary'!AE16*CO2toC*Ggtot,"NO")</f>
        <v>NO</v>
      </c>
      <c r="AG88" s="45" t="str">
        <f>IF('[1]Baseline emission summary'!AF16*CO2toC*Ggtot&gt;0,'[1]Baseline emission summary'!AF16*CO2toC*Ggtot,"NO")</f>
        <v>NO</v>
      </c>
      <c r="AH88" s="45" t="str">
        <f>IF('[1]Baseline emission summary'!AG16*CO2toC*Ggtot&gt;0,'[1]Baseline emission summary'!AG16*CO2toC*Ggtot,"NO")</f>
        <v>NO</v>
      </c>
      <c r="AI88" s="45" t="str">
        <f>IF('[1]Baseline emission summary'!AH16*CO2toC*Ggtot&gt;0,'[1]Baseline emission summary'!AH16*CO2toC*Ggtot,"NO")</f>
        <v>NO</v>
      </c>
      <c r="AJ88" s="45" t="str">
        <f>IF('[1]Baseline emission summary'!AI16*CO2toC*Ggtot&gt;0,'[1]Baseline emission summary'!AI16*CO2toC*Ggtot,"NO")</f>
        <v>NO</v>
      </c>
      <c r="AK88" s="45" t="str">
        <f>IF('[1]Baseline emission summary'!AJ16*CO2toC*Ggtot&gt;0,'[1]Baseline emission summary'!AJ16*CO2toC*Ggtot,"NO")</f>
        <v>NO</v>
      </c>
      <c r="AL88" s="45" t="str">
        <f>IF('[1]Baseline emission summary'!AK16*CO2toC*Ggtot&gt;0,'[1]Baseline emission summary'!AK16*CO2toC*Ggtot,"NO")</f>
        <v>NO</v>
      </c>
      <c r="AM88" s="45" t="str">
        <f>IF('[1]Baseline emission summary'!AL16*CO2toC*Ggtot&gt;0,'[1]Baseline emission summary'!AL16*CO2toC*Ggtot,"NO")</f>
        <v>NO</v>
      </c>
      <c r="AN88" s="45" t="str">
        <f>IF('[1]Baseline emission summary'!AM16*CO2toC*Ggtot&gt;0,'[1]Baseline emission summary'!AM16*CO2toC*Ggtot,"NO")</f>
        <v>NO</v>
      </c>
      <c r="AO88" s="45" t="str">
        <f>IF('[1]Baseline emission summary'!AN16*CO2toC*Ggtot&gt;0,'[1]Baseline emission summary'!AN16*CO2toC*Ggtot,"NO")</f>
        <v>NO</v>
      </c>
      <c r="AP88" s="45" t="str">
        <f>IF('[1]Baseline emission summary'!AO16*CO2toC*Ggtot&gt;0,'[1]Baseline emission summary'!AO16*CO2toC*Ggtot,"NO")</f>
        <v>NO</v>
      </c>
      <c r="AQ88" s="45" t="str">
        <f>IF('[1]Baseline emission summary'!AP16*CO2toC*Ggtot&gt;0,'[1]Baseline emission summary'!AP16*CO2toC*Ggtot,"NO")</f>
        <v>NO</v>
      </c>
      <c r="AR88" s="45" t="str">
        <f>IF('[1]Baseline emission summary'!AQ16*CO2toC*Ggtot&gt;0,'[1]Baseline emission summary'!AQ16*CO2toC*Ggtot,"NO")</f>
        <v>NO</v>
      </c>
      <c r="AS88" s="45" t="str">
        <f>IF('[1]Baseline emission summary'!AR16*CO2toC*Ggtot&gt;0,'[1]Baseline emission summary'!AR16*CO2toC*Ggtot,"NO")</f>
        <v>NO</v>
      </c>
      <c r="AT88" s="45" t="str">
        <f>IF('[1]Baseline emission summary'!AS16*CO2toC*Ggtot&gt;0,'[1]Baseline emission summary'!AS16*CO2toC*Ggtot,"NO")</f>
        <v>NO</v>
      </c>
      <c r="AU88" s="45" t="str">
        <f>IF('[1]Baseline emission summary'!AT16*CO2toC*Ggtot&gt;0,'[1]Baseline emission summary'!AT16*CO2toC*Ggtot,"NO")</f>
        <v>NO</v>
      </c>
      <c r="AV88" s="45" t="str">
        <f>IF('[1]Baseline emission summary'!AU16*CO2toC*Ggtot&gt;0,'[1]Baseline emission summary'!AU16*CO2toC*Ggtot,"NO")</f>
        <v>NO</v>
      </c>
      <c r="AW88" s="45" t="str">
        <f>IF('[1]Baseline emission summary'!AV16*CO2toC*Ggtot&gt;0,'[1]Baseline emission summary'!AV16*CO2toC*Ggtot,"NO")</f>
        <v>NO</v>
      </c>
      <c r="AX88" s="45" t="str">
        <f>IF('[1]Baseline emission summary'!AW16*CO2toC*Ggtot&gt;0,'[1]Baseline emission summary'!AW16*CO2toC*Ggtot,"NO")</f>
        <v>NO</v>
      </c>
      <c r="AY88" s="45" t="str">
        <f>IF('[1]Baseline emission summary'!AX16*CO2toC*Ggtot&gt;0,'[1]Baseline emission summary'!AX16*CO2toC*Ggtot,"NO")</f>
        <v>NO</v>
      </c>
      <c r="AZ88" s="45" t="str">
        <f>IF('[1]Baseline emission summary'!AY16*CO2toC*Ggtot&gt;0,'[1]Baseline emission summary'!AY16*CO2toC*Ggtot,"NO")</f>
        <v>NO</v>
      </c>
      <c r="BA88" s="45" t="str">
        <f>IF('[1]Baseline emission summary'!AZ16*CO2toC*Ggtot&gt;0,'[1]Baseline emission summary'!AZ16*CO2toC*Ggtot,"NO")</f>
        <v>NO</v>
      </c>
      <c r="BB88" s="45" t="str">
        <f>IF('[1]Baseline emission summary'!BA16*CO2toC*Ggtot&gt;0,'[1]Baseline emission summary'!BA16*CO2toC*Ggtot,"NO")</f>
        <v>NO</v>
      </c>
      <c r="BC88" s="45" t="str">
        <f>IF('[1]Baseline emission summary'!BB16*CO2toC*Ggtot&gt;0,'[1]Baseline emission summary'!BB16*CO2toC*Ggtot,"NO")</f>
        <v>NO</v>
      </c>
      <c r="BD88" s="45" t="str">
        <f>IF('[1]Baseline emission summary'!BC16*CO2toC*Ggtot&gt;0,'[1]Baseline emission summary'!BC16*CO2toC*Ggtot,"NO")</f>
        <v>NO</v>
      </c>
      <c r="BE88" s="45" t="str">
        <f>IF('[1]Baseline emission summary'!BD16*CO2toC*Ggtot&gt;0,'[1]Baseline emission summary'!BD16*CO2toC*Ggtot,"NO")</f>
        <v>NO</v>
      </c>
      <c r="BF88" s="45" t="str">
        <f>IF('[1]Baseline emission summary'!BE16*CO2toC*Ggtot&gt;0,'[1]Baseline emission summary'!BE16*CO2toC*Ggtot,"NO")</f>
        <v>NO</v>
      </c>
      <c r="BG88" s="45" t="str">
        <f>IF('[1]Baseline emission summary'!BF16*CO2toC*Ggtot&gt;0,'[1]Baseline emission summary'!BF16*CO2toC*Ggtot,"NO")</f>
        <v>NO</v>
      </c>
      <c r="BH88" s="45" t="str">
        <f>IF('[1]Baseline emission summary'!BG16*CO2toC*Ggtot&gt;0,'[1]Baseline emission summary'!BG16*CO2toC*Ggtot,"NO")</f>
        <v>NO</v>
      </c>
      <c r="BI88" s="45" t="str">
        <f>IF('[1]Baseline emission summary'!BH16*CO2toC*Ggtot&gt;0,'[1]Baseline emission summary'!BH16*CO2toC*Ggtot,"NO")</f>
        <v>NO</v>
      </c>
      <c r="BJ88" s="45" t="str">
        <f>IF('[1]Baseline emission summary'!BI16*CO2toC*Ggtot&gt;0,'[1]Baseline emission summary'!BI16*CO2toC*Ggtot,"NO")</f>
        <v>NO</v>
      </c>
      <c r="BK88" s="45" t="str">
        <f>IF('[1]Baseline emission summary'!BJ16*CO2toC*Ggtot&gt;0,'[1]Baseline emission summary'!BJ16*CO2toC*Ggtot,"NO")</f>
        <v>NO</v>
      </c>
      <c r="BL88" s="45" t="str">
        <f>IF('[1]Baseline emission summary'!BK16*CO2toC*Ggtot&gt;0,'[1]Baseline emission summary'!BK16*CO2toC*Ggtot,"NO")</f>
        <v>NO</v>
      </c>
      <c r="BM88" s="45" t="str">
        <f>IF('[1]Baseline emission summary'!BL16*CO2toC*Ggtot&gt;0,'[1]Baseline emission summary'!BL16*CO2toC*Ggtot,"NO")</f>
        <v>NO</v>
      </c>
      <c r="BN88" s="45" t="str">
        <f>IF('[1]Baseline emission summary'!BM16*CO2toC*Ggtot&gt;0,'[1]Baseline emission summary'!BM16*CO2toC*Ggtot,"NO")</f>
        <v>NO</v>
      </c>
      <c r="BO88" s="45" t="str">
        <f>IF('[1]Baseline emission summary'!BN16*CO2toC*Ggtot&gt;0,'[1]Baseline emission summary'!BN16*CO2toC*Ggtot,"NO")</f>
        <v>NO</v>
      </c>
      <c r="BP88" s="45" t="str">
        <f>IF('[1]Baseline emission summary'!BO16*CO2toC*Ggtot&gt;0,'[1]Baseline emission summary'!BO16*CO2toC*Ggtot,"NO")</f>
        <v>NO</v>
      </c>
      <c r="BQ88" s="84"/>
    </row>
    <row r="89" spans="1:72" x14ac:dyDescent="0.25">
      <c r="A89" t="str">
        <f>A87</f>
        <v>3C Aggregated and non-CO2 emissions on land</v>
      </c>
      <c r="B89" t="str">
        <f>B87</f>
        <v>3C4 Direct N2O from managed soils (N2O)</v>
      </c>
      <c r="C89" t="s">
        <v>60</v>
      </c>
      <c r="D89" t="s">
        <v>102</v>
      </c>
      <c r="F89" t="s">
        <v>725</v>
      </c>
      <c r="H89" s="21" t="s">
        <v>726</v>
      </c>
      <c r="I89" s="21" t="s">
        <v>726</v>
      </c>
      <c r="J89" s="21" t="s">
        <v>726</v>
      </c>
      <c r="K89" s="21" t="s">
        <v>726</v>
      </c>
      <c r="L89" s="21" t="s">
        <v>726</v>
      </c>
      <c r="M89" s="21" t="s">
        <v>726</v>
      </c>
      <c r="N89" s="21" t="s">
        <v>726</v>
      </c>
      <c r="O89" s="21" t="s">
        <v>726</v>
      </c>
      <c r="P89" s="21" t="s">
        <v>726</v>
      </c>
      <c r="Q89" s="21" t="s">
        <v>726</v>
      </c>
      <c r="R89" s="21" t="s">
        <v>726</v>
      </c>
      <c r="S89" s="21" t="s">
        <v>726</v>
      </c>
      <c r="T89" s="21" t="s">
        <v>726</v>
      </c>
      <c r="U89" s="21" t="s">
        <v>726</v>
      </c>
      <c r="V89" s="21" t="s">
        <v>726</v>
      </c>
      <c r="W89" s="21" t="s">
        <v>726</v>
      </c>
      <c r="X89" s="21" t="s">
        <v>726</v>
      </c>
      <c r="Y89" s="21" t="s">
        <v>726</v>
      </c>
      <c r="Z89" s="21" t="s">
        <v>726</v>
      </c>
      <c r="AA89" s="21" t="s">
        <v>726</v>
      </c>
      <c r="AB89" s="21" t="s">
        <v>726</v>
      </c>
      <c r="AC89" s="21" t="s">
        <v>726</v>
      </c>
      <c r="AD89" s="45" t="str">
        <f>IF('[1]Baseline emission summary'!AC24*CO2toC*Ggtot&gt;0,'[1]Baseline emission summary'!AC24*CO2toC*Ggtot,"NO")</f>
        <v>NO</v>
      </c>
      <c r="AE89" s="45" t="str">
        <f>IF('[1]Baseline emission summary'!AD24*CO2toC*Ggtot&gt;0,'[1]Baseline emission summary'!AD24*CO2toC*Ggtot,"NO")</f>
        <v>NO</v>
      </c>
      <c r="AF89" s="45" t="str">
        <f>IF('[1]Baseline emission summary'!AE24*CO2toC*Ggtot&gt;0,'[1]Baseline emission summary'!AE24*CO2toC*Ggtot,"NO")</f>
        <v>NO</v>
      </c>
      <c r="AG89" s="45" t="str">
        <f>IF('[1]Baseline emission summary'!AF24*CO2toC*Ggtot&gt;0,'[1]Baseline emission summary'!AF24*CO2toC*Ggtot,"NO")</f>
        <v>NO</v>
      </c>
      <c r="AH89" s="45" t="str">
        <f>IF('[1]Baseline emission summary'!AG24*CO2toC*Ggtot&gt;0,'[1]Baseline emission summary'!AG24*CO2toC*Ggtot,"NO")</f>
        <v>NO</v>
      </c>
      <c r="AI89" s="45" t="str">
        <f>IF('[1]Baseline emission summary'!AH24*CO2toC*Ggtot&gt;0,'[1]Baseline emission summary'!AH24*CO2toC*Ggtot,"NO")</f>
        <v>NO</v>
      </c>
      <c r="AJ89" s="45" t="str">
        <f>IF('[1]Baseline emission summary'!AI24*CO2toC*Ggtot&gt;0,'[1]Baseline emission summary'!AI24*CO2toC*Ggtot,"NO")</f>
        <v>NO</v>
      </c>
      <c r="AK89" s="45" t="str">
        <f>IF('[1]Baseline emission summary'!AJ24*CO2toC*Ggtot&gt;0,'[1]Baseline emission summary'!AJ24*CO2toC*Ggtot,"NO")</f>
        <v>NO</v>
      </c>
      <c r="AL89" s="45" t="str">
        <f>IF('[1]Baseline emission summary'!AK24*CO2toC*Ggtot&gt;0,'[1]Baseline emission summary'!AK24*CO2toC*Ggtot,"NO")</f>
        <v>NO</v>
      </c>
      <c r="AM89" s="45" t="str">
        <f>IF('[1]Baseline emission summary'!AL24*CO2toC*Ggtot&gt;0,'[1]Baseline emission summary'!AL24*CO2toC*Ggtot,"NO")</f>
        <v>NO</v>
      </c>
      <c r="AN89" s="45" t="str">
        <f>IF('[1]Baseline emission summary'!AM24*CO2toC*Ggtot&gt;0,'[1]Baseline emission summary'!AM24*CO2toC*Ggtot,"NO")</f>
        <v>NO</v>
      </c>
      <c r="AO89" s="45" t="str">
        <f>IF('[1]Baseline emission summary'!AN24*CO2toC*Ggtot&gt;0,'[1]Baseline emission summary'!AN24*CO2toC*Ggtot,"NO")</f>
        <v>NO</v>
      </c>
      <c r="AP89" s="45" t="str">
        <f>IF('[1]Baseline emission summary'!AO24*CO2toC*Ggtot&gt;0,'[1]Baseline emission summary'!AO24*CO2toC*Ggtot,"NO")</f>
        <v>NO</v>
      </c>
      <c r="AQ89" s="45" t="str">
        <f>IF('[1]Baseline emission summary'!AP24*CO2toC*Ggtot&gt;0,'[1]Baseline emission summary'!AP24*CO2toC*Ggtot,"NO")</f>
        <v>NO</v>
      </c>
      <c r="AR89" s="45" t="str">
        <f>IF('[1]Baseline emission summary'!AQ24*CO2toC*Ggtot&gt;0,'[1]Baseline emission summary'!AQ24*CO2toC*Ggtot,"NO")</f>
        <v>NO</v>
      </c>
      <c r="AS89" s="45" t="str">
        <f>IF('[1]Baseline emission summary'!AR24*CO2toC*Ggtot&gt;0,'[1]Baseline emission summary'!AR24*CO2toC*Ggtot,"NO")</f>
        <v>NO</v>
      </c>
      <c r="AT89" s="45" t="str">
        <f>IF('[1]Baseline emission summary'!AS24*CO2toC*Ggtot&gt;0,'[1]Baseline emission summary'!AS24*CO2toC*Ggtot,"NO")</f>
        <v>NO</v>
      </c>
      <c r="AU89" s="45" t="str">
        <f>IF('[1]Baseline emission summary'!AT24*CO2toC*Ggtot&gt;0,'[1]Baseline emission summary'!AT24*CO2toC*Ggtot,"NO")</f>
        <v>NO</v>
      </c>
      <c r="AV89" s="45" t="str">
        <f>IF('[1]Baseline emission summary'!AU24*CO2toC*Ggtot&gt;0,'[1]Baseline emission summary'!AU24*CO2toC*Ggtot,"NO")</f>
        <v>NO</v>
      </c>
      <c r="AW89" s="45" t="str">
        <f>IF('[1]Baseline emission summary'!AV24*CO2toC*Ggtot&gt;0,'[1]Baseline emission summary'!AV24*CO2toC*Ggtot,"NO")</f>
        <v>NO</v>
      </c>
      <c r="AX89" s="45" t="str">
        <f>IF('[1]Baseline emission summary'!AW24*CO2toC*Ggtot&gt;0,'[1]Baseline emission summary'!AW24*CO2toC*Ggtot,"NO")</f>
        <v>NO</v>
      </c>
      <c r="AY89" s="45" t="str">
        <f>IF('[1]Baseline emission summary'!AX24*CO2toC*Ggtot&gt;0,'[1]Baseline emission summary'!AX24*CO2toC*Ggtot,"NO")</f>
        <v>NO</v>
      </c>
      <c r="AZ89" s="45" t="str">
        <f>IF('[1]Baseline emission summary'!AY24*CO2toC*Ggtot&gt;0,'[1]Baseline emission summary'!AY24*CO2toC*Ggtot,"NO")</f>
        <v>NO</v>
      </c>
      <c r="BA89" s="45" t="str">
        <f>IF('[1]Baseline emission summary'!AZ24*CO2toC*Ggtot&gt;0,'[1]Baseline emission summary'!AZ24*CO2toC*Ggtot,"NO")</f>
        <v>NO</v>
      </c>
      <c r="BB89" s="45" t="str">
        <f>IF('[1]Baseline emission summary'!BA24*CO2toC*Ggtot&gt;0,'[1]Baseline emission summary'!BA24*CO2toC*Ggtot,"NO")</f>
        <v>NO</v>
      </c>
      <c r="BC89" s="45" t="str">
        <f>IF('[1]Baseline emission summary'!BB24*CO2toC*Ggtot&gt;0,'[1]Baseline emission summary'!BB24*CO2toC*Ggtot,"NO")</f>
        <v>NO</v>
      </c>
      <c r="BD89" s="45" t="str">
        <f>IF('[1]Baseline emission summary'!BC24*CO2toC*Ggtot&gt;0,'[1]Baseline emission summary'!BC24*CO2toC*Ggtot,"NO")</f>
        <v>NO</v>
      </c>
      <c r="BE89" s="45" t="str">
        <f>IF('[1]Baseline emission summary'!BD24*CO2toC*Ggtot&gt;0,'[1]Baseline emission summary'!BD24*CO2toC*Ggtot,"NO")</f>
        <v>NO</v>
      </c>
      <c r="BF89" s="45" t="str">
        <f>IF('[1]Baseline emission summary'!BE24*CO2toC*Ggtot&gt;0,'[1]Baseline emission summary'!BE24*CO2toC*Ggtot,"NO")</f>
        <v>NO</v>
      </c>
      <c r="BG89" s="45" t="str">
        <f>IF('[1]Baseline emission summary'!BF24*CO2toC*Ggtot&gt;0,'[1]Baseline emission summary'!BF24*CO2toC*Ggtot,"NO")</f>
        <v>NO</v>
      </c>
      <c r="BH89" s="45" t="str">
        <f>IF('[1]Baseline emission summary'!BG24*CO2toC*Ggtot&gt;0,'[1]Baseline emission summary'!BG24*CO2toC*Ggtot,"NO")</f>
        <v>NO</v>
      </c>
      <c r="BI89" s="45" t="str">
        <f>IF('[1]Baseline emission summary'!BH24*CO2toC*Ggtot&gt;0,'[1]Baseline emission summary'!BH24*CO2toC*Ggtot,"NO")</f>
        <v>NO</v>
      </c>
      <c r="BJ89" s="45" t="str">
        <f>IF('[1]Baseline emission summary'!BI24*CO2toC*Ggtot&gt;0,'[1]Baseline emission summary'!BI24*CO2toC*Ggtot,"NO")</f>
        <v>NO</v>
      </c>
      <c r="BK89" s="45" t="str">
        <f>IF('[1]Baseline emission summary'!BJ24*CO2toC*Ggtot&gt;0,'[1]Baseline emission summary'!BJ24*CO2toC*Ggtot,"NO")</f>
        <v>NO</v>
      </c>
      <c r="BL89" s="45" t="str">
        <f>IF('[1]Baseline emission summary'!BK24*CO2toC*Ggtot&gt;0,'[1]Baseline emission summary'!BK24*CO2toC*Ggtot,"NO")</f>
        <v>NO</v>
      </c>
      <c r="BM89" s="45" t="str">
        <f>IF('[1]Baseline emission summary'!BL24*CO2toC*Ggtot&gt;0,'[1]Baseline emission summary'!BL24*CO2toC*Ggtot,"NO")</f>
        <v>NO</v>
      </c>
      <c r="BN89" s="45" t="str">
        <f>IF('[1]Baseline emission summary'!BM24*CO2toC*Ggtot&gt;0,'[1]Baseline emission summary'!BM24*CO2toC*Ggtot,"NO")</f>
        <v>NO</v>
      </c>
      <c r="BO89" s="45" t="str">
        <f>IF('[1]Baseline emission summary'!BN24*CO2toC*Ggtot&gt;0,'[1]Baseline emission summary'!BN24*CO2toC*Ggtot,"NO")</f>
        <v>NO</v>
      </c>
      <c r="BP89" s="45" t="str">
        <f>IF('[1]Baseline emission summary'!BO24*CO2toC*Ggtot&gt;0,'[1]Baseline emission summary'!BO24*CO2toC*Ggtot,"NO")</f>
        <v>NO</v>
      </c>
      <c r="BQ89" s="84"/>
    </row>
    <row r="90" spans="1:72" x14ac:dyDescent="0.25">
      <c r="C90" t="s">
        <v>60</v>
      </c>
      <c r="D90" t="s">
        <v>103</v>
      </c>
      <c r="F90" t="s">
        <v>725</v>
      </c>
      <c r="H90" s="21" t="s">
        <v>726</v>
      </c>
      <c r="I90" s="21">
        <v>201943.5408761205</v>
      </c>
      <c r="J90" s="21">
        <v>201943.5408761205</v>
      </c>
      <c r="K90" s="21">
        <v>201943.5408761205</v>
      </c>
      <c r="L90" s="21">
        <v>201943.5408761205</v>
      </c>
      <c r="M90" s="21">
        <v>201943.5408761205</v>
      </c>
      <c r="N90" s="21">
        <v>201943.5408761205</v>
      </c>
      <c r="O90" s="21">
        <v>201943.5408761205</v>
      </c>
      <c r="P90" s="21">
        <v>201943.5408761205</v>
      </c>
      <c r="Q90" s="21">
        <v>201943.5408761205</v>
      </c>
      <c r="R90" s="21">
        <v>201943.5408761205</v>
      </c>
      <c r="S90" s="21">
        <v>201943.5408761205</v>
      </c>
      <c r="T90" s="21">
        <v>201943.5408761205</v>
      </c>
      <c r="U90" s="21">
        <v>201943.5408761205</v>
      </c>
      <c r="V90" s="21">
        <v>201943.5408761205</v>
      </c>
      <c r="W90" s="21">
        <v>201943.5408761205</v>
      </c>
      <c r="X90" s="21">
        <v>201943.5408761205</v>
      </c>
      <c r="Y90" s="21">
        <v>201943.5408761205</v>
      </c>
      <c r="Z90" s="21">
        <v>201943.5408761205</v>
      </c>
      <c r="AA90" s="21">
        <v>201943.5408761205</v>
      </c>
      <c r="AB90" s="21">
        <v>201943.5408761205</v>
      </c>
      <c r="AC90" s="21">
        <v>201943.5408761205</v>
      </c>
      <c r="AD90" s="45">
        <f>IF('[1]Baseline emission summary'!AC29*CO2toC*Ggtot&gt;0,'[1]Baseline emission summary'!AC29*CO2toC*Ggtot,"NO")</f>
        <v>331792.50900200556</v>
      </c>
      <c r="AE90" s="45">
        <f>IF('[1]Baseline emission summary'!AD29*CO2toC*Ggtot&gt;0,'[1]Baseline emission summary'!AD29*CO2toC*Ggtot,"NO")</f>
        <v>332894.32235870109</v>
      </c>
      <c r="AF90" s="45">
        <f>IF('[1]Baseline emission summary'!AE29*CO2toC*Ggtot&gt;0,'[1]Baseline emission summary'!AE29*CO2toC*Ggtot,"NO")</f>
        <v>333996.13571539643</v>
      </c>
      <c r="AG90" s="45">
        <f>IF('[1]Baseline emission summary'!AF29*CO2toC*Ggtot&gt;0,'[1]Baseline emission summary'!AF29*CO2toC*Ggtot,"NO")</f>
        <v>335097.94907209178</v>
      </c>
      <c r="AH90" s="45">
        <f>IF('[1]Baseline emission summary'!AG29*CO2toC*Ggtot&gt;0,'[1]Baseline emission summary'!AG29*CO2toC*Ggtot,"NO")</f>
        <v>336199.7624287873</v>
      </c>
      <c r="AI90" s="45">
        <f>IF('[1]Baseline emission summary'!AH29*CO2toC*Ggtot&gt;0,'[1]Baseline emission summary'!AH29*CO2toC*Ggtot,"NO")</f>
        <v>337301.57578548265</v>
      </c>
      <c r="AJ90" s="45">
        <f>IF('[1]Baseline emission summary'!AI29*CO2toC*Ggtot&gt;0,'[1]Baseline emission summary'!AI29*CO2toC*Ggtot,"NO")</f>
        <v>338403.38914217812</v>
      </c>
      <c r="AK90" s="45">
        <f>IF('[1]Baseline emission summary'!AJ29*CO2toC*Ggtot&gt;0,'[1]Baseline emission summary'!AJ29*CO2toC*Ggtot,"NO")</f>
        <v>339505.20249887358</v>
      </c>
      <c r="AL90" s="45">
        <f>IF('[1]Baseline emission summary'!AK29*CO2toC*Ggtot&gt;0,'[1]Baseline emission summary'!AK29*CO2toC*Ggtot,"NO")</f>
        <v>340607.01585556904</v>
      </c>
      <c r="AM90" s="45">
        <f>IF('[1]Baseline emission summary'!AL29*CO2toC*Ggtot&gt;0,'[1]Baseline emission summary'!AL29*CO2toC*Ggtot,"NO")</f>
        <v>341708.82921226451</v>
      </c>
      <c r="AN90" s="45">
        <f>IF('[1]Baseline emission summary'!AM29*CO2toC*Ggtot&gt;0,'[1]Baseline emission summary'!AM29*CO2toC*Ggtot,"NO")</f>
        <v>342810.64256895991</v>
      </c>
      <c r="AO90" s="45">
        <f>IF('[1]Baseline emission summary'!AN29*CO2toC*Ggtot&gt;0,'[1]Baseline emission summary'!AN29*CO2toC*Ggtot,"NO")</f>
        <v>343912.45592565538</v>
      </c>
      <c r="AP90" s="45">
        <f>IF('[1]Baseline emission summary'!AO29*CO2toC*Ggtot&gt;0,'[1]Baseline emission summary'!AO29*CO2toC*Ggtot,"NO")</f>
        <v>345014.26928235084</v>
      </c>
      <c r="AQ90" s="45">
        <f>IF('[1]Baseline emission summary'!AP29*CO2toC*Ggtot&gt;0,'[1]Baseline emission summary'!AP29*CO2toC*Ggtot,"NO")</f>
        <v>346116.08263904607</v>
      </c>
      <c r="AR90" s="45">
        <f>IF('[1]Baseline emission summary'!AQ29*CO2toC*Ggtot&gt;0,'[1]Baseline emission summary'!AQ29*CO2toC*Ggtot,"NO")</f>
        <v>347217.89599574171</v>
      </c>
      <c r="AS90" s="45">
        <f>IF('[1]Baseline emission summary'!AR29*CO2toC*Ggtot&gt;0,'[1]Baseline emission summary'!AR29*CO2toC*Ggtot,"NO")</f>
        <v>348319.70935243717</v>
      </c>
      <c r="AT90" s="45">
        <f>IF('[1]Baseline emission summary'!AS29*CO2toC*Ggtot&gt;0,'[1]Baseline emission summary'!AS29*CO2toC*Ggtot,"NO")</f>
        <v>349421.52270913252</v>
      </c>
      <c r="AU90" s="45">
        <f>IF('[1]Baseline emission summary'!AT29*CO2toC*Ggtot&gt;0,'[1]Baseline emission summary'!AT29*CO2toC*Ggtot,"NO")</f>
        <v>350523.33606582793</v>
      </c>
      <c r="AV90" s="45">
        <f>IF('[1]Baseline emission summary'!AU29*CO2toC*Ggtot&gt;0,'[1]Baseline emission summary'!AU29*CO2toC*Ggtot,"NO")</f>
        <v>351625.14942252339</v>
      </c>
      <c r="AW90" s="45">
        <f>IF('[1]Baseline emission summary'!AV29*CO2toC*Ggtot&gt;0,'[1]Baseline emission summary'!AV29*CO2toC*Ggtot,"NO")</f>
        <v>352726.96277921891</v>
      </c>
      <c r="AX90" s="45">
        <f>IF('[1]Baseline emission summary'!AW29*CO2toC*Ggtot&gt;0,'[1]Baseline emission summary'!AW29*CO2toC*Ggtot,"NO")</f>
        <v>353828.77613591426</v>
      </c>
      <c r="AY90" s="45">
        <f>IF('[1]Baseline emission summary'!AX29*CO2toC*Ggtot&gt;0,'[1]Baseline emission summary'!AX29*CO2toC*Ggtot,"NO")</f>
        <v>354930.58949260972</v>
      </c>
      <c r="AZ90" s="45">
        <f>IF('[1]Baseline emission summary'!AY29*CO2toC*Ggtot&gt;0,'[1]Baseline emission summary'!AY29*CO2toC*Ggtot,"NO")</f>
        <v>356032.40284930513</v>
      </c>
      <c r="BA90" s="45">
        <f>IF('[1]Baseline emission summary'!AZ29*CO2toC*Ggtot&gt;0,'[1]Baseline emission summary'!AZ29*CO2toC*Ggtot,"NO")</f>
        <v>357134.21620600054</v>
      </c>
      <c r="BB90" s="45">
        <f>IF('[1]Baseline emission summary'!BA29*CO2toC*Ggtot&gt;0,'[1]Baseline emission summary'!BA29*CO2toC*Ggtot,"NO")</f>
        <v>358236.02956269606</v>
      </c>
      <c r="BC90" s="45">
        <f>IF('[1]Baseline emission summary'!BB29*CO2toC*Ggtot&gt;0,'[1]Baseline emission summary'!BB29*CO2toC*Ggtot,"NO")</f>
        <v>359337.84291939146</v>
      </c>
      <c r="BD90" s="45">
        <f>IF('[1]Baseline emission summary'!BC29*CO2toC*Ggtot&gt;0,'[1]Baseline emission summary'!BC29*CO2toC*Ggtot,"NO")</f>
        <v>360439.65627608704</v>
      </c>
      <c r="BE90" s="45">
        <f>IF('[1]Baseline emission summary'!BD29*CO2toC*Ggtot&gt;0,'[1]Baseline emission summary'!BD29*CO2toC*Ggtot,"NO")</f>
        <v>361541.46963278239</v>
      </c>
      <c r="BF90" s="45">
        <f>IF('[1]Baseline emission summary'!BE29*CO2toC*Ggtot&gt;0,'[1]Baseline emission summary'!BE29*CO2toC*Ggtot,"NO")</f>
        <v>362643.28298947786</v>
      </c>
      <c r="BG90" s="45">
        <f>IF('[1]Baseline emission summary'!BF29*CO2toC*Ggtot&gt;0,'[1]Baseline emission summary'!BF29*CO2toC*Ggtot,"NO")</f>
        <v>363745.09634617326</v>
      </c>
      <c r="BH90" s="45">
        <f>IF('[1]Baseline emission summary'!BG29*CO2toC*Ggtot&gt;0,'[1]Baseline emission summary'!BG29*CO2toC*Ggtot,"NO")</f>
        <v>364846.90970286861</v>
      </c>
      <c r="BI90" s="45">
        <f>IF('[1]Baseline emission summary'!BH29*CO2toC*Ggtot&gt;0,'[1]Baseline emission summary'!BH29*CO2toC*Ggtot,"NO")</f>
        <v>365948.72305956407</v>
      </c>
      <c r="BJ90" s="45">
        <f>IF('[1]Baseline emission summary'!BI29*CO2toC*Ggtot&gt;0,'[1]Baseline emission summary'!BI29*CO2toC*Ggtot,"NO")</f>
        <v>367050.53641625948</v>
      </c>
      <c r="BK90" s="45">
        <f>IF('[1]Baseline emission summary'!BJ29*CO2toC*Ggtot&gt;0,'[1]Baseline emission summary'!BJ29*CO2toC*Ggtot,"NO")</f>
        <v>368152.34977295506</v>
      </c>
      <c r="BL90" s="45">
        <f>IF('[1]Baseline emission summary'!BK29*CO2toC*Ggtot&gt;0,'[1]Baseline emission summary'!BK29*CO2toC*Ggtot,"NO")</f>
        <v>369254.16312965041</v>
      </c>
      <c r="BM90" s="45">
        <f>IF('[1]Baseline emission summary'!BL29*CO2toC*Ggtot&gt;0,'[1]Baseline emission summary'!BL29*CO2toC*Ggtot,"NO")</f>
        <v>370355.97648634587</v>
      </c>
      <c r="BN90" s="45">
        <f>IF('[1]Baseline emission summary'!BM29*CO2toC*Ggtot&gt;0,'[1]Baseline emission summary'!BM29*CO2toC*Ggtot,"NO")</f>
        <v>371457.78984304133</v>
      </c>
      <c r="BO90" s="45">
        <f>IF('[1]Baseline emission summary'!BN29*CO2toC*Ggtot&gt;0,'[1]Baseline emission summary'!BN29*CO2toC*Ggtot,"NO")</f>
        <v>372559.60319973686</v>
      </c>
      <c r="BP90" s="45">
        <f>IF('[1]Baseline emission summary'!BO29*CO2toC*Ggtot&gt;0,'[1]Baseline emission summary'!BO29*CO2toC*Ggtot,"NO")</f>
        <v>373661.41655643226</v>
      </c>
      <c r="BQ90" s="84"/>
    </row>
    <row r="91" spans="1:72" x14ac:dyDescent="0.25">
      <c r="A91" t="str">
        <f>A87</f>
        <v>3C Aggregated and non-CO2 emissions on land</v>
      </c>
      <c r="B91" t="str">
        <f>B87</f>
        <v>3C4 Direct N2O from managed soils (N2O)</v>
      </c>
      <c r="C91" t="s">
        <v>60</v>
      </c>
      <c r="D91" t="s">
        <v>104</v>
      </c>
      <c r="F91" t="s">
        <v>725</v>
      </c>
      <c r="H91" s="21" t="s">
        <v>726</v>
      </c>
      <c r="I91" s="21">
        <v>4806.5146545713069</v>
      </c>
      <c r="J91" s="21">
        <v>4806.5146545713069</v>
      </c>
      <c r="K91" s="21">
        <v>4806.5146545713069</v>
      </c>
      <c r="L91" s="21">
        <v>4806.5146545713069</v>
      </c>
      <c r="M91" s="21">
        <v>4806.5146545713069</v>
      </c>
      <c r="N91" s="21">
        <v>4806.5146545713069</v>
      </c>
      <c r="O91" s="21">
        <v>4806.5146545713069</v>
      </c>
      <c r="P91" s="21">
        <v>4806.5146545713069</v>
      </c>
      <c r="Q91" s="21">
        <v>4806.5146545713069</v>
      </c>
      <c r="R91" s="21">
        <v>4806.5146545713069</v>
      </c>
      <c r="S91" s="21">
        <v>4806.5146545713069</v>
      </c>
      <c r="T91" s="21">
        <v>4806.5146545713069</v>
      </c>
      <c r="U91" s="21">
        <v>4806.5146545713069</v>
      </c>
      <c r="V91" s="21">
        <v>4806.5146545713069</v>
      </c>
      <c r="W91" s="21">
        <v>4806.5146545713069</v>
      </c>
      <c r="X91" s="21">
        <v>4806.5146545713069</v>
      </c>
      <c r="Y91" s="21">
        <v>4806.5146545713069</v>
      </c>
      <c r="Z91" s="21">
        <v>4806.5146545713069</v>
      </c>
      <c r="AA91" s="21">
        <v>4806.5146545713069</v>
      </c>
      <c r="AB91" s="21">
        <v>4806.5146545713069</v>
      </c>
      <c r="AC91" s="21">
        <v>4806.5146545713069</v>
      </c>
      <c r="AD91" s="45">
        <f>IF('[1]Baseline emission summary'!AC37*CO2toC*Ggtot&gt;0,'[1]Baseline emission summary'!AC37*CO2toC*Ggtot,"NO")</f>
        <v>1321805.834905548</v>
      </c>
      <c r="AE91" s="45">
        <f>IF('[1]Baseline emission summary'!AD37*CO2toC*Ggtot&gt;0,'[1]Baseline emission summary'!AD37*CO2toC*Ggtot,"NO")</f>
        <v>1321805.834905548</v>
      </c>
      <c r="AF91" s="45">
        <f>IF('[1]Baseline emission summary'!AE37*CO2toC*Ggtot&gt;0,'[1]Baseline emission summary'!AE37*CO2toC*Ggtot,"NO")</f>
        <v>1321805.834905548</v>
      </c>
      <c r="AG91" s="45">
        <f>IF('[1]Baseline emission summary'!AF37*CO2toC*Ggtot&gt;0,'[1]Baseline emission summary'!AF37*CO2toC*Ggtot,"NO")</f>
        <v>1321805.834905548</v>
      </c>
      <c r="AH91" s="45">
        <f>IF('[1]Baseline emission summary'!AG37*CO2toC*Ggtot&gt;0,'[1]Baseline emission summary'!AG37*CO2toC*Ggtot,"NO")</f>
        <v>1321805.834905548</v>
      </c>
      <c r="AI91" s="45">
        <f>IF('[1]Baseline emission summary'!AH37*CO2toC*Ggtot&gt;0,'[1]Baseline emission summary'!AH37*CO2toC*Ggtot,"NO")</f>
        <v>1321805.834905548</v>
      </c>
      <c r="AJ91" s="45">
        <f>IF('[1]Baseline emission summary'!AI37*CO2toC*Ggtot&gt;0,'[1]Baseline emission summary'!AI37*CO2toC*Ggtot,"NO")</f>
        <v>1321805.834905548</v>
      </c>
      <c r="AK91" s="45">
        <f>IF('[1]Baseline emission summary'!AJ37*CO2toC*Ggtot&gt;0,'[1]Baseline emission summary'!AJ37*CO2toC*Ggtot,"NO")</f>
        <v>1321805.834905548</v>
      </c>
      <c r="AL91" s="45">
        <f>IF('[1]Baseline emission summary'!AK37*CO2toC*Ggtot&gt;0,'[1]Baseline emission summary'!AK37*CO2toC*Ggtot,"NO")</f>
        <v>1321805.834905548</v>
      </c>
      <c r="AM91" s="45">
        <f>IF('[1]Baseline emission summary'!AL37*CO2toC*Ggtot&gt;0,'[1]Baseline emission summary'!AL37*CO2toC*Ggtot,"NO")</f>
        <v>1321805.834905548</v>
      </c>
      <c r="AN91" s="45">
        <f>IF('[1]Baseline emission summary'!AM37*CO2toC*Ggtot&gt;0,'[1]Baseline emission summary'!AM37*CO2toC*Ggtot,"NO")</f>
        <v>1321805.834905548</v>
      </c>
      <c r="AO91" s="45">
        <f>IF('[1]Baseline emission summary'!AN37*CO2toC*Ggtot&gt;0,'[1]Baseline emission summary'!AN37*CO2toC*Ggtot,"NO")</f>
        <v>1321805.834905548</v>
      </c>
      <c r="AP91" s="45">
        <f>IF('[1]Baseline emission summary'!AO37*CO2toC*Ggtot&gt;0,'[1]Baseline emission summary'!AO37*CO2toC*Ggtot,"NO")</f>
        <v>1321805.834905548</v>
      </c>
      <c r="AQ91" s="45">
        <f>IF('[1]Baseline emission summary'!AP37*CO2toC*Ggtot&gt;0,'[1]Baseline emission summary'!AP37*CO2toC*Ggtot,"NO")</f>
        <v>1321805.834905548</v>
      </c>
      <c r="AR91" s="45">
        <f>IF('[1]Baseline emission summary'!AQ37*CO2toC*Ggtot&gt;0,'[1]Baseline emission summary'!AQ37*CO2toC*Ggtot,"NO")</f>
        <v>1321805.834905548</v>
      </c>
      <c r="AS91" s="45">
        <f>IF('[1]Baseline emission summary'!AR37*CO2toC*Ggtot&gt;0,'[1]Baseline emission summary'!AR37*CO2toC*Ggtot,"NO")</f>
        <v>1321805.834905548</v>
      </c>
      <c r="AT91" s="45">
        <f>IF('[1]Baseline emission summary'!AS37*CO2toC*Ggtot&gt;0,'[1]Baseline emission summary'!AS37*CO2toC*Ggtot,"NO")</f>
        <v>1321805.834905548</v>
      </c>
      <c r="AU91" s="45">
        <f>IF('[1]Baseline emission summary'!AT37*CO2toC*Ggtot&gt;0,'[1]Baseline emission summary'!AT37*CO2toC*Ggtot,"NO")</f>
        <v>1321805.834905548</v>
      </c>
      <c r="AV91" s="45">
        <f>IF('[1]Baseline emission summary'!AU37*CO2toC*Ggtot&gt;0,'[1]Baseline emission summary'!AU37*CO2toC*Ggtot,"NO")</f>
        <v>1321805.834905548</v>
      </c>
      <c r="AW91" s="45">
        <f>IF('[1]Baseline emission summary'!AV37*CO2toC*Ggtot&gt;0,'[1]Baseline emission summary'!AV37*CO2toC*Ggtot,"NO")</f>
        <v>1321805.834905548</v>
      </c>
      <c r="AX91" s="45">
        <f>IF('[1]Baseline emission summary'!AW37*CO2toC*Ggtot&gt;0,'[1]Baseline emission summary'!AW37*CO2toC*Ggtot,"NO")</f>
        <v>1321805.834905548</v>
      </c>
      <c r="AY91" s="45">
        <f>IF('[1]Baseline emission summary'!AX37*CO2toC*Ggtot&gt;0,'[1]Baseline emission summary'!AX37*CO2toC*Ggtot,"NO")</f>
        <v>1321805.834905548</v>
      </c>
      <c r="AZ91" s="45">
        <f>IF('[1]Baseline emission summary'!AY37*CO2toC*Ggtot&gt;0,'[1]Baseline emission summary'!AY37*CO2toC*Ggtot,"NO")</f>
        <v>1321805.834905548</v>
      </c>
      <c r="BA91" s="45">
        <f>IF('[1]Baseline emission summary'!AZ37*CO2toC*Ggtot&gt;0,'[1]Baseline emission summary'!AZ37*CO2toC*Ggtot,"NO")</f>
        <v>1321805.834905548</v>
      </c>
      <c r="BB91" s="45">
        <f>IF('[1]Baseline emission summary'!BA37*CO2toC*Ggtot&gt;0,'[1]Baseline emission summary'!BA37*CO2toC*Ggtot,"NO")</f>
        <v>1321805.834905548</v>
      </c>
      <c r="BC91" s="45">
        <f>IF('[1]Baseline emission summary'!BB37*CO2toC*Ggtot&gt;0,'[1]Baseline emission summary'!BB37*CO2toC*Ggtot,"NO")</f>
        <v>1321805.834905548</v>
      </c>
      <c r="BD91" s="45">
        <f>IF('[1]Baseline emission summary'!BC37*CO2toC*Ggtot&gt;0,'[1]Baseline emission summary'!BC37*CO2toC*Ggtot,"NO")</f>
        <v>1321805.834905548</v>
      </c>
      <c r="BE91" s="45">
        <f>IF('[1]Baseline emission summary'!BD37*CO2toC*Ggtot&gt;0,'[1]Baseline emission summary'!BD37*CO2toC*Ggtot,"NO")</f>
        <v>1321805.834905548</v>
      </c>
      <c r="BF91" s="45">
        <f>IF('[1]Baseline emission summary'!BE37*CO2toC*Ggtot&gt;0,'[1]Baseline emission summary'!BE37*CO2toC*Ggtot,"NO")</f>
        <v>1321805.834905548</v>
      </c>
      <c r="BG91" s="45">
        <f>IF('[1]Baseline emission summary'!BF37*CO2toC*Ggtot&gt;0,'[1]Baseline emission summary'!BF37*CO2toC*Ggtot,"NO")</f>
        <v>1321805.834905548</v>
      </c>
      <c r="BH91" s="45">
        <f>IF('[1]Baseline emission summary'!BG37*CO2toC*Ggtot&gt;0,'[1]Baseline emission summary'!BG37*CO2toC*Ggtot,"NO")</f>
        <v>1321805.834905548</v>
      </c>
      <c r="BI91" s="45">
        <f>IF('[1]Baseline emission summary'!BH37*CO2toC*Ggtot&gt;0,'[1]Baseline emission summary'!BH37*CO2toC*Ggtot,"NO")</f>
        <v>1321805.834905548</v>
      </c>
      <c r="BJ91" s="45">
        <f>IF('[1]Baseline emission summary'!BI37*CO2toC*Ggtot&gt;0,'[1]Baseline emission summary'!BI37*CO2toC*Ggtot,"NO")</f>
        <v>1321805.834905548</v>
      </c>
      <c r="BK91" s="45">
        <f>IF('[1]Baseline emission summary'!BJ37*CO2toC*Ggtot&gt;0,'[1]Baseline emission summary'!BJ37*CO2toC*Ggtot,"NO")</f>
        <v>1321805.834905548</v>
      </c>
      <c r="BL91" s="45">
        <f>IF('[1]Baseline emission summary'!BK37*CO2toC*Ggtot&gt;0,'[1]Baseline emission summary'!BK37*CO2toC*Ggtot,"NO")</f>
        <v>1321805.834905548</v>
      </c>
      <c r="BM91" s="45">
        <f>IF('[1]Baseline emission summary'!BL37*CO2toC*Ggtot&gt;0,'[1]Baseline emission summary'!BL37*CO2toC*Ggtot,"NO")</f>
        <v>1321805.834905548</v>
      </c>
      <c r="BN91" s="45">
        <f>IF('[1]Baseline emission summary'!BM37*CO2toC*Ggtot&gt;0,'[1]Baseline emission summary'!BM37*CO2toC*Ggtot,"NO")</f>
        <v>1321805.834905548</v>
      </c>
      <c r="BO91" s="45">
        <f>IF('[1]Baseline emission summary'!BN37*CO2toC*Ggtot&gt;0,'[1]Baseline emission summary'!BN37*CO2toC*Ggtot,"NO")</f>
        <v>1321805.834905548</v>
      </c>
      <c r="BP91" s="45">
        <f>IF('[1]Baseline emission summary'!BO37*CO2toC*Ggtot&gt;0,'[1]Baseline emission summary'!BO37*CO2toC*Ggtot,"NO")</f>
        <v>1321805.834905548</v>
      </c>
      <c r="BQ91" s="84"/>
    </row>
    <row r="92" spans="1:72" x14ac:dyDescent="0.25">
      <c r="C92" t="s">
        <v>60</v>
      </c>
      <c r="D92" t="s">
        <v>105</v>
      </c>
      <c r="F92" t="s">
        <v>725</v>
      </c>
      <c r="H92" s="21">
        <v>0</v>
      </c>
      <c r="I92" s="21">
        <v>255884.38123831482</v>
      </c>
      <c r="J92" s="21">
        <v>255884.38123831482</v>
      </c>
      <c r="K92" s="21">
        <v>255884.38123831482</v>
      </c>
      <c r="L92" s="21">
        <v>255884.38123831482</v>
      </c>
      <c r="M92" s="21">
        <v>255884.38123831482</v>
      </c>
      <c r="N92" s="21">
        <v>255884.38123831482</v>
      </c>
      <c r="O92" s="21">
        <v>255884.38123831482</v>
      </c>
      <c r="P92" s="21">
        <v>255884.38123831482</v>
      </c>
      <c r="Q92" s="21">
        <v>255884.38123831482</v>
      </c>
      <c r="R92" s="21">
        <v>255884.38123831482</v>
      </c>
      <c r="S92" s="21">
        <v>255884.38123831482</v>
      </c>
      <c r="T92" s="21">
        <v>255884.38123831482</v>
      </c>
      <c r="U92" s="21">
        <v>255884.38123831482</v>
      </c>
      <c r="V92" s="21">
        <v>255884.38123831482</v>
      </c>
      <c r="W92" s="21">
        <v>255884.38123831482</v>
      </c>
      <c r="X92" s="21">
        <v>255884.38123831482</v>
      </c>
      <c r="Y92" s="21">
        <v>255884.38123831482</v>
      </c>
      <c r="Z92" s="21">
        <v>255884.38123831482</v>
      </c>
      <c r="AA92" s="21">
        <v>255884.38123831482</v>
      </c>
      <c r="AB92" s="21">
        <v>255884.38123831482</v>
      </c>
      <c r="AC92" s="21">
        <v>255884.38123831482</v>
      </c>
      <c r="AD92" s="45" t="str">
        <f>IF('[1]Baseline emission summary'!AC42*CO2toC*Ggtot&gt;0,'[1]Baseline emission summary'!AC42*CO2toC*Ggtot,"NO")</f>
        <v>NO</v>
      </c>
      <c r="AE92" s="45" t="str">
        <f>IF('[1]Baseline emission summary'!AD42*CO2toC*Ggtot&gt;0,'[1]Baseline emission summary'!AD42*CO2toC*Ggtot,"NO")</f>
        <v>NO</v>
      </c>
      <c r="AF92" s="45" t="str">
        <f>IF('[1]Baseline emission summary'!AE42*CO2toC*Ggtot&gt;0,'[1]Baseline emission summary'!AE42*CO2toC*Ggtot,"NO")</f>
        <v>NO</v>
      </c>
      <c r="AG92" s="45" t="str">
        <f>IF('[1]Baseline emission summary'!AF42*CO2toC*Ggtot&gt;0,'[1]Baseline emission summary'!AF42*CO2toC*Ggtot,"NO")</f>
        <v>NO</v>
      </c>
      <c r="AH92" s="45" t="str">
        <f>IF('[1]Baseline emission summary'!AG42*CO2toC*Ggtot&gt;0,'[1]Baseline emission summary'!AG42*CO2toC*Ggtot,"NO")</f>
        <v>NO</v>
      </c>
      <c r="AI92" s="45" t="str">
        <f>IF('[1]Baseline emission summary'!AH42*CO2toC*Ggtot&gt;0,'[1]Baseline emission summary'!AH42*CO2toC*Ggtot,"NO")</f>
        <v>NO</v>
      </c>
      <c r="AJ92" s="45" t="str">
        <f>IF('[1]Baseline emission summary'!AI42*CO2toC*Ggtot&gt;0,'[1]Baseline emission summary'!AI42*CO2toC*Ggtot,"NO")</f>
        <v>NO</v>
      </c>
      <c r="AK92" s="45" t="str">
        <f>IF('[1]Baseline emission summary'!AJ42*CO2toC*Ggtot&gt;0,'[1]Baseline emission summary'!AJ42*CO2toC*Ggtot,"NO")</f>
        <v>NO</v>
      </c>
      <c r="AL92" s="45" t="str">
        <f>IF('[1]Baseline emission summary'!AK42*CO2toC*Ggtot&gt;0,'[1]Baseline emission summary'!AK42*CO2toC*Ggtot,"NO")</f>
        <v>NO</v>
      </c>
      <c r="AM92" s="45" t="str">
        <f>IF('[1]Baseline emission summary'!AL42*CO2toC*Ggtot&gt;0,'[1]Baseline emission summary'!AL42*CO2toC*Ggtot,"NO")</f>
        <v>NO</v>
      </c>
      <c r="AN92" s="45" t="str">
        <f>IF('[1]Baseline emission summary'!AM42*CO2toC*Ggtot&gt;0,'[1]Baseline emission summary'!AM42*CO2toC*Ggtot,"NO")</f>
        <v>NO</v>
      </c>
      <c r="AO92" s="45" t="str">
        <f>IF('[1]Baseline emission summary'!AN42*CO2toC*Ggtot&gt;0,'[1]Baseline emission summary'!AN42*CO2toC*Ggtot,"NO")</f>
        <v>NO</v>
      </c>
      <c r="AP92" s="45" t="str">
        <f>IF('[1]Baseline emission summary'!AO42*CO2toC*Ggtot&gt;0,'[1]Baseline emission summary'!AO42*CO2toC*Ggtot,"NO")</f>
        <v>NO</v>
      </c>
      <c r="AQ92" s="45" t="str">
        <f>IF('[1]Baseline emission summary'!AP42*CO2toC*Ggtot&gt;0,'[1]Baseline emission summary'!AP42*CO2toC*Ggtot,"NO")</f>
        <v>NO</v>
      </c>
      <c r="AR92" s="45" t="str">
        <f>IF('[1]Baseline emission summary'!AQ42*CO2toC*Ggtot&gt;0,'[1]Baseline emission summary'!AQ42*CO2toC*Ggtot,"NO")</f>
        <v>NO</v>
      </c>
      <c r="AS92" s="45" t="str">
        <f>IF('[1]Baseline emission summary'!AR42*CO2toC*Ggtot&gt;0,'[1]Baseline emission summary'!AR42*CO2toC*Ggtot,"NO")</f>
        <v>NO</v>
      </c>
      <c r="AT92" s="45" t="str">
        <f>IF('[1]Baseline emission summary'!AS42*CO2toC*Ggtot&gt;0,'[1]Baseline emission summary'!AS42*CO2toC*Ggtot,"NO")</f>
        <v>NO</v>
      </c>
      <c r="AU92" s="45" t="str">
        <f>IF('[1]Baseline emission summary'!AT42*CO2toC*Ggtot&gt;0,'[1]Baseline emission summary'!AT42*CO2toC*Ggtot,"NO")</f>
        <v>NO</v>
      </c>
      <c r="AV92" s="45" t="str">
        <f>IF('[1]Baseline emission summary'!AU42*CO2toC*Ggtot&gt;0,'[1]Baseline emission summary'!AU42*CO2toC*Ggtot,"NO")</f>
        <v>NO</v>
      </c>
      <c r="AW92" s="45" t="str">
        <f>IF('[1]Baseline emission summary'!AV42*CO2toC*Ggtot&gt;0,'[1]Baseline emission summary'!AV42*CO2toC*Ggtot,"NO")</f>
        <v>NO</v>
      </c>
      <c r="AX92" s="45" t="str">
        <f>IF('[1]Baseline emission summary'!AW42*CO2toC*Ggtot&gt;0,'[1]Baseline emission summary'!AW42*CO2toC*Ggtot,"NO")</f>
        <v>NO</v>
      </c>
      <c r="AY92" s="45" t="str">
        <f>IF('[1]Baseline emission summary'!AX42*CO2toC*Ggtot&gt;0,'[1]Baseline emission summary'!AX42*CO2toC*Ggtot,"NO")</f>
        <v>NO</v>
      </c>
      <c r="AZ92" s="45" t="str">
        <f>IF('[1]Baseline emission summary'!AY42*CO2toC*Ggtot&gt;0,'[1]Baseline emission summary'!AY42*CO2toC*Ggtot,"NO")</f>
        <v>NO</v>
      </c>
      <c r="BA92" s="45" t="str">
        <f>IF('[1]Baseline emission summary'!AZ42*CO2toC*Ggtot&gt;0,'[1]Baseline emission summary'!AZ42*CO2toC*Ggtot,"NO")</f>
        <v>NO</v>
      </c>
      <c r="BB92" s="45" t="str">
        <f>IF('[1]Baseline emission summary'!BA42*CO2toC*Ggtot&gt;0,'[1]Baseline emission summary'!BA42*CO2toC*Ggtot,"NO")</f>
        <v>NO</v>
      </c>
      <c r="BC92" s="45" t="str">
        <f>IF('[1]Baseline emission summary'!BB42*CO2toC*Ggtot&gt;0,'[1]Baseline emission summary'!BB42*CO2toC*Ggtot,"NO")</f>
        <v>NO</v>
      </c>
      <c r="BD92" s="45" t="str">
        <f>IF('[1]Baseline emission summary'!BC42*CO2toC*Ggtot&gt;0,'[1]Baseline emission summary'!BC42*CO2toC*Ggtot,"NO")</f>
        <v>NO</v>
      </c>
      <c r="BE92" s="45" t="str">
        <f>IF('[1]Baseline emission summary'!BD42*CO2toC*Ggtot&gt;0,'[1]Baseline emission summary'!BD42*CO2toC*Ggtot,"NO")</f>
        <v>NO</v>
      </c>
      <c r="BF92" s="45" t="str">
        <f>IF('[1]Baseline emission summary'!BE42*CO2toC*Ggtot&gt;0,'[1]Baseline emission summary'!BE42*CO2toC*Ggtot,"NO")</f>
        <v>NO</v>
      </c>
      <c r="BG92" s="45" t="str">
        <f>IF('[1]Baseline emission summary'!BF42*CO2toC*Ggtot&gt;0,'[1]Baseline emission summary'!BF42*CO2toC*Ggtot,"NO")</f>
        <v>NO</v>
      </c>
      <c r="BH92" s="45" t="str">
        <f>IF('[1]Baseline emission summary'!BG42*CO2toC*Ggtot&gt;0,'[1]Baseline emission summary'!BG42*CO2toC*Ggtot,"NO")</f>
        <v>NO</v>
      </c>
      <c r="BI92" s="45" t="str">
        <f>IF('[1]Baseline emission summary'!BH42*CO2toC*Ggtot&gt;0,'[1]Baseline emission summary'!BH42*CO2toC*Ggtot,"NO")</f>
        <v>NO</v>
      </c>
      <c r="BJ92" s="45" t="str">
        <f>IF('[1]Baseline emission summary'!BI42*CO2toC*Ggtot&gt;0,'[1]Baseline emission summary'!BI42*CO2toC*Ggtot,"NO")</f>
        <v>NO</v>
      </c>
      <c r="BK92" s="45" t="str">
        <f>IF('[1]Baseline emission summary'!BJ42*CO2toC*Ggtot&gt;0,'[1]Baseline emission summary'!BJ42*CO2toC*Ggtot,"NO")</f>
        <v>NO</v>
      </c>
      <c r="BL92" s="45" t="str">
        <f>IF('[1]Baseline emission summary'!BK42*CO2toC*Ggtot&gt;0,'[1]Baseline emission summary'!BK42*CO2toC*Ggtot,"NO")</f>
        <v>NO</v>
      </c>
      <c r="BM92" s="45" t="str">
        <f>IF('[1]Baseline emission summary'!BL42*CO2toC*Ggtot&gt;0,'[1]Baseline emission summary'!BL42*CO2toC*Ggtot,"NO")</f>
        <v>NO</v>
      </c>
      <c r="BN92" s="45" t="str">
        <f>IF('[1]Baseline emission summary'!BM42*CO2toC*Ggtot&gt;0,'[1]Baseline emission summary'!BM42*CO2toC*Ggtot,"NO")</f>
        <v>NO</v>
      </c>
      <c r="BO92" s="45" t="str">
        <f>IF('[1]Baseline emission summary'!BN42*CO2toC*Ggtot&gt;0,'[1]Baseline emission summary'!BN42*CO2toC*Ggtot,"NO")</f>
        <v>NO</v>
      </c>
      <c r="BP92" s="45" t="str">
        <f>IF('[1]Baseline emission summary'!BO42*CO2toC*Ggtot&gt;0,'[1]Baseline emission summary'!BO42*CO2toC*Ggtot,"NO")</f>
        <v>NO</v>
      </c>
      <c r="BQ92" s="84"/>
    </row>
    <row r="93" spans="1:72" x14ac:dyDescent="0.25">
      <c r="A93" t="str">
        <f>A87</f>
        <v>3C Aggregated and non-CO2 emissions on land</v>
      </c>
      <c r="B93" t="str">
        <f>B87</f>
        <v>3C4 Direct N2O from managed soils (N2O)</v>
      </c>
      <c r="C93" t="s">
        <v>60</v>
      </c>
      <c r="D93" t="s">
        <v>727</v>
      </c>
      <c r="F93" t="s">
        <v>725</v>
      </c>
      <c r="H93" s="21" t="s">
        <v>726</v>
      </c>
      <c r="I93" s="21" t="s">
        <v>726</v>
      </c>
      <c r="J93" s="21" t="s">
        <v>726</v>
      </c>
      <c r="K93" s="21" t="s">
        <v>726</v>
      </c>
      <c r="L93" s="21" t="s">
        <v>726</v>
      </c>
      <c r="M93" s="21" t="s">
        <v>726</v>
      </c>
      <c r="N93" s="21" t="s">
        <v>726</v>
      </c>
      <c r="O93" s="21" t="s">
        <v>726</v>
      </c>
      <c r="P93" s="21" t="s">
        <v>726</v>
      </c>
      <c r="Q93" s="21" t="s">
        <v>726</v>
      </c>
      <c r="R93" s="21" t="s">
        <v>726</v>
      </c>
      <c r="S93" s="21" t="s">
        <v>726</v>
      </c>
      <c r="T93" s="21" t="s">
        <v>726</v>
      </c>
      <c r="U93" s="21" t="s">
        <v>726</v>
      </c>
      <c r="V93" s="21" t="s">
        <v>726</v>
      </c>
      <c r="W93" s="21" t="s">
        <v>726</v>
      </c>
      <c r="X93" s="21" t="s">
        <v>726</v>
      </c>
      <c r="Y93" s="21" t="s">
        <v>726</v>
      </c>
      <c r="Z93" s="21" t="s">
        <v>726</v>
      </c>
      <c r="AA93" s="21" t="s">
        <v>726</v>
      </c>
      <c r="AB93" s="21" t="s">
        <v>726</v>
      </c>
      <c r="AC93" s="21" t="s">
        <v>726</v>
      </c>
      <c r="AD93" s="21" t="s">
        <v>726</v>
      </c>
      <c r="AE93" s="21" t="s">
        <v>726</v>
      </c>
      <c r="AF93" s="21" t="s">
        <v>726</v>
      </c>
      <c r="AG93" s="21" t="s">
        <v>726</v>
      </c>
      <c r="AH93" s="21" t="s">
        <v>726</v>
      </c>
      <c r="AI93" s="21" t="s">
        <v>726</v>
      </c>
      <c r="AJ93" s="21" t="s">
        <v>726</v>
      </c>
      <c r="AK93" s="21" t="s">
        <v>726</v>
      </c>
      <c r="AL93" s="21" t="s">
        <v>726</v>
      </c>
      <c r="AM93" s="21" t="s">
        <v>726</v>
      </c>
      <c r="AN93" s="21" t="s">
        <v>726</v>
      </c>
      <c r="AO93" s="21" t="s">
        <v>726</v>
      </c>
      <c r="AP93" s="21" t="s">
        <v>726</v>
      </c>
      <c r="AQ93" s="21" t="s">
        <v>726</v>
      </c>
      <c r="AR93" s="21" t="s">
        <v>726</v>
      </c>
      <c r="AS93" s="21" t="s">
        <v>726</v>
      </c>
      <c r="AT93" s="21" t="s">
        <v>726</v>
      </c>
      <c r="AU93" s="21" t="s">
        <v>726</v>
      </c>
      <c r="AV93" s="21" t="s">
        <v>726</v>
      </c>
      <c r="AW93" s="21" t="s">
        <v>726</v>
      </c>
      <c r="AX93" s="21" t="s">
        <v>726</v>
      </c>
      <c r="AY93" s="21" t="s">
        <v>726</v>
      </c>
      <c r="AZ93" s="21" t="s">
        <v>726</v>
      </c>
      <c r="BA93" s="21" t="s">
        <v>726</v>
      </c>
      <c r="BB93" s="21" t="s">
        <v>726</v>
      </c>
      <c r="BC93" s="21" t="s">
        <v>726</v>
      </c>
      <c r="BD93" s="21" t="s">
        <v>726</v>
      </c>
      <c r="BE93" s="21" t="s">
        <v>726</v>
      </c>
      <c r="BF93" s="21" t="s">
        <v>726</v>
      </c>
      <c r="BG93" s="21" t="s">
        <v>726</v>
      </c>
      <c r="BH93" s="21" t="s">
        <v>726</v>
      </c>
      <c r="BI93" s="21" t="s">
        <v>726</v>
      </c>
      <c r="BJ93" s="21" t="s">
        <v>726</v>
      </c>
      <c r="BK93" s="21" t="s">
        <v>726</v>
      </c>
      <c r="BL93" s="21" t="s">
        <v>726</v>
      </c>
      <c r="BM93" s="21" t="s">
        <v>726</v>
      </c>
      <c r="BN93" s="21" t="s">
        <v>726</v>
      </c>
      <c r="BO93" s="21" t="s">
        <v>726</v>
      </c>
      <c r="BP93" s="21" t="s">
        <v>726</v>
      </c>
      <c r="BQ93" s="84"/>
    </row>
    <row r="94" spans="1:72" x14ac:dyDescent="0.25">
      <c r="C94" t="s">
        <v>60</v>
      </c>
      <c r="D94" t="s">
        <v>801</v>
      </c>
      <c r="F94" t="s">
        <v>725</v>
      </c>
      <c r="H94" s="21" t="s">
        <v>726</v>
      </c>
      <c r="I94" s="21" t="s">
        <v>726</v>
      </c>
      <c r="J94" s="21" t="s">
        <v>726</v>
      </c>
      <c r="K94" s="21" t="s">
        <v>726</v>
      </c>
      <c r="L94" s="21" t="s">
        <v>726</v>
      </c>
      <c r="M94" s="21" t="s">
        <v>726</v>
      </c>
      <c r="N94" s="21" t="s">
        <v>726</v>
      </c>
      <c r="O94" s="21" t="s">
        <v>726</v>
      </c>
      <c r="P94" s="21" t="s">
        <v>726</v>
      </c>
      <c r="Q94" s="21" t="s">
        <v>726</v>
      </c>
      <c r="R94" s="21" t="s">
        <v>726</v>
      </c>
      <c r="S94" s="21" t="s">
        <v>726</v>
      </c>
      <c r="T94" s="21" t="s">
        <v>726</v>
      </c>
      <c r="U94" s="21" t="s">
        <v>726</v>
      </c>
      <c r="V94" s="21" t="s">
        <v>726</v>
      </c>
      <c r="W94" s="21" t="s">
        <v>726</v>
      </c>
      <c r="X94" s="21" t="s">
        <v>726</v>
      </c>
      <c r="Y94" s="21" t="s">
        <v>726</v>
      </c>
      <c r="Z94" s="21" t="s">
        <v>726</v>
      </c>
      <c r="AA94" s="21" t="s">
        <v>726</v>
      </c>
      <c r="AB94" s="21" t="s">
        <v>726</v>
      </c>
      <c r="AC94" s="21" t="s">
        <v>726</v>
      </c>
      <c r="AD94" s="21" t="s">
        <v>726</v>
      </c>
      <c r="AE94" s="21" t="s">
        <v>726</v>
      </c>
      <c r="AF94" s="21" t="s">
        <v>726</v>
      </c>
      <c r="AG94" s="21" t="s">
        <v>726</v>
      </c>
      <c r="AH94" s="21" t="s">
        <v>726</v>
      </c>
      <c r="AI94" s="21" t="s">
        <v>726</v>
      </c>
      <c r="AJ94" s="21" t="s">
        <v>726</v>
      </c>
      <c r="AK94" s="21" t="s">
        <v>726</v>
      </c>
      <c r="AL94" s="21" t="s">
        <v>726</v>
      </c>
      <c r="AM94" s="21" t="s">
        <v>726</v>
      </c>
      <c r="AN94" s="21" t="s">
        <v>726</v>
      </c>
      <c r="AO94" s="21" t="s">
        <v>726</v>
      </c>
      <c r="AP94" s="21" t="s">
        <v>726</v>
      </c>
      <c r="AQ94" s="21" t="s">
        <v>726</v>
      </c>
      <c r="AR94" s="21" t="s">
        <v>726</v>
      </c>
      <c r="AS94" s="21" t="s">
        <v>726</v>
      </c>
      <c r="AT94" s="21" t="s">
        <v>726</v>
      </c>
      <c r="AU94" s="21" t="s">
        <v>726</v>
      </c>
      <c r="AV94" s="21" t="s">
        <v>726</v>
      </c>
      <c r="AW94" s="21" t="s">
        <v>726</v>
      </c>
      <c r="AX94" s="21" t="s">
        <v>726</v>
      </c>
      <c r="AY94" s="21" t="s">
        <v>726</v>
      </c>
      <c r="AZ94" s="21" t="s">
        <v>726</v>
      </c>
      <c r="BA94" s="21" t="s">
        <v>726</v>
      </c>
      <c r="BB94" s="21" t="s">
        <v>726</v>
      </c>
      <c r="BC94" s="21" t="s">
        <v>726</v>
      </c>
      <c r="BD94" s="21" t="s">
        <v>726</v>
      </c>
      <c r="BE94" s="21" t="s">
        <v>726</v>
      </c>
      <c r="BF94" s="21" t="s">
        <v>726</v>
      </c>
      <c r="BG94" s="21" t="s">
        <v>726</v>
      </c>
      <c r="BH94" s="21" t="s">
        <v>726</v>
      </c>
      <c r="BI94" s="21" t="s">
        <v>726</v>
      </c>
      <c r="BJ94" s="21" t="s">
        <v>726</v>
      </c>
      <c r="BK94" s="21" t="s">
        <v>726</v>
      </c>
      <c r="BL94" s="21" t="s">
        <v>726</v>
      </c>
      <c r="BM94" s="21" t="s">
        <v>726</v>
      </c>
      <c r="BN94" s="21" t="s">
        <v>726</v>
      </c>
      <c r="BO94" s="21" t="s">
        <v>726</v>
      </c>
      <c r="BP94" s="21" t="s">
        <v>726</v>
      </c>
      <c r="BQ94" s="84"/>
    </row>
    <row r="95" spans="1:72" x14ac:dyDescent="0.25">
      <c r="A95" t="str">
        <f>A87</f>
        <v>3C Aggregated and non-CO2 emissions on land</v>
      </c>
      <c r="B95" t="str">
        <f>B87</f>
        <v>3C4 Direct N2O from managed soils (N2O)</v>
      </c>
      <c r="C95" t="s">
        <v>60</v>
      </c>
      <c r="D95" t="s">
        <v>107</v>
      </c>
      <c r="F95" t="s">
        <v>725</v>
      </c>
      <c r="H95" s="21" t="s">
        <v>726</v>
      </c>
      <c r="I95" s="21">
        <v>407.67139168710514</v>
      </c>
      <c r="J95" s="21">
        <v>407.67139168710514</v>
      </c>
      <c r="K95" s="21">
        <v>407.67139168710514</v>
      </c>
      <c r="L95" s="21">
        <v>407.67139168710514</v>
      </c>
      <c r="M95" s="21">
        <v>407.67139168710514</v>
      </c>
      <c r="N95" s="21">
        <v>407.67139168710514</v>
      </c>
      <c r="O95" s="21">
        <v>407.67139168710514</v>
      </c>
      <c r="P95" s="21">
        <v>407.67139168710514</v>
      </c>
      <c r="Q95" s="21">
        <v>407.67139168710514</v>
      </c>
      <c r="R95" s="21">
        <v>407.67139168710514</v>
      </c>
      <c r="S95" s="21">
        <v>407.67139168710514</v>
      </c>
      <c r="T95" s="21">
        <v>407.67139168710514</v>
      </c>
      <c r="U95" s="21">
        <v>407.67139168710514</v>
      </c>
      <c r="V95" s="21">
        <v>407.67139168710514</v>
      </c>
      <c r="W95" s="21">
        <v>407.67139168710514</v>
      </c>
      <c r="X95" s="21">
        <v>407.67139168710514</v>
      </c>
      <c r="Y95" s="21">
        <v>407.67139168710514</v>
      </c>
      <c r="Z95" s="21">
        <v>407.67139168710514</v>
      </c>
      <c r="AA95" s="21">
        <v>407.67139168710514</v>
      </c>
      <c r="AB95" s="21">
        <v>407.67139168710514</v>
      </c>
      <c r="AC95" s="21">
        <v>407.67139168710514</v>
      </c>
      <c r="AD95" s="45">
        <f>IF('[1]Baseline emission summary'!$G$50*CO2toC*Ggtot&gt;0,'[1]Baseline emission summary'!$G$50*CO2toC*Ggtot,"NO")</f>
        <v>754.23981127258105</v>
      </c>
      <c r="AE95" s="45">
        <f>IF('[1]Baseline emission summary'!$G$50*CO2toC*Ggtot&gt;0,'[1]Baseline emission summary'!$G$50*CO2toC*Ggtot,"NO")</f>
        <v>754.23981127258105</v>
      </c>
      <c r="AF95" s="45">
        <f>IF('[1]Baseline emission summary'!$G$50*CO2toC*Ggtot&gt;0,'[1]Baseline emission summary'!$G$50*CO2toC*Ggtot,"NO")</f>
        <v>754.23981127258105</v>
      </c>
      <c r="AG95" s="45">
        <f>IF('[1]Baseline emission summary'!$G$50*CO2toC*Ggtot&gt;0,'[1]Baseline emission summary'!$G$50*CO2toC*Ggtot,"NO")</f>
        <v>754.23981127258105</v>
      </c>
      <c r="AH95" s="45">
        <f>IF('[1]Baseline emission summary'!$G$50*CO2toC*Ggtot&gt;0,'[1]Baseline emission summary'!$G$50*CO2toC*Ggtot,"NO")</f>
        <v>754.23981127258105</v>
      </c>
      <c r="AI95" s="45">
        <f>IF('[1]Baseline emission summary'!$G$50*CO2toC*Ggtot&gt;0,'[1]Baseline emission summary'!$G$50*CO2toC*Ggtot,"NO")</f>
        <v>754.23981127258105</v>
      </c>
      <c r="AJ95" s="45">
        <f>IF('[1]Baseline emission summary'!$G$50*CO2toC*Ggtot&gt;0,'[1]Baseline emission summary'!$G$50*CO2toC*Ggtot,"NO")</f>
        <v>754.23981127258105</v>
      </c>
      <c r="AK95" s="45">
        <f>IF('[1]Baseline emission summary'!$G$50*CO2toC*Ggtot&gt;0,'[1]Baseline emission summary'!$G$50*CO2toC*Ggtot,"NO")</f>
        <v>754.23981127258105</v>
      </c>
      <c r="AL95" s="45">
        <f>IF('[1]Baseline emission summary'!$G$50*CO2toC*Ggtot&gt;0,'[1]Baseline emission summary'!$G$50*CO2toC*Ggtot,"NO")</f>
        <v>754.23981127258105</v>
      </c>
      <c r="AM95" s="45">
        <f>IF('[1]Baseline emission summary'!$G$50*CO2toC*Ggtot&gt;0,'[1]Baseline emission summary'!$G$50*CO2toC*Ggtot,"NO")</f>
        <v>754.23981127258105</v>
      </c>
      <c r="AN95" s="45">
        <f>IF('[1]Baseline emission summary'!$G$50*CO2toC*Ggtot&gt;0,'[1]Baseline emission summary'!$G$50*CO2toC*Ggtot,"NO")</f>
        <v>754.23981127258105</v>
      </c>
      <c r="AO95" s="45">
        <f>IF('[1]Baseline emission summary'!$G$50*CO2toC*Ggtot&gt;0,'[1]Baseline emission summary'!$G$50*CO2toC*Ggtot,"NO")</f>
        <v>754.23981127258105</v>
      </c>
      <c r="AP95" s="45">
        <f>IF('[1]Baseline emission summary'!$G$50*CO2toC*Ggtot&gt;0,'[1]Baseline emission summary'!$G$50*CO2toC*Ggtot,"NO")</f>
        <v>754.23981127258105</v>
      </c>
      <c r="AQ95" s="45">
        <f>IF('[1]Baseline emission summary'!$G$50*CO2toC*Ggtot&gt;0,'[1]Baseline emission summary'!$G$50*CO2toC*Ggtot,"NO")</f>
        <v>754.23981127258105</v>
      </c>
      <c r="AR95" s="45">
        <f>IF('[1]Baseline emission summary'!$G$50*CO2toC*Ggtot&gt;0,'[1]Baseline emission summary'!$G$50*CO2toC*Ggtot,"NO")</f>
        <v>754.23981127258105</v>
      </c>
      <c r="AS95" s="45">
        <f>IF('[1]Baseline emission summary'!$G$50*CO2toC*Ggtot&gt;0,'[1]Baseline emission summary'!$G$50*CO2toC*Ggtot,"NO")</f>
        <v>754.23981127258105</v>
      </c>
      <c r="AT95" s="45">
        <f>IF('[1]Baseline emission summary'!$G$50*CO2toC*Ggtot&gt;0,'[1]Baseline emission summary'!$G$50*CO2toC*Ggtot,"NO")</f>
        <v>754.23981127258105</v>
      </c>
      <c r="AU95" s="45">
        <f>IF('[1]Baseline emission summary'!$G$50*CO2toC*Ggtot&gt;0,'[1]Baseline emission summary'!$G$50*CO2toC*Ggtot,"NO")</f>
        <v>754.23981127258105</v>
      </c>
      <c r="AV95" s="45">
        <f>IF('[1]Baseline emission summary'!$G$50*CO2toC*Ggtot&gt;0,'[1]Baseline emission summary'!$G$50*CO2toC*Ggtot,"NO")</f>
        <v>754.23981127258105</v>
      </c>
      <c r="AW95" s="45">
        <f>IF('[1]Baseline emission summary'!$G$50*CO2toC*Ggtot&gt;0,'[1]Baseline emission summary'!$G$50*CO2toC*Ggtot,"NO")</f>
        <v>754.23981127258105</v>
      </c>
      <c r="AX95" s="45">
        <f>IF('[1]Baseline emission summary'!$G$50*CO2toC*Ggtot&gt;0,'[1]Baseline emission summary'!$G$50*CO2toC*Ggtot,"NO")</f>
        <v>754.23981127258105</v>
      </c>
      <c r="AY95" s="45">
        <f>IF('[1]Baseline emission summary'!$G$50*CO2toC*Ggtot&gt;0,'[1]Baseline emission summary'!$G$50*CO2toC*Ggtot,"NO")</f>
        <v>754.23981127258105</v>
      </c>
      <c r="AZ95" s="45">
        <f>IF('[1]Baseline emission summary'!$G$50*CO2toC*Ggtot&gt;0,'[1]Baseline emission summary'!$G$50*CO2toC*Ggtot,"NO")</f>
        <v>754.23981127258105</v>
      </c>
      <c r="BA95" s="45">
        <f>IF('[1]Baseline emission summary'!$G$50*CO2toC*Ggtot&gt;0,'[1]Baseline emission summary'!$G$50*CO2toC*Ggtot,"NO")</f>
        <v>754.23981127258105</v>
      </c>
      <c r="BB95" s="45">
        <f>IF('[1]Baseline emission summary'!$G$50*CO2toC*Ggtot&gt;0,'[1]Baseline emission summary'!$G$50*CO2toC*Ggtot,"NO")</f>
        <v>754.23981127258105</v>
      </c>
      <c r="BC95" s="45">
        <f>IF('[1]Baseline emission summary'!$G$50*CO2toC*Ggtot&gt;0,'[1]Baseline emission summary'!$G$50*CO2toC*Ggtot,"NO")</f>
        <v>754.23981127258105</v>
      </c>
      <c r="BD95" s="45">
        <f>IF('[1]Baseline emission summary'!$G$50*CO2toC*Ggtot&gt;0,'[1]Baseline emission summary'!$G$50*CO2toC*Ggtot,"NO")</f>
        <v>754.23981127258105</v>
      </c>
      <c r="BE95" s="45">
        <f>IF('[1]Baseline emission summary'!$G$50*CO2toC*Ggtot&gt;0,'[1]Baseline emission summary'!$G$50*CO2toC*Ggtot,"NO")</f>
        <v>754.23981127258105</v>
      </c>
      <c r="BF95" s="45">
        <f>IF('[1]Baseline emission summary'!$G$50*CO2toC*Ggtot&gt;0,'[1]Baseline emission summary'!$G$50*CO2toC*Ggtot,"NO")</f>
        <v>754.23981127258105</v>
      </c>
      <c r="BG95" s="45">
        <f>IF('[1]Baseline emission summary'!$G$50*CO2toC*Ggtot&gt;0,'[1]Baseline emission summary'!$G$50*CO2toC*Ggtot,"NO")</f>
        <v>754.23981127258105</v>
      </c>
      <c r="BH95" s="45">
        <f>IF('[1]Baseline emission summary'!$G$50*CO2toC*Ggtot&gt;0,'[1]Baseline emission summary'!$G$50*CO2toC*Ggtot,"NO")</f>
        <v>754.23981127258105</v>
      </c>
      <c r="BI95" s="45">
        <f>IF('[1]Baseline emission summary'!$G$50*CO2toC*Ggtot&gt;0,'[1]Baseline emission summary'!$G$50*CO2toC*Ggtot,"NO")</f>
        <v>754.23981127258105</v>
      </c>
      <c r="BJ95" s="45">
        <f>IF('[1]Baseline emission summary'!$G$50*CO2toC*Ggtot&gt;0,'[1]Baseline emission summary'!$G$50*CO2toC*Ggtot,"NO")</f>
        <v>754.23981127258105</v>
      </c>
      <c r="BK95" s="45">
        <f>IF('[1]Baseline emission summary'!$G$50*CO2toC*Ggtot&gt;0,'[1]Baseline emission summary'!$G$50*CO2toC*Ggtot,"NO")</f>
        <v>754.23981127258105</v>
      </c>
      <c r="BL95" s="45">
        <f>IF('[1]Baseline emission summary'!$G$50*CO2toC*Ggtot&gt;0,'[1]Baseline emission summary'!$G$50*CO2toC*Ggtot,"NO")</f>
        <v>754.23981127258105</v>
      </c>
      <c r="BM95" s="45">
        <f>IF('[1]Baseline emission summary'!$G$50*CO2toC*Ggtot&gt;0,'[1]Baseline emission summary'!$G$50*CO2toC*Ggtot,"NO")</f>
        <v>754.23981127258105</v>
      </c>
      <c r="BN95" s="45">
        <f>IF('[1]Baseline emission summary'!$G$50*CO2toC*Ggtot&gt;0,'[1]Baseline emission summary'!$G$50*CO2toC*Ggtot,"NO")</f>
        <v>754.23981127258105</v>
      </c>
      <c r="BO95" s="45">
        <f>IF('[1]Baseline emission summary'!$G$50*CO2toC*Ggtot&gt;0,'[1]Baseline emission summary'!$G$50*CO2toC*Ggtot,"NO")</f>
        <v>754.23981127258105</v>
      </c>
      <c r="BP95" s="45">
        <f>IF('[1]Baseline emission summary'!$G$50*CO2toC*Ggtot&gt;0,'[1]Baseline emission summary'!$G$50*CO2toC*Ggtot,"NO")</f>
        <v>754.23981127258105</v>
      </c>
      <c r="BQ95" s="84"/>
    </row>
    <row r="96" spans="1:72" x14ac:dyDescent="0.25">
      <c r="C96" t="s">
        <v>60</v>
      </c>
      <c r="D96" t="s">
        <v>108</v>
      </c>
      <c r="F96" t="s">
        <v>725</v>
      </c>
      <c r="H96" s="21">
        <v>0</v>
      </c>
      <c r="I96" s="21">
        <v>229513.74484724633</v>
      </c>
      <c r="J96" s="21">
        <v>229513.74484724633</v>
      </c>
      <c r="K96" s="21">
        <v>229513.74484724633</v>
      </c>
      <c r="L96" s="21">
        <v>229513.74484724633</v>
      </c>
      <c r="M96" s="21">
        <v>229513.74484724633</v>
      </c>
      <c r="N96" s="21">
        <v>229513.74484724633</v>
      </c>
      <c r="O96" s="21">
        <v>229513.74484724633</v>
      </c>
      <c r="P96" s="21">
        <v>229513.74484724633</v>
      </c>
      <c r="Q96" s="21">
        <v>229513.74484724633</v>
      </c>
      <c r="R96" s="21">
        <v>229513.74484724633</v>
      </c>
      <c r="S96" s="21">
        <v>229513.74484724633</v>
      </c>
      <c r="T96" s="21">
        <v>229513.74484724633</v>
      </c>
      <c r="U96" s="21">
        <v>229513.74484724633</v>
      </c>
      <c r="V96" s="21">
        <v>229513.74484724633</v>
      </c>
      <c r="W96" s="21">
        <v>229513.74484724633</v>
      </c>
      <c r="X96" s="21">
        <v>229513.74484724633</v>
      </c>
      <c r="Y96" s="21">
        <v>229513.74484724633</v>
      </c>
      <c r="Z96" s="21">
        <v>229513.74484724633</v>
      </c>
      <c r="AA96" s="21">
        <v>229513.74484724633</v>
      </c>
      <c r="AB96" s="21">
        <v>229513.74484724633</v>
      </c>
      <c r="AC96" s="21">
        <v>229513.74484724633</v>
      </c>
      <c r="AD96" s="45">
        <f>IF('[1]Baseline emission summary'!AC55*CO2toC*Ggtot&gt;0,'[1]Baseline emission summary'!AC55*CO2toC*Ggtot,"NO")</f>
        <v>68535.410614285807</v>
      </c>
      <c r="AE96" s="45">
        <f>IF('[1]Baseline emission summary'!AD55*CO2toC*Ggtot&gt;0,'[1]Baseline emission summary'!AD55*CO2toC*Ggtot,"NO")</f>
        <v>68535.410614285807</v>
      </c>
      <c r="AF96" s="45">
        <f>IF('[1]Baseline emission summary'!AE55*CO2toC*Ggtot&gt;0,'[1]Baseline emission summary'!AE55*CO2toC*Ggtot,"NO")</f>
        <v>68535.410614285807</v>
      </c>
      <c r="AG96" s="45">
        <f>IF('[1]Baseline emission summary'!AF55*CO2toC*Ggtot&gt;0,'[1]Baseline emission summary'!AF55*CO2toC*Ggtot,"NO")</f>
        <v>68535.410614285807</v>
      </c>
      <c r="AH96" s="45">
        <f>IF('[1]Baseline emission summary'!AG55*CO2toC*Ggtot&gt;0,'[1]Baseline emission summary'!AG55*CO2toC*Ggtot,"NO")</f>
        <v>68535.410614285807</v>
      </c>
      <c r="AI96" s="45">
        <f>IF('[1]Baseline emission summary'!AH55*CO2toC*Ggtot&gt;0,'[1]Baseline emission summary'!AH55*CO2toC*Ggtot,"NO")</f>
        <v>68535.410614285807</v>
      </c>
      <c r="AJ96" s="45">
        <f>IF('[1]Baseline emission summary'!AI55*CO2toC*Ggtot&gt;0,'[1]Baseline emission summary'!AI55*CO2toC*Ggtot,"NO")</f>
        <v>68535.410614285807</v>
      </c>
      <c r="AK96" s="45">
        <f>IF('[1]Baseline emission summary'!AJ55*CO2toC*Ggtot&gt;0,'[1]Baseline emission summary'!AJ55*CO2toC*Ggtot,"NO")</f>
        <v>68535.410614285807</v>
      </c>
      <c r="AL96" s="45">
        <f>IF('[1]Baseline emission summary'!AK55*CO2toC*Ggtot&gt;0,'[1]Baseline emission summary'!AK55*CO2toC*Ggtot,"NO")</f>
        <v>68535.410614285807</v>
      </c>
      <c r="AM96" s="45">
        <f>IF('[1]Baseline emission summary'!AL55*CO2toC*Ggtot&gt;0,'[1]Baseline emission summary'!AL55*CO2toC*Ggtot,"NO")</f>
        <v>68535.410614285807</v>
      </c>
      <c r="AN96" s="45">
        <f>IF('[1]Baseline emission summary'!AM55*CO2toC*Ggtot&gt;0,'[1]Baseline emission summary'!AM55*CO2toC*Ggtot,"NO")</f>
        <v>68535.410614285807</v>
      </c>
      <c r="AO96" s="45">
        <f>IF('[1]Baseline emission summary'!AN55*CO2toC*Ggtot&gt;0,'[1]Baseline emission summary'!AN55*CO2toC*Ggtot,"NO")</f>
        <v>68535.410614285807</v>
      </c>
      <c r="AP96" s="45">
        <f>IF('[1]Baseline emission summary'!AO55*CO2toC*Ggtot&gt;0,'[1]Baseline emission summary'!AO55*CO2toC*Ggtot,"NO")</f>
        <v>68535.410614285807</v>
      </c>
      <c r="AQ96" s="45">
        <f>IF('[1]Baseline emission summary'!AP55*CO2toC*Ggtot&gt;0,'[1]Baseline emission summary'!AP55*CO2toC*Ggtot,"NO")</f>
        <v>68535.410614285807</v>
      </c>
      <c r="AR96" s="45">
        <f>IF('[1]Baseline emission summary'!AQ55*CO2toC*Ggtot&gt;0,'[1]Baseline emission summary'!AQ55*CO2toC*Ggtot,"NO")</f>
        <v>68535.410614285807</v>
      </c>
      <c r="AS96" s="45">
        <f>IF('[1]Baseline emission summary'!AR55*CO2toC*Ggtot&gt;0,'[1]Baseline emission summary'!AR55*CO2toC*Ggtot,"NO")</f>
        <v>68535.410614285807</v>
      </c>
      <c r="AT96" s="45">
        <f>IF('[1]Baseline emission summary'!AS55*CO2toC*Ggtot&gt;0,'[1]Baseline emission summary'!AS55*CO2toC*Ggtot,"NO")</f>
        <v>68535.410614285807</v>
      </c>
      <c r="AU96" s="45">
        <f>IF('[1]Baseline emission summary'!AT55*CO2toC*Ggtot&gt;0,'[1]Baseline emission summary'!AT55*CO2toC*Ggtot,"NO")</f>
        <v>68535.410614285807</v>
      </c>
      <c r="AV96" s="45">
        <f>IF('[1]Baseline emission summary'!AU55*CO2toC*Ggtot&gt;0,'[1]Baseline emission summary'!AU55*CO2toC*Ggtot,"NO")</f>
        <v>68535.410614285807</v>
      </c>
      <c r="AW96" s="45">
        <f>IF('[1]Baseline emission summary'!AV55*CO2toC*Ggtot&gt;0,'[1]Baseline emission summary'!AV55*CO2toC*Ggtot,"NO")</f>
        <v>68535.410614285807</v>
      </c>
      <c r="AX96" s="45">
        <f>IF('[1]Baseline emission summary'!AW55*CO2toC*Ggtot&gt;0,'[1]Baseline emission summary'!AW55*CO2toC*Ggtot,"NO")</f>
        <v>68535.410614285807</v>
      </c>
      <c r="AY96" s="45">
        <f>IF('[1]Baseline emission summary'!AX55*CO2toC*Ggtot&gt;0,'[1]Baseline emission summary'!AX55*CO2toC*Ggtot,"NO")</f>
        <v>68535.410614285807</v>
      </c>
      <c r="AZ96" s="45">
        <f>IF('[1]Baseline emission summary'!AY55*CO2toC*Ggtot&gt;0,'[1]Baseline emission summary'!AY55*CO2toC*Ggtot,"NO")</f>
        <v>68535.410614285807</v>
      </c>
      <c r="BA96" s="45">
        <f>IF('[1]Baseline emission summary'!AZ55*CO2toC*Ggtot&gt;0,'[1]Baseline emission summary'!AZ55*CO2toC*Ggtot,"NO")</f>
        <v>68535.410614285807</v>
      </c>
      <c r="BB96" s="45">
        <f>IF('[1]Baseline emission summary'!BA55*CO2toC*Ggtot&gt;0,'[1]Baseline emission summary'!BA55*CO2toC*Ggtot,"NO")</f>
        <v>68535.410614285807</v>
      </c>
      <c r="BC96" s="45">
        <f>IF('[1]Baseline emission summary'!BB55*CO2toC*Ggtot&gt;0,'[1]Baseline emission summary'!BB55*CO2toC*Ggtot,"NO")</f>
        <v>68535.410614285807</v>
      </c>
      <c r="BD96" s="45">
        <f>IF('[1]Baseline emission summary'!BC55*CO2toC*Ggtot&gt;0,'[1]Baseline emission summary'!BC55*CO2toC*Ggtot,"NO")</f>
        <v>68535.410614285807</v>
      </c>
      <c r="BE96" s="45">
        <f>IF('[1]Baseline emission summary'!BD55*CO2toC*Ggtot&gt;0,'[1]Baseline emission summary'!BD55*CO2toC*Ggtot,"NO")</f>
        <v>68535.410614285807</v>
      </c>
      <c r="BF96" s="45">
        <f>IF('[1]Baseline emission summary'!BE55*CO2toC*Ggtot&gt;0,'[1]Baseline emission summary'!BE55*CO2toC*Ggtot,"NO")</f>
        <v>68535.410614285807</v>
      </c>
      <c r="BG96" s="45">
        <f>IF('[1]Baseline emission summary'!BF55*CO2toC*Ggtot&gt;0,'[1]Baseline emission summary'!BF55*CO2toC*Ggtot,"NO")</f>
        <v>68535.410614285807</v>
      </c>
      <c r="BH96" s="45">
        <f>IF('[1]Baseline emission summary'!BG55*CO2toC*Ggtot&gt;0,'[1]Baseline emission summary'!BG55*CO2toC*Ggtot,"NO")</f>
        <v>68535.410614285807</v>
      </c>
      <c r="BI96" s="45">
        <f>IF('[1]Baseline emission summary'!BH55*CO2toC*Ggtot&gt;0,'[1]Baseline emission summary'!BH55*CO2toC*Ggtot,"NO")</f>
        <v>68535.410614285807</v>
      </c>
      <c r="BJ96" s="45">
        <f>IF('[1]Baseline emission summary'!BI55*CO2toC*Ggtot&gt;0,'[1]Baseline emission summary'!BI55*CO2toC*Ggtot,"NO")</f>
        <v>68535.410614285807</v>
      </c>
      <c r="BK96" s="45">
        <f>IF('[1]Baseline emission summary'!BJ55*CO2toC*Ggtot&gt;0,'[1]Baseline emission summary'!BJ55*CO2toC*Ggtot,"NO")</f>
        <v>68535.410614285807</v>
      </c>
      <c r="BL96" s="45">
        <f>IF('[1]Baseline emission summary'!BK55*CO2toC*Ggtot&gt;0,'[1]Baseline emission summary'!BK55*CO2toC*Ggtot,"NO")</f>
        <v>68535.410614285807</v>
      </c>
      <c r="BM96" s="45">
        <f>IF('[1]Baseline emission summary'!BL55*CO2toC*Ggtot&gt;0,'[1]Baseline emission summary'!BL55*CO2toC*Ggtot,"NO")</f>
        <v>68535.410614285807</v>
      </c>
      <c r="BN96" s="45">
        <f>IF('[1]Baseline emission summary'!BM55*CO2toC*Ggtot&gt;0,'[1]Baseline emission summary'!BM55*CO2toC*Ggtot,"NO")</f>
        <v>68535.410614285807</v>
      </c>
      <c r="BO96" s="45">
        <f>IF('[1]Baseline emission summary'!BN55*CO2toC*Ggtot&gt;0,'[1]Baseline emission summary'!BN55*CO2toC*Ggtot,"NO")</f>
        <v>68535.410614285807</v>
      </c>
      <c r="BP96" s="45">
        <f>IF('[1]Baseline emission summary'!BO55*CO2toC*Ggtot&gt;0,'[1]Baseline emission summary'!BO55*CO2toC*Ggtot,"NO")</f>
        <v>68535.410614285807</v>
      </c>
      <c r="BQ96" s="84"/>
    </row>
    <row r="97" spans="1:69" x14ac:dyDescent="0.25">
      <c r="A97" t="str">
        <f>A95</f>
        <v>3C Aggregated and non-CO2 emissions on land</v>
      </c>
      <c r="B97" t="str">
        <f>B95</f>
        <v>3C4 Direct N2O from managed soils (N2O)</v>
      </c>
      <c r="C97" t="s">
        <v>60</v>
      </c>
      <c r="D97" t="s">
        <v>110</v>
      </c>
      <c r="F97" t="s">
        <v>725</v>
      </c>
      <c r="H97" s="21" t="str">
        <f>IF('[1]Baseline emission summary'!G63*CO2toC*Ggtot&gt;0,'[1]Baseline emission summary'!G63*CO2toC*Ggtot,"NO")</f>
        <v>NO</v>
      </c>
      <c r="I97" s="21" t="str">
        <f>IF('[1]Baseline emission summary'!H63*CO2toC*Ggtot&gt;0,'[1]Baseline emission summary'!H63*CO2toC*Ggtot,"NO")</f>
        <v>NO</v>
      </c>
      <c r="J97" s="21" t="str">
        <f>IF('[1]Baseline emission summary'!I63*CO2toC*Ggtot&gt;0,'[1]Baseline emission summary'!I63*CO2toC*Ggtot,"NO")</f>
        <v>NO</v>
      </c>
      <c r="K97" s="21" t="str">
        <f>IF('[1]Baseline emission summary'!J63*CO2toC*Ggtot&gt;0,'[1]Baseline emission summary'!J63*CO2toC*Ggtot,"NO")</f>
        <v>NO</v>
      </c>
      <c r="L97" s="21" t="str">
        <f>IF('[1]Baseline emission summary'!K63*CO2toC*Ggtot&gt;0,'[1]Baseline emission summary'!K63*CO2toC*Ggtot,"NO")</f>
        <v>NO</v>
      </c>
      <c r="M97" s="21" t="str">
        <f>IF('[1]Baseline emission summary'!L63*CO2toC*Ggtot&gt;0,'[1]Baseline emission summary'!L63*CO2toC*Ggtot,"NO")</f>
        <v>NO</v>
      </c>
      <c r="N97" s="21" t="str">
        <f>IF('[1]Baseline emission summary'!M63*CO2toC*Ggtot&gt;0,'[1]Baseline emission summary'!M63*CO2toC*Ggtot,"NO")</f>
        <v>NO</v>
      </c>
      <c r="O97" s="21" t="str">
        <f>IF('[1]Baseline emission summary'!N63*CO2toC*Ggtot&gt;0,'[1]Baseline emission summary'!N63*CO2toC*Ggtot,"NO")</f>
        <v>NO</v>
      </c>
      <c r="P97" s="21" t="str">
        <f>IF('[1]Baseline emission summary'!O63*CO2toC*Ggtot&gt;0,'[1]Baseline emission summary'!O63*CO2toC*Ggtot,"NO")</f>
        <v>NO</v>
      </c>
      <c r="Q97" s="21" t="str">
        <f>IF('[1]Baseline emission summary'!P63*CO2toC*Ggtot&gt;0,'[1]Baseline emission summary'!P63*CO2toC*Ggtot,"NO")</f>
        <v>NO</v>
      </c>
      <c r="R97" s="21" t="str">
        <f>IF('[1]Baseline emission summary'!Q63*CO2toC*Ggtot&gt;0,'[1]Baseline emission summary'!Q63*CO2toC*Ggtot,"NO")</f>
        <v>NO</v>
      </c>
      <c r="S97" s="21" t="str">
        <f>IF('[1]Baseline emission summary'!R63*CO2toC*Ggtot&gt;0,'[1]Baseline emission summary'!R63*CO2toC*Ggtot,"NO")</f>
        <v>NO</v>
      </c>
      <c r="T97" s="21" t="str">
        <f>IF('[1]Baseline emission summary'!S63*CO2toC*Ggtot&gt;0,'[1]Baseline emission summary'!S63*CO2toC*Ggtot,"NO")</f>
        <v>NO</v>
      </c>
      <c r="U97" s="21" t="str">
        <f>IF('[1]Baseline emission summary'!T63*CO2toC*Ggtot&gt;0,'[1]Baseline emission summary'!T63*CO2toC*Ggtot,"NO")</f>
        <v>NO</v>
      </c>
      <c r="V97" s="21" t="str">
        <f>IF('[1]Baseline emission summary'!U63*CO2toC*Ggtot&gt;0,'[1]Baseline emission summary'!U63*CO2toC*Ggtot,"NO")</f>
        <v>NO</v>
      </c>
      <c r="W97" s="21" t="str">
        <f>IF('[1]Baseline emission summary'!V63*CO2toC*Ggtot&gt;0,'[1]Baseline emission summary'!V63*CO2toC*Ggtot,"NO")</f>
        <v>NO</v>
      </c>
      <c r="X97" s="21" t="str">
        <f>IF('[1]Baseline emission summary'!W63*CO2toC*Ggtot&gt;0,'[1]Baseline emission summary'!W63*CO2toC*Ggtot,"NO")</f>
        <v>NO</v>
      </c>
      <c r="Y97" s="21" t="str">
        <f>IF('[1]Baseline emission summary'!X63*CO2toC*Ggtot&gt;0,'[1]Baseline emission summary'!X63*CO2toC*Ggtot,"NO")</f>
        <v>NO</v>
      </c>
      <c r="Z97" s="21" t="str">
        <f>IF('[1]Baseline emission summary'!Y63*CO2toC*Ggtot&gt;0,'[1]Baseline emission summary'!Y63*CO2toC*Ggtot,"NO")</f>
        <v>NO</v>
      </c>
      <c r="AA97" s="21" t="str">
        <f>IF('[1]Baseline emission summary'!Z63*CO2toC*Ggtot&gt;0,'[1]Baseline emission summary'!Z63*CO2toC*Ggtot,"NO")</f>
        <v>NO</v>
      </c>
      <c r="AB97" s="21" t="str">
        <f>IF('[1]Baseline emission summary'!AA63*CO2toC*Ggtot&gt;0,'[1]Baseline emission summary'!AA63*CO2toC*Ggtot,"NO")</f>
        <v>NO</v>
      </c>
      <c r="AC97" s="21" t="str">
        <f>IF('[1]Baseline emission summary'!AB63*CO2toC*Ggtot&gt;0,'[1]Baseline emission summary'!AB63*CO2toC*Ggtot,"NO")</f>
        <v>NO</v>
      </c>
      <c r="AD97" s="45" t="str">
        <f>IF('[1]Baseline emission summary'!AC63*CO2toC*Ggtot&gt;0,'[1]Baseline emission summary'!AC63*CO2toC*Ggtot,"NO")</f>
        <v>NO</v>
      </c>
      <c r="AE97" s="45" t="str">
        <f>IF('[1]Baseline emission summary'!AD63*CO2toC*Ggtot&gt;0,'[1]Baseline emission summary'!AD63*CO2toC*Ggtot,"NO")</f>
        <v>NO</v>
      </c>
      <c r="AF97" s="45" t="str">
        <f>IF('[1]Baseline emission summary'!AE63*CO2toC*Ggtot&gt;0,'[1]Baseline emission summary'!AE63*CO2toC*Ggtot,"NO")</f>
        <v>NO</v>
      </c>
      <c r="AG97" s="45" t="str">
        <f>IF('[1]Baseline emission summary'!AF63*CO2toC*Ggtot&gt;0,'[1]Baseline emission summary'!AF63*CO2toC*Ggtot,"NO")</f>
        <v>NO</v>
      </c>
      <c r="AH97" s="45" t="str">
        <f>IF('[1]Baseline emission summary'!AG63*CO2toC*Ggtot&gt;0,'[1]Baseline emission summary'!AG63*CO2toC*Ggtot,"NO")</f>
        <v>NO</v>
      </c>
      <c r="AI97" s="45" t="str">
        <f>IF('[1]Baseline emission summary'!AH63*CO2toC*Ggtot&gt;0,'[1]Baseline emission summary'!AH63*CO2toC*Ggtot,"NO")</f>
        <v>NO</v>
      </c>
      <c r="AJ97" s="45" t="str">
        <f>IF('[1]Baseline emission summary'!AI63*CO2toC*Ggtot&gt;0,'[1]Baseline emission summary'!AI63*CO2toC*Ggtot,"NO")</f>
        <v>NO</v>
      </c>
      <c r="AK97" s="45" t="str">
        <f>IF('[1]Baseline emission summary'!AJ63*CO2toC*Ggtot&gt;0,'[1]Baseline emission summary'!AJ63*CO2toC*Ggtot,"NO")</f>
        <v>NO</v>
      </c>
      <c r="AL97" s="45" t="str">
        <f>IF('[1]Baseline emission summary'!AK63*CO2toC*Ggtot&gt;0,'[1]Baseline emission summary'!AK63*CO2toC*Ggtot,"NO")</f>
        <v>NO</v>
      </c>
      <c r="AM97" s="45" t="str">
        <f>IF('[1]Baseline emission summary'!AL63*CO2toC*Ggtot&gt;0,'[1]Baseline emission summary'!AL63*CO2toC*Ggtot,"NO")</f>
        <v>NO</v>
      </c>
      <c r="AN97" s="45" t="str">
        <f>IF('[1]Baseline emission summary'!AM63*CO2toC*Ggtot&gt;0,'[1]Baseline emission summary'!AM63*CO2toC*Ggtot,"NO")</f>
        <v>NO</v>
      </c>
      <c r="AO97" s="45" t="str">
        <f>IF('[1]Baseline emission summary'!AN63*CO2toC*Ggtot&gt;0,'[1]Baseline emission summary'!AN63*CO2toC*Ggtot,"NO")</f>
        <v>NO</v>
      </c>
      <c r="AP97" s="45" t="str">
        <f>IF('[1]Baseline emission summary'!AO63*CO2toC*Ggtot&gt;0,'[1]Baseline emission summary'!AO63*CO2toC*Ggtot,"NO")</f>
        <v>NO</v>
      </c>
      <c r="AQ97" s="45" t="str">
        <f>IF('[1]Baseline emission summary'!AP63*CO2toC*Ggtot&gt;0,'[1]Baseline emission summary'!AP63*CO2toC*Ggtot,"NO")</f>
        <v>NO</v>
      </c>
      <c r="AR97" s="45" t="str">
        <f>IF('[1]Baseline emission summary'!AQ63*CO2toC*Ggtot&gt;0,'[1]Baseline emission summary'!AQ63*CO2toC*Ggtot,"NO")</f>
        <v>NO</v>
      </c>
      <c r="AS97" s="45" t="str">
        <f>IF('[1]Baseline emission summary'!AR63*CO2toC*Ggtot&gt;0,'[1]Baseline emission summary'!AR63*CO2toC*Ggtot,"NO")</f>
        <v>NO</v>
      </c>
      <c r="AT97" s="45" t="str">
        <f>IF('[1]Baseline emission summary'!AS63*CO2toC*Ggtot&gt;0,'[1]Baseline emission summary'!AS63*CO2toC*Ggtot,"NO")</f>
        <v>NO</v>
      </c>
      <c r="AU97" s="45" t="str">
        <f>IF('[1]Baseline emission summary'!AT63*CO2toC*Ggtot&gt;0,'[1]Baseline emission summary'!AT63*CO2toC*Ggtot,"NO")</f>
        <v>NO</v>
      </c>
      <c r="AV97" s="45" t="str">
        <f>IF('[1]Baseline emission summary'!AU63*CO2toC*Ggtot&gt;0,'[1]Baseline emission summary'!AU63*CO2toC*Ggtot,"NO")</f>
        <v>NO</v>
      </c>
      <c r="AW97" s="45" t="str">
        <f>IF('[1]Baseline emission summary'!AV63*CO2toC*Ggtot&gt;0,'[1]Baseline emission summary'!AV63*CO2toC*Ggtot,"NO")</f>
        <v>NO</v>
      </c>
      <c r="AX97" s="45" t="str">
        <f>IF('[1]Baseline emission summary'!AW63*CO2toC*Ggtot&gt;0,'[1]Baseline emission summary'!AW63*CO2toC*Ggtot,"NO")</f>
        <v>NO</v>
      </c>
      <c r="AY97" s="45" t="str">
        <f>IF('[1]Baseline emission summary'!AX63*CO2toC*Ggtot&gt;0,'[1]Baseline emission summary'!AX63*CO2toC*Ggtot,"NO")</f>
        <v>NO</v>
      </c>
      <c r="AZ97" s="45" t="str">
        <f>IF('[1]Baseline emission summary'!AY63*CO2toC*Ggtot&gt;0,'[1]Baseline emission summary'!AY63*CO2toC*Ggtot,"NO")</f>
        <v>NO</v>
      </c>
      <c r="BA97" s="45" t="str">
        <f>IF('[1]Baseline emission summary'!AZ63*CO2toC*Ggtot&gt;0,'[1]Baseline emission summary'!AZ63*CO2toC*Ggtot,"NO")</f>
        <v>NO</v>
      </c>
      <c r="BB97" s="45" t="str">
        <f>IF('[1]Baseline emission summary'!BA63*CO2toC*Ggtot&gt;0,'[1]Baseline emission summary'!BA63*CO2toC*Ggtot,"NO")</f>
        <v>NO</v>
      </c>
      <c r="BC97" s="45" t="str">
        <f>IF('[1]Baseline emission summary'!BB63*CO2toC*Ggtot&gt;0,'[1]Baseline emission summary'!BB63*CO2toC*Ggtot,"NO")</f>
        <v>NO</v>
      </c>
      <c r="BD97" s="45" t="str">
        <f>IF('[1]Baseline emission summary'!BC63*CO2toC*Ggtot&gt;0,'[1]Baseline emission summary'!BC63*CO2toC*Ggtot,"NO")</f>
        <v>NO</v>
      </c>
      <c r="BE97" s="45" t="str">
        <f>IF('[1]Baseline emission summary'!BD63*CO2toC*Ggtot&gt;0,'[1]Baseline emission summary'!BD63*CO2toC*Ggtot,"NO")</f>
        <v>NO</v>
      </c>
      <c r="BF97" s="45" t="str">
        <f>IF('[1]Baseline emission summary'!BE63*CO2toC*Ggtot&gt;0,'[1]Baseline emission summary'!BE63*CO2toC*Ggtot,"NO")</f>
        <v>NO</v>
      </c>
      <c r="BG97" s="45" t="str">
        <f>IF('[1]Baseline emission summary'!BF63*CO2toC*Ggtot&gt;0,'[1]Baseline emission summary'!BF63*CO2toC*Ggtot,"NO")</f>
        <v>NO</v>
      </c>
      <c r="BH97" s="45" t="str">
        <f>IF('[1]Baseline emission summary'!BG63*CO2toC*Ggtot&gt;0,'[1]Baseline emission summary'!BG63*CO2toC*Ggtot,"NO")</f>
        <v>NO</v>
      </c>
      <c r="BI97" s="45" t="str">
        <f>IF('[1]Baseline emission summary'!BH63*CO2toC*Ggtot&gt;0,'[1]Baseline emission summary'!BH63*CO2toC*Ggtot,"NO")</f>
        <v>NO</v>
      </c>
      <c r="BJ97" s="45" t="str">
        <f>IF('[1]Baseline emission summary'!BI63*CO2toC*Ggtot&gt;0,'[1]Baseline emission summary'!BI63*CO2toC*Ggtot,"NO")</f>
        <v>NO</v>
      </c>
      <c r="BK97" s="45" t="str">
        <f>IF('[1]Baseline emission summary'!BJ63*CO2toC*Ggtot&gt;0,'[1]Baseline emission summary'!BJ63*CO2toC*Ggtot,"NO")</f>
        <v>NO</v>
      </c>
      <c r="BL97" s="45" t="str">
        <f>IF('[1]Baseline emission summary'!BK63*CO2toC*Ggtot&gt;0,'[1]Baseline emission summary'!BK63*CO2toC*Ggtot,"NO")</f>
        <v>NO</v>
      </c>
      <c r="BM97" s="45" t="str">
        <f>IF('[1]Baseline emission summary'!BL63*CO2toC*Ggtot&gt;0,'[1]Baseline emission summary'!BL63*CO2toC*Ggtot,"NO")</f>
        <v>NO</v>
      </c>
      <c r="BN97" s="45" t="str">
        <f>IF('[1]Baseline emission summary'!BM63*CO2toC*Ggtot&gt;0,'[1]Baseline emission summary'!BM63*CO2toC*Ggtot,"NO")</f>
        <v>NO</v>
      </c>
      <c r="BO97" s="45" t="str">
        <f>IF('[1]Baseline emission summary'!BN63*CO2toC*Ggtot&gt;0,'[1]Baseline emission summary'!BN63*CO2toC*Ggtot,"NO")</f>
        <v>NO</v>
      </c>
      <c r="BP97" s="45" t="str">
        <f>IF('[1]Baseline emission summary'!BO63*CO2toC*Ggtot&gt;0,'[1]Baseline emission summary'!BO63*CO2toC*Ggtot,"NO")</f>
        <v>NO</v>
      </c>
      <c r="BQ97" s="84"/>
    </row>
    <row r="98" spans="1:69" x14ac:dyDescent="0.25">
      <c r="C98" t="s">
        <v>60</v>
      </c>
      <c r="D98" t="s">
        <v>802</v>
      </c>
      <c r="F98" t="s">
        <v>725</v>
      </c>
      <c r="H98" s="21">
        <v>0</v>
      </c>
      <c r="I98" s="21">
        <v>3670187.5070967684</v>
      </c>
      <c r="J98" s="21">
        <v>3670187.5070967684</v>
      </c>
      <c r="K98" s="21">
        <v>3670187.5070967684</v>
      </c>
      <c r="L98" s="21">
        <v>3670187.5070967684</v>
      </c>
      <c r="M98" s="21">
        <v>3670187.5070967684</v>
      </c>
      <c r="N98" s="21">
        <v>3670187.5070967684</v>
      </c>
      <c r="O98" s="21">
        <v>3670187.5070967684</v>
      </c>
      <c r="P98" s="21">
        <v>3670187.5070967684</v>
      </c>
      <c r="Q98" s="21">
        <v>3670187.5070967684</v>
      </c>
      <c r="R98" s="21">
        <v>3670187.5070967684</v>
      </c>
      <c r="S98" s="21">
        <v>3670187.5070967684</v>
      </c>
      <c r="T98" s="21">
        <v>3670187.5070967684</v>
      </c>
      <c r="U98" s="21">
        <v>3670187.5070967684</v>
      </c>
      <c r="V98" s="21">
        <v>3670187.5070967684</v>
      </c>
      <c r="W98" s="21">
        <v>3670187.5070967684</v>
      </c>
      <c r="X98" s="21">
        <v>3670187.5070967684</v>
      </c>
      <c r="Y98" s="21">
        <v>3670187.5070967684</v>
      </c>
      <c r="Z98" s="21">
        <v>3670187.5070967684</v>
      </c>
      <c r="AA98" s="21">
        <v>3670187.5070967684</v>
      </c>
      <c r="AB98" s="21">
        <v>3670187.5070967684</v>
      </c>
      <c r="AC98" s="21">
        <v>3670187.5070967684</v>
      </c>
      <c r="AD98" s="45">
        <f>IF('[1]Baseline emission summary'!AC68*CO2toC*Ggtot&gt;0,'[1]Baseline emission summary'!AC68*CO2toC*Ggtot,"NO")</f>
        <v>2928692.0062794536</v>
      </c>
      <c r="AE98" s="45">
        <f>IF('[1]Baseline emission summary'!AD68*CO2toC*Ggtot&gt;0,'[1]Baseline emission summary'!AD68*CO2toC*Ggtot,"NO")</f>
        <v>2928692.0062794536</v>
      </c>
      <c r="AF98" s="45">
        <f>IF('[1]Baseline emission summary'!AE68*CO2toC*Ggtot&gt;0,'[1]Baseline emission summary'!AE68*CO2toC*Ggtot,"NO")</f>
        <v>2928692.0062794536</v>
      </c>
      <c r="AG98" s="45">
        <f>IF('[1]Baseline emission summary'!AF68*CO2toC*Ggtot&gt;0,'[1]Baseline emission summary'!AF68*CO2toC*Ggtot,"NO")</f>
        <v>2928692.0062794536</v>
      </c>
      <c r="AH98" s="45">
        <f>IF('[1]Baseline emission summary'!AG68*CO2toC*Ggtot&gt;0,'[1]Baseline emission summary'!AG68*CO2toC*Ggtot,"NO")</f>
        <v>2928692.0062794536</v>
      </c>
      <c r="AI98" s="45">
        <f>IF('[1]Baseline emission summary'!AH68*CO2toC*Ggtot&gt;0,'[1]Baseline emission summary'!AH68*CO2toC*Ggtot,"NO")</f>
        <v>2928692.0062794536</v>
      </c>
      <c r="AJ98" s="45">
        <f>IF('[1]Baseline emission summary'!AI68*CO2toC*Ggtot&gt;0,'[1]Baseline emission summary'!AI68*CO2toC*Ggtot,"NO")</f>
        <v>2928692.0062794536</v>
      </c>
      <c r="AK98" s="45">
        <f>IF('[1]Baseline emission summary'!AJ68*CO2toC*Ggtot&gt;0,'[1]Baseline emission summary'!AJ68*CO2toC*Ggtot,"NO")</f>
        <v>2928692.0062794536</v>
      </c>
      <c r="AL98" s="45">
        <f>IF('[1]Baseline emission summary'!AK68*CO2toC*Ggtot&gt;0,'[1]Baseline emission summary'!AK68*CO2toC*Ggtot,"NO")</f>
        <v>2928692.0062794536</v>
      </c>
      <c r="AM98" s="45">
        <f>IF('[1]Baseline emission summary'!AL68*CO2toC*Ggtot&gt;0,'[1]Baseline emission summary'!AL68*CO2toC*Ggtot,"NO")</f>
        <v>2928692.0062794536</v>
      </c>
      <c r="AN98" s="45">
        <f>IF('[1]Baseline emission summary'!AM68*CO2toC*Ggtot&gt;0,'[1]Baseline emission summary'!AM68*CO2toC*Ggtot,"NO")</f>
        <v>2928692.0062794536</v>
      </c>
      <c r="AO98" s="45">
        <f>IF('[1]Baseline emission summary'!AN68*CO2toC*Ggtot&gt;0,'[1]Baseline emission summary'!AN68*CO2toC*Ggtot,"NO")</f>
        <v>2928692.0062794536</v>
      </c>
      <c r="AP98" s="45">
        <f>IF('[1]Baseline emission summary'!AO68*CO2toC*Ggtot&gt;0,'[1]Baseline emission summary'!AO68*CO2toC*Ggtot,"NO")</f>
        <v>2928692.0062794536</v>
      </c>
      <c r="AQ98" s="45">
        <f>IF('[1]Baseline emission summary'!AP68*CO2toC*Ggtot&gt;0,'[1]Baseline emission summary'!AP68*CO2toC*Ggtot,"NO")</f>
        <v>2928692.0062794536</v>
      </c>
      <c r="AR98" s="45">
        <f>IF('[1]Baseline emission summary'!AQ68*CO2toC*Ggtot&gt;0,'[1]Baseline emission summary'!AQ68*CO2toC*Ggtot,"NO")</f>
        <v>2928692.0062794536</v>
      </c>
      <c r="AS98" s="45">
        <f>IF('[1]Baseline emission summary'!AR68*CO2toC*Ggtot&gt;0,'[1]Baseline emission summary'!AR68*CO2toC*Ggtot,"NO")</f>
        <v>2928692.0062794536</v>
      </c>
      <c r="AT98" s="45">
        <f>IF('[1]Baseline emission summary'!AS68*CO2toC*Ggtot&gt;0,'[1]Baseline emission summary'!AS68*CO2toC*Ggtot,"NO")</f>
        <v>2928692.0062794536</v>
      </c>
      <c r="AU98" s="45">
        <f>IF('[1]Baseline emission summary'!AT68*CO2toC*Ggtot&gt;0,'[1]Baseline emission summary'!AT68*CO2toC*Ggtot,"NO")</f>
        <v>2928692.0062794536</v>
      </c>
      <c r="AV98" s="45">
        <f>IF('[1]Baseline emission summary'!AU68*CO2toC*Ggtot&gt;0,'[1]Baseline emission summary'!AU68*CO2toC*Ggtot,"NO")</f>
        <v>2928692.0062794536</v>
      </c>
      <c r="AW98" s="45">
        <f>IF('[1]Baseline emission summary'!AV68*CO2toC*Ggtot&gt;0,'[1]Baseline emission summary'!AV68*CO2toC*Ggtot,"NO")</f>
        <v>2928692.0062794536</v>
      </c>
      <c r="AX98" s="45">
        <f>IF('[1]Baseline emission summary'!AW68*CO2toC*Ggtot&gt;0,'[1]Baseline emission summary'!AW68*CO2toC*Ggtot,"NO")</f>
        <v>2928692.0062794536</v>
      </c>
      <c r="AY98" s="45">
        <f>IF('[1]Baseline emission summary'!AX68*CO2toC*Ggtot&gt;0,'[1]Baseline emission summary'!AX68*CO2toC*Ggtot,"NO")</f>
        <v>2928692.0062794536</v>
      </c>
      <c r="AZ98" s="45">
        <f>IF('[1]Baseline emission summary'!AY68*CO2toC*Ggtot&gt;0,'[1]Baseline emission summary'!AY68*CO2toC*Ggtot,"NO")</f>
        <v>2928692.0062794536</v>
      </c>
      <c r="BA98" s="45">
        <f>IF('[1]Baseline emission summary'!AZ68*CO2toC*Ggtot&gt;0,'[1]Baseline emission summary'!AZ68*CO2toC*Ggtot,"NO")</f>
        <v>2928692.0062794536</v>
      </c>
      <c r="BB98" s="45">
        <f>IF('[1]Baseline emission summary'!BA68*CO2toC*Ggtot&gt;0,'[1]Baseline emission summary'!BA68*CO2toC*Ggtot,"NO")</f>
        <v>2928692.0062794536</v>
      </c>
      <c r="BC98" s="45">
        <f>IF('[1]Baseline emission summary'!BB68*CO2toC*Ggtot&gt;0,'[1]Baseline emission summary'!BB68*CO2toC*Ggtot,"NO")</f>
        <v>2928692.0062794536</v>
      </c>
      <c r="BD98" s="45">
        <f>IF('[1]Baseline emission summary'!BC68*CO2toC*Ggtot&gt;0,'[1]Baseline emission summary'!BC68*CO2toC*Ggtot,"NO")</f>
        <v>2928692.0062794536</v>
      </c>
      <c r="BE98" s="45">
        <f>IF('[1]Baseline emission summary'!BD68*CO2toC*Ggtot&gt;0,'[1]Baseline emission summary'!BD68*CO2toC*Ggtot,"NO")</f>
        <v>2928692.0062794536</v>
      </c>
      <c r="BF98" s="45">
        <f>IF('[1]Baseline emission summary'!BE68*CO2toC*Ggtot&gt;0,'[1]Baseline emission summary'!BE68*CO2toC*Ggtot,"NO")</f>
        <v>2928692.0062794536</v>
      </c>
      <c r="BG98" s="45">
        <f>IF('[1]Baseline emission summary'!BF68*CO2toC*Ggtot&gt;0,'[1]Baseline emission summary'!BF68*CO2toC*Ggtot,"NO")</f>
        <v>2928692.0062794536</v>
      </c>
      <c r="BH98" s="45">
        <f>IF('[1]Baseline emission summary'!BG68*CO2toC*Ggtot&gt;0,'[1]Baseline emission summary'!BG68*CO2toC*Ggtot,"NO")</f>
        <v>2928692.0062794536</v>
      </c>
      <c r="BI98" s="45">
        <f>IF('[1]Baseline emission summary'!BH68*CO2toC*Ggtot&gt;0,'[1]Baseline emission summary'!BH68*CO2toC*Ggtot,"NO")</f>
        <v>2928692.0062794536</v>
      </c>
      <c r="BJ98" s="45">
        <f>IF('[1]Baseline emission summary'!BI68*CO2toC*Ggtot&gt;0,'[1]Baseline emission summary'!BI68*CO2toC*Ggtot,"NO")</f>
        <v>2928692.0062794536</v>
      </c>
      <c r="BK98" s="45">
        <f>IF('[1]Baseline emission summary'!BJ68*CO2toC*Ggtot&gt;0,'[1]Baseline emission summary'!BJ68*CO2toC*Ggtot,"NO")</f>
        <v>2928692.0062794536</v>
      </c>
      <c r="BL98" s="45">
        <f>IF('[1]Baseline emission summary'!BK68*CO2toC*Ggtot&gt;0,'[1]Baseline emission summary'!BK68*CO2toC*Ggtot,"NO")</f>
        <v>2928692.0062794536</v>
      </c>
      <c r="BM98" s="45">
        <f>IF('[1]Baseline emission summary'!BL68*CO2toC*Ggtot&gt;0,'[1]Baseline emission summary'!BL68*CO2toC*Ggtot,"NO")</f>
        <v>2928692.0062794536</v>
      </c>
      <c r="BN98" s="45">
        <f>IF('[1]Baseline emission summary'!BM68*CO2toC*Ggtot&gt;0,'[1]Baseline emission summary'!BM68*CO2toC*Ggtot,"NO")</f>
        <v>2928692.0062794536</v>
      </c>
      <c r="BO98" s="45">
        <f>IF('[1]Baseline emission summary'!BN68*CO2toC*Ggtot&gt;0,'[1]Baseline emission summary'!BN68*CO2toC*Ggtot,"NO")</f>
        <v>2928692.0062794536</v>
      </c>
      <c r="BP98" s="45">
        <f>IF('[1]Baseline emission summary'!BO68*CO2toC*Ggtot&gt;0,'[1]Baseline emission summary'!BO68*CO2toC*Ggtot,"NO")</f>
        <v>2928692.0062794536</v>
      </c>
      <c r="BQ98" s="23"/>
    </row>
  </sheetData>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'Activity data'!AB45:BP45</xm:f>
              <xm:sqref>BR45</xm:sqref>
            </x14:sparkline>
            <x14:sparkline>
              <xm:f>'Activity data'!AB46:BP46</xm:f>
              <xm:sqref>BR46</xm:sqref>
            </x14:sparkline>
            <x14:sparkline>
              <xm:f>'Activity data'!AB47:BP47</xm:f>
              <xm:sqref>BR47</xm:sqref>
            </x14:sparkline>
            <x14:sparkline>
              <xm:f>'Activity data'!AB48:BP48</xm:f>
              <xm:sqref>BR48</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'Activity data'!AB5:BP5</xm:f>
              <xm:sqref>BR5</xm:sqref>
            </x14:sparkline>
            <x14:sparkline>
              <xm:f>'Activity data'!AB6:BP6</xm:f>
              <xm:sqref>BR6</xm:sqref>
            </x14:sparkline>
            <x14:sparkline>
              <xm:f>'Activity data'!AB7:BP7</xm:f>
              <xm:sqref>BR7</xm:sqref>
            </x14:sparkline>
            <x14:sparkline>
              <xm:f>'Activity data'!AB8:BP8</xm:f>
              <xm:sqref>BR8</xm:sqref>
            </x14:sparkline>
            <x14:sparkline>
              <xm:f>'Activity data'!AB9:BP9</xm:f>
              <xm:sqref>BR9</xm:sqref>
            </x14:sparkline>
            <x14:sparkline>
              <xm:f>'Activity data'!AB10:BP10</xm:f>
              <xm:sqref>BR10</xm:sqref>
            </x14:sparkline>
            <x14:sparkline>
              <xm:f>'Activity data'!AB11:BP11</xm:f>
              <xm:sqref>BR11</xm:sqref>
            </x14:sparkline>
            <x14:sparkline>
              <xm:f>'Activity data'!AB12:BP12</xm:f>
              <xm:sqref>BR12</xm:sqref>
            </x14:sparkline>
            <x14:sparkline>
              <xm:f>'Activity data'!AB13:BP13</xm:f>
              <xm:sqref>BR13</xm:sqref>
            </x14:sparkline>
            <x14:sparkline>
              <xm:f>'Activity data'!AB14:BP14</xm:f>
              <xm:sqref>BR14</xm:sqref>
            </x14:sparkline>
            <x14:sparkline>
              <xm:f>'Activity data'!AB15:BP15</xm:f>
              <xm:sqref>BR15</xm:sqref>
            </x14:sparkline>
            <x14:sparkline>
              <xm:f>'Activity data'!AB16:BP16</xm:f>
              <xm:sqref>BR16</xm:sqref>
            </x14:sparkline>
            <x14:sparkline>
              <xm:f>'Activity data'!AB17:BP17</xm:f>
              <xm:sqref>BR17</xm:sqref>
            </x14:sparkline>
            <x14:sparkline>
              <xm:f>'Activity data'!AB18:BP18</xm:f>
              <xm:sqref>BR18</xm:sqref>
            </x14:sparkline>
            <x14:sparkline>
              <xm:f>'Activity data'!AB19:BP19</xm:f>
              <xm:sqref>BR19</xm:sqref>
            </x14:sparkline>
            <x14:sparkline>
              <xm:f>'Activity data'!AB20:BP20</xm:f>
              <xm:sqref>BR20</xm:sqref>
            </x14:sparkline>
            <x14:sparkline>
              <xm:f>'Activity data'!AB21:BP21</xm:f>
              <xm:sqref>BR21</xm:sqref>
            </x14:sparkline>
            <x14:sparkline>
              <xm:f>'Activity data'!AB22:BP22</xm:f>
              <xm:sqref>BR22</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'Activity data'!AB24:BP24</xm:f>
              <xm:sqref>BR24</xm:sqref>
            </x14:sparkline>
            <x14:sparkline>
              <xm:f>'Activity data'!AB25:BP25</xm:f>
              <xm:sqref>BR25</xm:sqref>
            </x14:sparkline>
            <x14:sparkline>
              <xm:f>'Activity data'!AB26:BP26</xm:f>
              <xm:sqref>BR26</xm:sqref>
            </x14:sparkline>
            <x14:sparkline>
              <xm:f>'Activity data'!AB27:BP27</xm:f>
              <xm:sqref>BR27</xm:sqref>
            </x14:sparkline>
            <x14:sparkline>
              <xm:f>'Activity data'!AB28:BP28</xm:f>
              <xm:sqref>BR28</xm:sqref>
            </x14:sparkline>
            <x14:sparkline>
              <xm:f>'Activity data'!AB29:BP29</xm:f>
              <xm:sqref>BR29</xm:sqref>
            </x14:sparkline>
            <x14:sparkline>
              <xm:f>'Activity data'!AB30:BP30</xm:f>
              <xm:sqref>BR30</xm:sqref>
            </x14:sparkline>
            <x14:sparkline>
              <xm:f>'Activity data'!AB31:BP31</xm:f>
              <xm:sqref>BR31</xm:sqref>
            </x14:sparkline>
            <x14:sparkline>
              <xm:f>'Activity data'!AB32:BP32</xm:f>
              <xm:sqref>BR32</xm:sqref>
            </x14:sparkline>
            <x14:sparkline>
              <xm:f>'Activity data'!AB33:BP33</xm:f>
              <xm:sqref>BR33</xm:sqref>
            </x14:sparkline>
            <x14:sparkline>
              <xm:f>'Activity data'!AB34:BP34</xm:f>
              <xm:sqref>BR34</xm:sqref>
            </x14:sparkline>
            <x14:sparkline>
              <xm:f>'Activity data'!AB35:BP35</xm:f>
              <xm:sqref>BR35</xm:sqref>
            </x14:sparkline>
            <x14:sparkline>
              <xm:f>'Activity data'!AB36:BP36</xm:f>
              <xm:sqref>BR36</xm:sqref>
            </x14:sparkline>
            <x14:sparkline>
              <xm:f>'Activity data'!AB37:BP37</xm:f>
              <xm:sqref>BR37</xm:sqref>
            </x14:sparkline>
            <x14:sparkline>
              <xm:f>'Activity data'!AB38:BP38</xm:f>
              <xm:sqref>BR38</xm:sqref>
            </x14:sparkline>
            <x14:sparkline>
              <xm:f>'Activity data'!AB39:BP39</xm:f>
              <xm:sqref>BR39</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'Activity data'!AB41:BP41</xm:f>
              <xm:sqref>BR41</xm:sqref>
            </x14:sparkline>
            <x14:sparkline>
              <xm:f>'Activity data'!AB42:BP42</xm:f>
              <xm:sqref>BR42</xm:sqref>
            </x14:sparkline>
            <x14:sparkline>
              <xm:f>'Activity data'!AB43:BP43</xm:f>
              <xm:sqref>BR43</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O221"/>
  <sheetViews>
    <sheetView workbookViewId="0">
      <selection activeCell="I54" sqref="I54"/>
    </sheetView>
  </sheetViews>
  <sheetFormatPr defaultRowHeight="15" x14ac:dyDescent="0.25"/>
  <cols>
    <col min="1" max="1" width="19.42578125" customWidth="1"/>
    <col min="2" max="2" width="33.140625" customWidth="1"/>
    <col min="3" max="3" width="27.7109375" customWidth="1"/>
    <col min="4" max="4" width="27.5703125" customWidth="1"/>
    <col min="5" max="5" width="24.42578125" customWidth="1"/>
    <col min="6" max="6" width="9" customWidth="1"/>
    <col min="7" max="7" width="16.42578125" customWidth="1"/>
    <col min="8" max="8" width="9.85546875" customWidth="1"/>
  </cols>
  <sheetData>
    <row r="1" spans="1:41" ht="18.75" x14ac:dyDescent="0.3">
      <c r="A1" s="1" t="s">
        <v>143</v>
      </c>
    </row>
    <row r="3" spans="1:41" s="19" customFormat="1" ht="29.25" customHeight="1" x14ac:dyDescent="0.25">
      <c r="A3" s="17" t="s">
        <v>4</v>
      </c>
      <c r="B3" s="17" t="s">
        <v>313</v>
      </c>
      <c r="C3" s="17" t="s">
        <v>315</v>
      </c>
      <c r="D3" s="17" t="s">
        <v>149</v>
      </c>
      <c r="E3" s="17" t="s">
        <v>150</v>
      </c>
      <c r="F3" s="17" t="s">
        <v>5</v>
      </c>
      <c r="G3" s="17" t="s">
        <v>0</v>
      </c>
      <c r="H3" s="18" t="s">
        <v>760</v>
      </c>
      <c r="I3" s="18">
        <v>2018</v>
      </c>
      <c r="J3" s="18">
        <v>2019</v>
      </c>
      <c r="K3" s="18">
        <v>2020</v>
      </c>
      <c r="L3" s="18">
        <v>2021</v>
      </c>
      <c r="M3" s="18">
        <v>2022</v>
      </c>
      <c r="N3" s="18">
        <v>2023</v>
      </c>
      <c r="O3" s="18">
        <v>2024</v>
      </c>
      <c r="P3" s="18">
        <v>2025</v>
      </c>
      <c r="Q3" s="18">
        <v>2026</v>
      </c>
      <c r="R3" s="18">
        <v>2027</v>
      </c>
      <c r="S3" s="18">
        <v>2028</v>
      </c>
      <c r="T3" s="18">
        <v>2029</v>
      </c>
      <c r="U3" s="18">
        <v>2030</v>
      </c>
      <c r="V3" s="18">
        <v>2031</v>
      </c>
      <c r="W3" s="18">
        <v>2032</v>
      </c>
      <c r="X3" s="18">
        <v>2033</v>
      </c>
      <c r="Y3" s="18">
        <v>2034</v>
      </c>
      <c r="Z3" s="18">
        <v>2035</v>
      </c>
      <c r="AA3" s="18">
        <v>2036</v>
      </c>
      <c r="AB3" s="18">
        <v>2037</v>
      </c>
      <c r="AC3" s="18">
        <v>2038</v>
      </c>
      <c r="AD3" s="18">
        <v>2039</v>
      </c>
      <c r="AE3" s="18">
        <v>2040</v>
      </c>
      <c r="AF3" s="18">
        <v>2041</v>
      </c>
      <c r="AG3" s="18">
        <v>2042</v>
      </c>
      <c r="AH3" s="18">
        <v>2043</v>
      </c>
      <c r="AI3" s="18">
        <v>2044</v>
      </c>
      <c r="AJ3" s="18">
        <v>2045</v>
      </c>
      <c r="AK3" s="18">
        <v>2046</v>
      </c>
      <c r="AL3" s="18">
        <v>2047</v>
      </c>
      <c r="AM3" s="18">
        <v>2048</v>
      </c>
      <c r="AN3" s="18">
        <v>2049</v>
      </c>
      <c r="AO3" s="18">
        <v>2050</v>
      </c>
    </row>
    <row r="4" spans="1:41" x14ac:dyDescent="0.25">
      <c r="A4" t="str">
        <f>'IPCC Categories'!A5</f>
        <v>3A Livestock</v>
      </c>
      <c r="B4" t="str">
        <f>'IPCC Categories'!B5</f>
        <v>3A1 Enteric fermentation (CH4)</v>
      </c>
      <c r="C4" t="str">
        <f>'Activity data'!C5</f>
        <v>3A1ai Dairy cattle</v>
      </c>
      <c r="D4" t="str">
        <f>'Activity data'!D5</f>
        <v>TMR</v>
      </c>
      <c r="E4" t="str">
        <f>'IPCC Categories'!F32&amp;" EF"</f>
        <v>Enteric fermentation EF</v>
      </c>
      <c r="F4" t="s">
        <v>121</v>
      </c>
      <c r="G4" t="s">
        <v>144</v>
      </c>
      <c r="H4" s="26">
        <f>SUM('Aggregated EF'!H8:H10)</f>
        <v>122.43852137301079</v>
      </c>
    </row>
    <row r="5" spans="1:41" x14ac:dyDescent="0.25">
      <c r="A5" t="str">
        <f>A4</f>
        <v>3A Livestock</v>
      </c>
      <c r="B5" t="str">
        <f>B4</f>
        <v>3A1 Enteric fermentation (CH4)</v>
      </c>
      <c r="C5" t="str">
        <f>'Activity data'!C6</f>
        <v>3A1ai Dairy cattle</v>
      </c>
      <c r="D5" t="str">
        <f>'Activity data'!D6</f>
        <v>Pasture</v>
      </c>
      <c r="E5" t="str">
        <f t="shared" ref="E5:E17" si="0">E4</f>
        <v>Enteric fermentation EF</v>
      </c>
      <c r="F5" t="str">
        <f>F4</f>
        <v>CH4</v>
      </c>
      <c r="G5" t="str">
        <f>G4</f>
        <v>kg CH4/head/yr</v>
      </c>
      <c r="H5" s="26">
        <f>SUM('Aggregated EF'!H5:H7)</f>
        <v>118.18939556126456</v>
      </c>
    </row>
    <row r="6" spans="1:41" x14ac:dyDescent="0.25">
      <c r="A6" t="str">
        <f t="shared" ref="A6:A69" si="1">A5</f>
        <v>3A Livestock</v>
      </c>
      <c r="B6" t="str">
        <f t="shared" ref="B6:B17" si="2">B5</f>
        <v>3A1 Enteric fermentation (CH4)</v>
      </c>
      <c r="C6" t="str">
        <f>'Activity data'!C7</f>
        <v>3A1aii Other cattle</v>
      </c>
      <c r="D6" t="str">
        <f>'Activity data'!D7</f>
        <v>Non-lactating</v>
      </c>
      <c r="E6" t="str">
        <f t="shared" si="0"/>
        <v>Enteric fermentation EF</v>
      </c>
      <c r="F6" t="str">
        <f>F5</f>
        <v>CH4</v>
      </c>
      <c r="G6" t="str">
        <f>G5</f>
        <v>kg CH4/head/yr</v>
      </c>
      <c r="H6" s="26">
        <f>SUM('Aggregated EF'!H12:H21)</f>
        <v>43.047261887683739</v>
      </c>
    </row>
    <row r="7" spans="1:41" x14ac:dyDescent="0.25">
      <c r="A7" t="str">
        <f t="shared" si="1"/>
        <v>3A Livestock</v>
      </c>
      <c r="B7" t="str">
        <f t="shared" si="2"/>
        <v>3A1 Enteric fermentation (CH4)</v>
      </c>
      <c r="C7" t="str">
        <f>'Activity data'!C8</f>
        <v>3A1aii Other cattle</v>
      </c>
      <c r="D7" t="str">
        <f>'Activity data'!D8</f>
        <v>Commercial</v>
      </c>
      <c r="E7" t="str">
        <f>E5</f>
        <v>Enteric fermentation EF</v>
      </c>
      <c r="F7" t="str">
        <f>F5</f>
        <v>CH4</v>
      </c>
      <c r="G7" t="str">
        <f>G5</f>
        <v>kg CH4/head/yr</v>
      </c>
      <c r="H7" s="26">
        <f>SUM('Aggregated EF'!H22:H24,'Aggregated EF'!H26:H28)</f>
        <v>77.790815813890134</v>
      </c>
    </row>
    <row r="8" spans="1:41" x14ac:dyDescent="0.25">
      <c r="A8" t="str">
        <f t="shared" si="1"/>
        <v>3A Livestock</v>
      </c>
      <c r="B8" t="str">
        <f t="shared" si="2"/>
        <v>3A1 Enteric fermentation (CH4)</v>
      </c>
      <c r="C8" t="str">
        <f>'Activity data'!C9</f>
        <v>3A1aii Other cattle</v>
      </c>
      <c r="D8" t="str">
        <f>'Activity data'!D9</f>
        <v>Subsistence</v>
      </c>
      <c r="E8" t="str">
        <f t="shared" si="0"/>
        <v>Enteric fermentation EF</v>
      </c>
      <c r="F8" t="str">
        <f t="shared" ref="F8:F35" si="3">F7</f>
        <v>CH4</v>
      </c>
      <c r="G8" t="str">
        <f t="shared" ref="G8:G17" si="4">G7</f>
        <v>kg CH4/head/yr</v>
      </c>
      <c r="H8" s="26">
        <f>SUM('Aggregated EF'!H29:H34)</f>
        <v>61.771690572163472</v>
      </c>
    </row>
    <row r="9" spans="1:41" x14ac:dyDescent="0.25">
      <c r="A9" t="str">
        <f t="shared" si="1"/>
        <v>3A Livestock</v>
      </c>
      <c r="B9" t="str">
        <f t="shared" si="2"/>
        <v>3A1 Enteric fermentation (CH4)</v>
      </c>
      <c r="C9" t="str">
        <f>'Activity data'!C10</f>
        <v>3A1aii Other cattle</v>
      </c>
      <c r="D9" t="str">
        <f>'Activity data'!D10</f>
        <v>Feedlot</v>
      </c>
      <c r="E9" t="str">
        <f t="shared" si="0"/>
        <v>Enteric fermentation EF</v>
      </c>
      <c r="F9" t="str">
        <f t="shared" si="3"/>
        <v>CH4</v>
      </c>
      <c r="G9" t="str">
        <f t="shared" si="4"/>
        <v>kg CH4/head/yr</v>
      </c>
      <c r="H9" s="26">
        <f>'Aggregated EF'!H25</f>
        <v>58.9</v>
      </c>
    </row>
    <row r="10" spans="1:41" x14ac:dyDescent="0.25">
      <c r="A10" t="str">
        <f t="shared" si="1"/>
        <v>3A Livestock</v>
      </c>
      <c r="B10" t="str">
        <f t="shared" si="2"/>
        <v>3A1 Enteric fermentation (CH4)</v>
      </c>
      <c r="C10" t="str">
        <f>'Activity data'!C11</f>
        <v>3A1c Sheep</v>
      </c>
      <c r="D10" t="str">
        <f>'Activity data'!D11</f>
        <v>Commercial</v>
      </c>
      <c r="E10" t="str">
        <f t="shared" si="0"/>
        <v>Enteric fermentation EF</v>
      </c>
      <c r="F10" t="str">
        <f t="shared" si="3"/>
        <v>CH4</v>
      </c>
      <c r="G10" t="str">
        <f t="shared" si="4"/>
        <v>kg CH4/head/yr</v>
      </c>
      <c r="H10" s="26">
        <f>SUM('Aggregated EF'!H36:H59)</f>
        <v>6.9715683106127573</v>
      </c>
    </row>
    <row r="11" spans="1:41" x14ac:dyDescent="0.25">
      <c r="A11" t="str">
        <f t="shared" si="1"/>
        <v>3A Livestock</v>
      </c>
      <c r="B11" t="str">
        <f t="shared" si="2"/>
        <v>3A1 Enteric fermentation (CH4)</v>
      </c>
      <c r="C11" t="str">
        <f>'Activity data'!C12</f>
        <v>3A1c Sheep</v>
      </c>
      <c r="D11" t="str">
        <f>'Activity data'!D12</f>
        <v>Subsistence</v>
      </c>
      <c r="E11" t="str">
        <f t="shared" si="0"/>
        <v>Enteric fermentation EF</v>
      </c>
      <c r="F11" t="str">
        <f t="shared" si="3"/>
        <v>CH4</v>
      </c>
      <c r="G11" t="str">
        <f t="shared" si="4"/>
        <v>kg CH4/head/yr</v>
      </c>
      <c r="H11" s="26">
        <f>SUM('Aggregated EF'!H60:H83)</f>
        <v>5.0562757874656858</v>
      </c>
    </row>
    <row r="12" spans="1:41" x14ac:dyDescent="0.25">
      <c r="A12" t="str">
        <f t="shared" si="1"/>
        <v>3A Livestock</v>
      </c>
      <c r="B12" t="str">
        <f t="shared" si="2"/>
        <v>3A1 Enteric fermentation (CH4)</v>
      </c>
      <c r="C12" t="str">
        <f>'Activity data'!C13</f>
        <v>3A1d Goats</v>
      </c>
      <c r="D12" t="str">
        <f>'Activity data'!D13</f>
        <v>Commercial</v>
      </c>
      <c r="E12" t="str">
        <f t="shared" si="0"/>
        <v>Enteric fermentation EF</v>
      </c>
      <c r="F12" t="str">
        <f t="shared" si="3"/>
        <v>CH4</v>
      </c>
      <c r="G12" t="str">
        <f t="shared" si="4"/>
        <v>kg CH4/head/yr</v>
      </c>
      <c r="H12" s="26">
        <f>SUM('Aggregated EF'!H85:H102)</f>
        <v>7.3127480970496874</v>
      </c>
    </row>
    <row r="13" spans="1:41" x14ac:dyDescent="0.25">
      <c r="A13" t="str">
        <f t="shared" si="1"/>
        <v>3A Livestock</v>
      </c>
      <c r="B13" t="str">
        <f t="shared" si="2"/>
        <v>3A1 Enteric fermentation (CH4)</v>
      </c>
      <c r="C13" t="str">
        <f>'Activity data'!C14</f>
        <v>3A1d Goats</v>
      </c>
      <c r="D13" t="str">
        <f>'Activity data'!D14</f>
        <v>Subsistence</v>
      </c>
      <c r="E13" t="str">
        <f t="shared" si="0"/>
        <v>Enteric fermentation EF</v>
      </c>
      <c r="F13" t="str">
        <f t="shared" si="3"/>
        <v>CH4</v>
      </c>
      <c r="G13" t="str">
        <f t="shared" si="4"/>
        <v>kg CH4/head/yr</v>
      </c>
      <c r="H13" s="26">
        <f>SUM('Aggregated EF'!H103:H108)</f>
        <v>5.5750300000000008</v>
      </c>
    </row>
    <row r="14" spans="1:41" x14ac:dyDescent="0.25">
      <c r="A14" t="str">
        <f t="shared" si="1"/>
        <v>3A Livestock</v>
      </c>
      <c r="B14" t="str">
        <f t="shared" si="2"/>
        <v>3A1 Enteric fermentation (CH4)</v>
      </c>
      <c r="C14" t="str">
        <f>'Activity data'!C15</f>
        <v>3A1f Horses</v>
      </c>
      <c r="D14" t="str">
        <f>'Activity data'!D15</f>
        <v>Horses</v>
      </c>
      <c r="E14" t="str">
        <f t="shared" si="0"/>
        <v>Enteric fermentation EF</v>
      </c>
      <c r="F14" t="str">
        <f t="shared" si="3"/>
        <v>CH4</v>
      </c>
      <c r="G14" t="str">
        <f t="shared" si="4"/>
        <v>kg CH4/head/yr</v>
      </c>
      <c r="H14" s="26">
        <f>'Aggregated EF'!H110</f>
        <v>18</v>
      </c>
    </row>
    <row r="15" spans="1:41" x14ac:dyDescent="0.25">
      <c r="A15" t="str">
        <f t="shared" si="1"/>
        <v>3A Livestock</v>
      </c>
      <c r="B15" t="str">
        <f t="shared" si="2"/>
        <v>3A1 Enteric fermentation (CH4)</v>
      </c>
      <c r="C15" t="str">
        <f>'Activity data'!C16</f>
        <v>3A1g Mules &amp; asses</v>
      </c>
      <c r="D15" t="str">
        <f>'Activity data'!D16</f>
        <v>Mules &amp; Asses</v>
      </c>
      <c r="E15" t="str">
        <f t="shared" si="0"/>
        <v>Enteric fermentation EF</v>
      </c>
      <c r="F15" t="str">
        <f t="shared" si="3"/>
        <v>CH4</v>
      </c>
      <c r="G15" t="str">
        <f t="shared" si="4"/>
        <v>kg CH4/head/yr</v>
      </c>
      <c r="H15" s="26">
        <f>'Aggregated EF'!H112</f>
        <v>10</v>
      </c>
    </row>
    <row r="16" spans="1:41" x14ac:dyDescent="0.25">
      <c r="A16" t="str">
        <f t="shared" si="1"/>
        <v>3A Livestock</v>
      </c>
      <c r="B16" t="str">
        <f t="shared" si="2"/>
        <v>3A1 Enteric fermentation (CH4)</v>
      </c>
      <c r="C16" t="str">
        <f>'Activity data'!C17</f>
        <v>3A1h Swine</v>
      </c>
      <c r="D16" t="str">
        <f>'Activity data'!D17</f>
        <v>Commercial</v>
      </c>
      <c r="E16" t="str">
        <f t="shared" si="0"/>
        <v>Enteric fermentation EF</v>
      </c>
      <c r="F16" t="str">
        <f t="shared" si="3"/>
        <v>CH4</v>
      </c>
      <c r="G16" t="str">
        <f t="shared" si="4"/>
        <v>kg CH4/head/yr</v>
      </c>
      <c r="H16" s="26">
        <f>SUM('Aggregated EF'!H114:H123)</f>
        <v>1.1111400000000002</v>
      </c>
    </row>
    <row r="17" spans="1:8" x14ac:dyDescent="0.25">
      <c r="A17" t="str">
        <f t="shared" si="1"/>
        <v>3A Livestock</v>
      </c>
      <c r="B17" t="str">
        <f t="shared" si="2"/>
        <v>3A1 Enteric fermentation (CH4)</v>
      </c>
      <c r="C17" t="str">
        <f>'Activity data'!C18</f>
        <v>3A1h Swine</v>
      </c>
      <c r="D17" t="str">
        <f>'Activity data'!D18</f>
        <v>Subsistence</v>
      </c>
      <c r="E17" t="str">
        <f t="shared" si="0"/>
        <v>Enteric fermentation EF</v>
      </c>
      <c r="F17" t="str">
        <f t="shared" si="3"/>
        <v>CH4</v>
      </c>
      <c r="G17" t="str">
        <f t="shared" si="4"/>
        <v>kg CH4/head/yr</v>
      </c>
      <c r="H17" s="26">
        <f>SUM('Aggregated EF'!H124:H133)</f>
        <v>1.1290500000000001</v>
      </c>
    </row>
    <row r="18" spans="1:8" x14ac:dyDescent="0.25">
      <c r="A18" t="str">
        <f t="shared" si="1"/>
        <v>3A Livestock</v>
      </c>
      <c r="B18" t="str">
        <f>'IPCC Categories'!B12</f>
        <v>3A2 Manure management (CH4)</v>
      </c>
      <c r="C18" t="str">
        <f>'Activity data'!C5</f>
        <v>3A1ai Dairy cattle</v>
      </c>
      <c r="D18" t="str">
        <f>'Activity data'!D5</f>
        <v>TMR</v>
      </c>
      <c r="E18" t="str">
        <f>'IPCC Categories'!F33&amp;" EF"</f>
        <v>Manure management EF</v>
      </c>
      <c r="F18" t="str">
        <f t="shared" si="3"/>
        <v>CH4</v>
      </c>
      <c r="G18" t="s">
        <v>144</v>
      </c>
      <c r="H18" s="26">
        <f>SUM('Aggregated EF'!N8:N10)</f>
        <v>12.458616998501393</v>
      </c>
    </row>
    <row r="19" spans="1:8" x14ac:dyDescent="0.25">
      <c r="A19" t="str">
        <f t="shared" si="1"/>
        <v>3A Livestock</v>
      </c>
      <c r="B19" t="str">
        <f>B18</f>
        <v>3A2 Manure management (CH4)</v>
      </c>
      <c r="C19" t="str">
        <f>'Activity data'!C6</f>
        <v>3A1ai Dairy cattle</v>
      </c>
      <c r="D19" t="str">
        <f>'Activity data'!D6</f>
        <v>Pasture</v>
      </c>
      <c r="E19" t="str">
        <f>E18</f>
        <v>Manure management EF</v>
      </c>
      <c r="F19" t="str">
        <f t="shared" si="3"/>
        <v>CH4</v>
      </c>
      <c r="G19" t="s">
        <v>144</v>
      </c>
      <c r="H19" s="26">
        <f>SUM('Aggregated EF'!N5:N7)</f>
        <v>4.2839434810533081</v>
      </c>
    </row>
    <row r="20" spans="1:8" x14ac:dyDescent="0.25">
      <c r="A20" t="str">
        <f t="shared" si="1"/>
        <v>3A Livestock</v>
      </c>
      <c r="B20" t="str">
        <f t="shared" ref="B20:B35" si="5">B19</f>
        <v>3A2 Manure management (CH4)</v>
      </c>
      <c r="C20" t="str">
        <f>'Activity data'!C7</f>
        <v>3A1aii Other cattle</v>
      </c>
      <c r="D20" t="str">
        <f>'Activity data'!D7</f>
        <v>Non-lactating</v>
      </c>
      <c r="E20" t="str">
        <f>E19</f>
        <v>Manure management EF</v>
      </c>
      <c r="F20" t="str">
        <f t="shared" si="3"/>
        <v>CH4</v>
      </c>
      <c r="G20" t="s">
        <v>144</v>
      </c>
      <c r="H20" s="26">
        <f>SUM('Aggregated EF'!N12:N21)</f>
        <v>0.71275396941061553</v>
      </c>
    </row>
    <row r="21" spans="1:8" x14ac:dyDescent="0.25">
      <c r="A21" t="str">
        <f t="shared" si="1"/>
        <v>3A Livestock</v>
      </c>
      <c r="B21" t="str">
        <f t="shared" si="5"/>
        <v>3A2 Manure management (CH4)</v>
      </c>
      <c r="C21" t="str">
        <f>'Activity data'!C8</f>
        <v>3A1aii Other cattle</v>
      </c>
      <c r="D21" t="str">
        <f>'Activity data'!D8</f>
        <v>Commercial</v>
      </c>
      <c r="E21" t="str">
        <f>E19</f>
        <v>Manure management EF</v>
      </c>
      <c r="F21" t="str">
        <f>F19</f>
        <v>CH4</v>
      </c>
      <c r="G21" t="s">
        <v>144</v>
      </c>
      <c r="H21" s="26">
        <f>SUM('Aggregated EF'!N22:N24,'Aggregated EF'!N26:N28)</f>
        <v>1.5931745829252119E-2</v>
      </c>
    </row>
    <row r="22" spans="1:8" x14ac:dyDescent="0.25">
      <c r="A22" t="str">
        <f t="shared" si="1"/>
        <v>3A Livestock</v>
      </c>
      <c r="B22" t="str">
        <f t="shared" si="5"/>
        <v>3A2 Manure management (CH4)</v>
      </c>
      <c r="C22" t="str">
        <f>'Activity data'!C9</f>
        <v>3A1aii Other cattle</v>
      </c>
      <c r="D22" t="str">
        <f>'Activity data'!D9</f>
        <v>Subsistence</v>
      </c>
      <c r="E22" t="str">
        <f t="shared" ref="E22:E56" si="6">E21</f>
        <v>Manure management EF</v>
      </c>
      <c r="F22" t="str">
        <f t="shared" si="3"/>
        <v>CH4</v>
      </c>
      <c r="G22" t="s">
        <v>144</v>
      </c>
      <c r="H22" s="26">
        <f>SUM('Aggregated EF'!N29:N34)</f>
        <v>1.3196902890530698E-2</v>
      </c>
    </row>
    <row r="23" spans="1:8" x14ac:dyDescent="0.25">
      <c r="A23" t="str">
        <f t="shared" si="1"/>
        <v>3A Livestock</v>
      </c>
      <c r="B23" t="str">
        <f t="shared" si="5"/>
        <v>3A2 Manure management (CH4)</v>
      </c>
      <c r="C23" t="str">
        <f>'Activity data'!C10</f>
        <v>3A1aii Other cattle</v>
      </c>
      <c r="D23" t="str">
        <f>'Activity data'!D10</f>
        <v>Feedlot</v>
      </c>
      <c r="E23" t="str">
        <f t="shared" si="6"/>
        <v>Manure management EF</v>
      </c>
      <c r="F23" t="str">
        <f t="shared" si="3"/>
        <v>CH4</v>
      </c>
      <c r="G23" t="s">
        <v>144</v>
      </c>
      <c r="H23" s="26">
        <f>'Aggregated EF'!N25</f>
        <v>0.87</v>
      </c>
    </row>
    <row r="24" spans="1:8" x14ac:dyDescent="0.25">
      <c r="A24" t="str">
        <f t="shared" si="1"/>
        <v>3A Livestock</v>
      </c>
      <c r="B24" t="str">
        <f t="shared" si="5"/>
        <v>3A2 Manure management (CH4)</v>
      </c>
      <c r="C24" t="str">
        <f>'Activity data'!C11</f>
        <v>3A1c Sheep</v>
      </c>
      <c r="D24" t="str">
        <f>'Activity data'!D11</f>
        <v>Commercial</v>
      </c>
      <c r="E24" t="str">
        <f t="shared" si="6"/>
        <v>Manure management EF</v>
      </c>
      <c r="F24" t="str">
        <f t="shared" si="3"/>
        <v>CH4</v>
      </c>
      <c r="G24" t="s">
        <v>144</v>
      </c>
      <c r="H24" s="26">
        <f>SUM('Aggregated EF'!N36:N59)</f>
        <v>1.8957461499092729E-3</v>
      </c>
    </row>
    <row r="25" spans="1:8" x14ac:dyDescent="0.25">
      <c r="A25" t="str">
        <f t="shared" si="1"/>
        <v>3A Livestock</v>
      </c>
      <c r="B25" t="str">
        <f t="shared" si="5"/>
        <v>3A2 Manure management (CH4)</v>
      </c>
      <c r="C25" t="str">
        <f>'Activity data'!C12</f>
        <v>3A1c Sheep</v>
      </c>
      <c r="D25" t="str">
        <f>'Activity data'!D12</f>
        <v>Subsistence</v>
      </c>
      <c r="E25" t="str">
        <f t="shared" si="6"/>
        <v>Manure management EF</v>
      </c>
      <c r="F25" t="str">
        <f t="shared" si="3"/>
        <v>CH4</v>
      </c>
      <c r="G25" t="s">
        <v>144</v>
      </c>
      <c r="H25" s="26">
        <f>SUM('Aggregated EF'!N60:N83)</f>
        <v>1.4489063415995907E-3</v>
      </c>
    </row>
    <row r="26" spans="1:8" x14ac:dyDescent="0.25">
      <c r="A26" t="str">
        <f t="shared" si="1"/>
        <v>3A Livestock</v>
      </c>
      <c r="B26" t="str">
        <f t="shared" si="5"/>
        <v>3A2 Manure management (CH4)</v>
      </c>
      <c r="C26" t="str">
        <f>'Activity data'!C13</f>
        <v>3A1d Goats</v>
      </c>
      <c r="D26" t="str">
        <f>'Activity data'!D13</f>
        <v>Commercial</v>
      </c>
      <c r="E26" t="str">
        <f t="shared" si="6"/>
        <v>Manure management EF</v>
      </c>
      <c r="F26" t="str">
        <f t="shared" si="3"/>
        <v>CH4</v>
      </c>
      <c r="G26" t="s">
        <v>144</v>
      </c>
      <c r="H26" s="26">
        <f>SUM('Aggregated EF'!N85:N102)</f>
        <v>7.6349095476515513E-3</v>
      </c>
    </row>
    <row r="27" spans="1:8" x14ac:dyDescent="0.25">
      <c r="A27" t="str">
        <f t="shared" si="1"/>
        <v>3A Livestock</v>
      </c>
      <c r="B27" t="str">
        <f t="shared" si="5"/>
        <v>3A2 Manure management (CH4)</v>
      </c>
      <c r="C27" t="str">
        <f>'Activity data'!C14</f>
        <v>3A1d Goats</v>
      </c>
      <c r="D27" t="str">
        <f>'Activity data'!D14</f>
        <v>Subsistence</v>
      </c>
      <c r="E27" t="str">
        <f t="shared" si="6"/>
        <v>Manure management EF</v>
      </c>
      <c r="F27" t="str">
        <f t="shared" si="3"/>
        <v>CH4</v>
      </c>
      <c r="G27" t="s">
        <v>144</v>
      </c>
      <c r="H27" s="26">
        <f>SUM('Aggregated EF'!N103:N108)</f>
        <v>6.6239999999999988E-3</v>
      </c>
    </row>
    <row r="28" spans="1:8" x14ac:dyDescent="0.25">
      <c r="A28" t="str">
        <f t="shared" si="1"/>
        <v>3A Livestock</v>
      </c>
      <c r="B28" t="str">
        <f t="shared" si="5"/>
        <v>3A2 Manure management (CH4)</v>
      </c>
      <c r="C28" t="str">
        <f>'Activity data'!C15</f>
        <v>3A1f Horses</v>
      </c>
      <c r="D28" t="str">
        <f>'Activity data'!D15</f>
        <v>Horses</v>
      </c>
      <c r="E28" t="str">
        <f t="shared" si="6"/>
        <v>Manure management EF</v>
      </c>
      <c r="F28" t="str">
        <f t="shared" si="3"/>
        <v>CH4</v>
      </c>
      <c r="G28" t="s">
        <v>144</v>
      </c>
      <c r="H28" s="26">
        <f>'Aggregated EF'!N110</f>
        <v>1.34E-2</v>
      </c>
    </row>
    <row r="29" spans="1:8" x14ac:dyDescent="0.25">
      <c r="A29" t="str">
        <f t="shared" si="1"/>
        <v>3A Livestock</v>
      </c>
      <c r="B29" t="str">
        <f t="shared" si="5"/>
        <v>3A2 Manure management (CH4)</v>
      </c>
      <c r="C29" t="str">
        <f>'Activity data'!C16</f>
        <v>3A1g Mules &amp; asses</v>
      </c>
      <c r="D29" t="str">
        <f>'Activity data'!D16</f>
        <v>Mules &amp; Asses</v>
      </c>
      <c r="E29" t="str">
        <f t="shared" si="6"/>
        <v>Manure management EF</v>
      </c>
      <c r="F29" t="str">
        <f t="shared" si="3"/>
        <v>CH4</v>
      </c>
      <c r="G29" t="s">
        <v>144</v>
      </c>
      <c r="H29" s="26">
        <f>'Aggregated EF'!N112</f>
        <v>4.4999999999999997E-3</v>
      </c>
    </row>
    <row r="30" spans="1:8" x14ac:dyDescent="0.25">
      <c r="A30" t="str">
        <f t="shared" si="1"/>
        <v>3A Livestock</v>
      </c>
      <c r="B30" t="str">
        <f t="shared" si="5"/>
        <v>3A2 Manure management (CH4)</v>
      </c>
      <c r="C30" t="str">
        <f>'Activity data'!C17</f>
        <v>3A1h Swine</v>
      </c>
      <c r="D30" t="str">
        <f>'Activity data'!D17</f>
        <v>Commercial</v>
      </c>
      <c r="E30" t="str">
        <f t="shared" si="6"/>
        <v>Manure management EF</v>
      </c>
      <c r="F30" t="str">
        <f t="shared" si="3"/>
        <v>CH4</v>
      </c>
      <c r="G30" t="s">
        <v>144</v>
      </c>
      <c r="H30" s="26">
        <f>SUM('Aggregated EF'!N114:N123)</f>
        <v>14.057009999999998</v>
      </c>
    </row>
    <row r="31" spans="1:8" x14ac:dyDescent="0.25">
      <c r="A31" t="str">
        <f t="shared" si="1"/>
        <v>3A Livestock</v>
      </c>
      <c r="B31" t="str">
        <f t="shared" si="5"/>
        <v>3A2 Manure management (CH4)</v>
      </c>
      <c r="C31" t="str">
        <f>'Activity data'!C18</f>
        <v>3A1h Swine</v>
      </c>
      <c r="D31" t="str">
        <f>'Activity data'!D18</f>
        <v>Subsistence</v>
      </c>
      <c r="E31" t="str">
        <f t="shared" si="6"/>
        <v>Manure management EF</v>
      </c>
      <c r="F31" t="str">
        <f t="shared" si="3"/>
        <v>CH4</v>
      </c>
      <c r="G31" t="s">
        <v>144</v>
      </c>
      <c r="H31" s="26">
        <f>SUM('Aggregated EF'!N124:N133)</f>
        <v>0.34509999999999996</v>
      </c>
    </row>
    <row r="32" spans="1:8" x14ac:dyDescent="0.25">
      <c r="A32" t="str">
        <f t="shared" si="1"/>
        <v>3A Livestock</v>
      </c>
      <c r="B32" t="str">
        <f t="shared" si="5"/>
        <v>3A2 Manure management (CH4)</v>
      </c>
      <c r="C32" t="str">
        <f>'Activity data'!C19</f>
        <v>3A2i Poultry</v>
      </c>
      <c r="D32" t="str">
        <f>'Activity data'!D19</f>
        <v>Commercial layers</v>
      </c>
      <c r="E32" t="str">
        <f t="shared" si="6"/>
        <v>Manure management EF</v>
      </c>
      <c r="F32" t="str">
        <f t="shared" si="3"/>
        <v>CH4</v>
      </c>
      <c r="G32" t="s">
        <v>144</v>
      </c>
      <c r="H32" s="26">
        <f>'Aggregated EF'!N136</f>
        <v>2.35E-2</v>
      </c>
    </row>
    <row r="33" spans="1:8" x14ac:dyDescent="0.25">
      <c r="A33" t="str">
        <f t="shared" si="1"/>
        <v>3A Livestock</v>
      </c>
      <c r="B33" t="str">
        <f t="shared" si="5"/>
        <v>3A2 Manure management (CH4)</v>
      </c>
      <c r="C33" t="str">
        <f>'Activity data'!C20</f>
        <v>3A2i Poultry</v>
      </c>
      <c r="D33" t="str">
        <f>'Activity data'!D20</f>
        <v>Commercial broilers</v>
      </c>
      <c r="E33" t="str">
        <f t="shared" si="6"/>
        <v>Manure management EF</v>
      </c>
      <c r="F33" t="str">
        <f t="shared" si="3"/>
        <v>CH4</v>
      </c>
      <c r="G33" t="s">
        <v>144</v>
      </c>
      <c r="H33" s="26">
        <f>'Aggregated EF'!N135</f>
        <v>2.35E-2</v>
      </c>
    </row>
    <row r="34" spans="1:8" x14ac:dyDescent="0.25">
      <c r="A34" t="str">
        <f t="shared" si="1"/>
        <v>3A Livestock</v>
      </c>
      <c r="B34" t="str">
        <f t="shared" si="5"/>
        <v>3A2 Manure management (CH4)</v>
      </c>
      <c r="C34" t="str">
        <f>'Activity data'!C21</f>
        <v>3A2i Poultry</v>
      </c>
      <c r="D34" t="str">
        <f>'Activity data'!D21</f>
        <v>Subsistence layers</v>
      </c>
      <c r="E34" t="str">
        <f t="shared" si="6"/>
        <v>Manure management EF</v>
      </c>
      <c r="F34" t="str">
        <f t="shared" si="3"/>
        <v>CH4</v>
      </c>
      <c r="G34" t="s">
        <v>144</v>
      </c>
      <c r="H34" s="26">
        <f>'Aggregated EF'!N138</f>
        <v>2.35E-2</v>
      </c>
    </row>
    <row r="35" spans="1:8" x14ac:dyDescent="0.25">
      <c r="A35" t="str">
        <f t="shared" si="1"/>
        <v>3A Livestock</v>
      </c>
      <c r="B35" t="str">
        <f t="shared" si="5"/>
        <v>3A2 Manure management (CH4)</v>
      </c>
      <c r="C35" t="str">
        <f>'Activity data'!C22</f>
        <v>3A2i Poultry</v>
      </c>
      <c r="D35" t="str">
        <f>'Activity data'!D22</f>
        <v>Subsistence broilers</v>
      </c>
      <c r="E35" t="str">
        <f t="shared" si="6"/>
        <v>Manure management EF</v>
      </c>
      <c r="F35" t="str">
        <f t="shared" si="3"/>
        <v>CH4</v>
      </c>
      <c r="G35" t="s">
        <v>144</v>
      </c>
      <c r="H35" s="26">
        <f>'Aggregated EF'!N137</f>
        <v>2.35E-2</v>
      </c>
    </row>
    <row r="36" spans="1:8" x14ac:dyDescent="0.25">
      <c r="A36" t="str">
        <f t="shared" si="1"/>
        <v>3A Livestock</v>
      </c>
      <c r="B36" t="str">
        <f>'IPCC Categories'!B20</f>
        <v>3A2 Manure management (N2O)</v>
      </c>
      <c r="C36" t="str">
        <f>C18</f>
        <v>3A1ai Dairy cattle</v>
      </c>
      <c r="D36" t="str">
        <f t="shared" ref="D36:E37" si="7">D18</f>
        <v>TMR</v>
      </c>
      <c r="E36" t="str">
        <f t="shared" si="7"/>
        <v>Manure management EF</v>
      </c>
      <c r="F36" t="s">
        <v>139</v>
      </c>
      <c r="G36" t="s">
        <v>311</v>
      </c>
      <c r="H36" s="26">
        <f>SUM('Aggregated EF'!T8:T10)</f>
        <v>128.28236394776278</v>
      </c>
    </row>
    <row r="37" spans="1:8" x14ac:dyDescent="0.25">
      <c r="A37" t="str">
        <f t="shared" si="1"/>
        <v>3A Livestock</v>
      </c>
      <c r="B37" t="str">
        <f>B36</f>
        <v>3A2 Manure management (N2O)</v>
      </c>
      <c r="C37" t="str">
        <f>C19</f>
        <v>3A1ai Dairy cattle</v>
      </c>
      <c r="D37" t="str">
        <f t="shared" si="7"/>
        <v>Pasture</v>
      </c>
      <c r="E37" t="str">
        <f t="shared" si="7"/>
        <v>Manure management EF</v>
      </c>
      <c r="F37" t="str">
        <f>F36</f>
        <v>N2O</v>
      </c>
      <c r="G37" t="str">
        <f>G36</f>
        <v>kg N/head/yr</v>
      </c>
      <c r="H37" s="26">
        <f>SUM('Aggregated EF'!T5:T7)</f>
        <v>116.88195504174696</v>
      </c>
    </row>
    <row r="38" spans="1:8" x14ac:dyDescent="0.25">
      <c r="A38" t="str">
        <f t="shared" si="1"/>
        <v>3A Livestock</v>
      </c>
      <c r="B38" t="str">
        <f t="shared" ref="B38:B71" si="8">B37</f>
        <v>3A2 Manure management (N2O)</v>
      </c>
      <c r="C38" t="str">
        <f t="shared" ref="C38:E38" si="9">C20</f>
        <v>3A1aii Other cattle</v>
      </c>
      <c r="D38" t="str">
        <f t="shared" si="9"/>
        <v>Non-lactating</v>
      </c>
      <c r="E38" t="str">
        <f t="shared" si="9"/>
        <v>Manure management EF</v>
      </c>
      <c r="F38" t="str">
        <f t="shared" ref="F38:F53" si="10">F37</f>
        <v>N2O</v>
      </c>
      <c r="G38" t="str">
        <f t="shared" ref="G38:G53" si="11">G37</f>
        <v>kg N/head/yr</v>
      </c>
      <c r="H38" s="26">
        <f>SUM('Aggregated EF'!T12:T21)</f>
        <v>40.496928454397946</v>
      </c>
    </row>
    <row r="39" spans="1:8" x14ac:dyDescent="0.25">
      <c r="A39" t="str">
        <f t="shared" si="1"/>
        <v>3A Livestock</v>
      </c>
      <c r="B39" t="str">
        <f t="shared" si="8"/>
        <v>3A2 Manure management (N2O)</v>
      </c>
      <c r="C39" t="str">
        <f t="shared" ref="C39:E39" si="12">C21</f>
        <v>3A1aii Other cattle</v>
      </c>
      <c r="D39" t="str">
        <f t="shared" si="12"/>
        <v>Commercial</v>
      </c>
      <c r="E39" t="str">
        <f t="shared" si="12"/>
        <v>Manure management EF</v>
      </c>
      <c r="F39" t="str">
        <f t="shared" si="10"/>
        <v>N2O</v>
      </c>
      <c r="G39" t="str">
        <f t="shared" si="11"/>
        <v>kg N/head/yr</v>
      </c>
      <c r="H39" s="26">
        <f>SUM('Aggregated EF'!T22:T24,'Aggregated EF'!T26:T28)</f>
        <v>86.354881619987609</v>
      </c>
    </row>
    <row r="40" spans="1:8" x14ac:dyDescent="0.25">
      <c r="A40" t="str">
        <f t="shared" si="1"/>
        <v>3A Livestock</v>
      </c>
      <c r="B40" t="str">
        <f t="shared" si="8"/>
        <v>3A2 Manure management (N2O)</v>
      </c>
      <c r="C40" t="str">
        <f t="shared" ref="C40:E40" si="13">C22</f>
        <v>3A1aii Other cattle</v>
      </c>
      <c r="D40" t="str">
        <f t="shared" si="13"/>
        <v>Subsistence</v>
      </c>
      <c r="E40" t="str">
        <f t="shared" si="13"/>
        <v>Manure management EF</v>
      </c>
      <c r="F40" t="str">
        <f t="shared" si="10"/>
        <v>N2O</v>
      </c>
      <c r="G40" t="str">
        <f t="shared" si="11"/>
        <v>kg N/head/yr</v>
      </c>
      <c r="H40" s="26">
        <f>SUM('Aggregated EF'!T29:T34)</f>
        <v>64.633710943402036</v>
      </c>
    </row>
    <row r="41" spans="1:8" x14ac:dyDescent="0.25">
      <c r="A41" t="str">
        <f t="shared" si="1"/>
        <v>3A Livestock</v>
      </c>
      <c r="B41" t="str">
        <f t="shared" si="8"/>
        <v>3A2 Manure management (N2O)</v>
      </c>
      <c r="C41" t="str">
        <f t="shared" ref="C41:E41" si="14">C23</f>
        <v>3A1aii Other cattle</v>
      </c>
      <c r="D41" t="str">
        <f t="shared" si="14"/>
        <v>Feedlot</v>
      </c>
      <c r="E41" t="str">
        <f t="shared" si="14"/>
        <v>Manure management EF</v>
      </c>
      <c r="F41" t="str">
        <f t="shared" si="10"/>
        <v>N2O</v>
      </c>
      <c r="G41" t="str">
        <f t="shared" si="11"/>
        <v>kg N/head/yr</v>
      </c>
      <c r="H41" s="26">
        <f>'Aggregated EF'!T25</f>
        <v>65.765699999999995</v>
      </c>
    </row>
    <row r="42" spans="1:8" x14ac:dyDescent="0.25">
      <c r="A42" t="str">
        <f t="shared" si="1"/>
        <v>3A Livestock</v>
      </c>
      <c r="B42" t="str">
        <f t="shared" si="8"/>
        <v>3A2 Manure management (N2O)</v>
      </c>
      <c r="C42" t="str">
        <f t="shared" ref="C42:E42" si="15">C24</f>
        <v>3A1c Sheep</v>
      </c>
      <c r="D42" t="str">
        <f t="shared" si="15"/>
        <v>Commercial</v>
      </c>
      <c r="E42" t="str">
        <f t="shared" si="15"/>
        <v>Manure management EF</v>
      </c>
      <c r="F42" t="str">
        <f t="shared" si="10"/>
        <v>N2O</v>
      </c>
      <c r="G42" t="str">
        <f t="shared" si="11"/>
        <v>kg N/head/yr</v>
      </c>
      <c r="H42" s="26">
        <f>SUM('Aggregated EF'!T36:T59)</f>
        <v>19.60551595998232</v>
      </c>
    </row>
    <row r="43" spans="1:8" x14ac:dyDescent="0.25">
      <c r="A43" t="str">
        <f t="shared" si="1"/>
        <v>3A Livestock</v>
      </c>
      <c r="B43" t="str">
        <f t="shared" si="8"/>
        <v>3A2 Manure management (N2O)</v>
      </c>
      <c r="C43" t="str">
        <f t="shared" ref="C43:E43" si="16">C25</f>
        <v>3A1c Sheep</v>
      </c>
      <c r="D43" t="str">
        <f t="shared" si="16"/>
        <v>Subsistence</v>
      </c>
      <c r="E43" t="str">
        <f t="shared" si="16"/>
        <v>Manure management EF</v>
      </c>
      <c r="F43" t="str">
        <f t="shared" si="10"/>
        <v>N2O</v>
      </c>
      <c r="G43" t="str">
        <f t="shared" si="11"/>
        <v>kg N/head/yr</v>
      </c>
      <c r="H43" s="26">
        <f>SUM('Aggregated EF'!T60:T83)</f>
        <v>15.591414113527657</v>
      </c>
    </row>
    <row r="44" spans="1:8" x14ac:dyDescent="0.25">
      <c r="A44" t="str">
        <f t="shared" si="1"/>
        <v>3A Livestock</v>
      </c>
      <c r="B44" t="str">
        <f t="shared" si="8"/>
        <v>3A2 Manure management (N2O)</v>
      </c>
      <c r="C44" t="str">
        <f t="shared" ref="C44:E44" si="17">C26</f>
        <v>3A1d Goats</v>
      </c>
      <c r="D44" t="str">
        <f t="shared" si="17"/>
        <v>Commercial</v>
      </c>
      <c r="E44" t="str">
        <f t="shared" si="17"/>
        <v>Manure management EF</v>
      </c>
      <c r="F44" t="str">
        <f t="shared" si="10"/>
        <v>N2O</v>
      </c>
      <c r="G44" t="str">
        <f t="shared" si="11"/>
        <v>kg N/head/yr</v>
      </c>
      <c r="H44" s="26">
        <f>SUM('Aggregated EF'!T85:T102)</f>
        <v>22.287353637058541</v>
      </c>
    </row>
    <row r="45" spans="1:8" x14ac:dyDescent="0.25">
      <c r="A45" t="str">
        <f t="shared" si="1"/>
        <v>3A Livestock</v>
      </c>
      <c r="B45" t="str">
        <f t="shared" si="8"/>
        <v>3A2 Manure management (N2O)</v>
      </c>
      <c r="C45" t="str">
        <f t="shared" ref="C45:E45" si="18">C27</f>
        <v>3A1d Goats</v>
      </c>
      <c r="D45" t="str">
        <f t="shared" si="18"/>
        <v>Subsistence</v>
      </c>
      <c r="E45" t="str">
        <f t="shared" si="18"/>
        <v>Manure management EF</v>
      </c>
      <c r="F45" t="str">
        <f t="shared" si="10"/>
        <v>N2O</v>
      </c>
      <c r="G45" t="str">
        <f t="shared" si="11"/>
        <v>kg N/head/yr</v>
      </c>
      <c r="H45" s="26">
        <f>SUM('Aggregated EF'!T103:T108)</f>
        <v>20.227322529999995</v>
      </c>
    </row>
    <row r="46" spans="1:8" x14ac:dyDescent="0.25">
      <c r="A46" t="str">
        <f t="shared" si="1"/>
        <v>3A Livestock</v>
      </c>
      <c r="B46" t="str">
        <f t="shared" si="8"/>
        <v>3A2 Manure management (N2O)</v>
      </c>
      <c r="C46" t="str">
        <f t="shared" ref="C46:E46" si="19">C28</f>
        <v>3A1f Horses</v>
      </c>
      <c r="D46" t="str">
        <f t="shared" si="19"/>
        <v>Horses</v>
      </c>
      <c r="E46" t="str">
        <f t="shared" si="19"/>
        <v>Manure management EF</v>
      </c>
      <c r="F46" t="str">
        <f t="shared" si="10"/>
        <v>N2O</v>
      </c>
      <c r="G46" t="str">
        <f t="shared" si="11"/>
        <v>kg N/head/yr</v>
      </c>
      <c r="H46" s="26">
        <f>'Aggregated EF'!T110</f>
        <v>39.5</v>
      </c>
    </row>
    <row r="47" spans="1:8" x14ac:dyDescent="0.25">
      <c r="A47" t="str">
        <f t="shared" si="1"/>
        <v>3A Livestock</v>
      </c>
      <c r="B47" t="str">
        <f t="shared" si="8"/>
        <v>3A2 Manure management (N2O)</v>
      </c>
      <c r="C47" t="str">
        <f t="shared" ref="C47:E47" si="20">C29</f>
        <v>3A1g Mules &amp; asses</v>
      </c>
      <c r="D47" t="str">
        <f t="shared" si="20"/>
        <v>Mules &amp; Asses</v>
      </c>
      <c r="E47" t="str">
        <f t="shared" si="20"/>
        <v>Manure management EF</v>
      </c>
      <c r="F47" t="str">
        <f t="shared" si="10"/>
        <v>N2O</v>
      </c>
      <c r="G47" t="str">
        <f t="shared" si="11"/>
        <v>kg N/head/yr</v>
      </c>
      <c r="H47" s="26">
        <f>'Aggregated EF'!T112</f>
        <v>13.2</v>
      </c>
    </row>
    <row r="48" spans="1:8" x14ac:dyDescent="0.25">
      <c r="A48" t="str">
        <f t="shared" si="1"/>
        <v>3A Livestock</v>
      </c>
      <c r="B48" t="str">
        <f t="shared" si="8"/>
        <v>3A2 Manure management (N2O)</v>
      </c>
      <c r="C48" t="str">
        <f t="shared" ref="C48:E48" si="21">C30</f>
        <v>3A1h Swine</v>
      </c>
      <c r="D48" t="str">
        <f t="shared" si="21"/>
        <v>Commercial</v>
      </c>
      <c r="E48" t="str">
        <f t="shared" si="21"/>
        <v>Manure management EF</v>
      </c>
      <c r="F48" t="str">
        <f t="shared" si="10"/>
        <v>N2O</v>
      </c>
      <c r="G48" t="str">
        <f t="shared" si="11"/>
        <v>kg N/head/yr</v>
      </c>
      <c r="H48" s="26">
        <f>SUM('Aggregated EF'!T114:T123)</f>
        <v>13.769600000000001</v>
      </c>
    </row>
    <row r="49" spans="1:41" x14ac:dyDescent="0.25">
      <c r="A49" t="str">
        <f t="shared" si="1"/>
        <v>3A Livestock</v>
      </c>
      <c r="B49" t="str">
        <f t="shared" si="8"/>
        <v>3A2 Manure management (N2O)</v>
      </c>
      <c r="C49" t="str">
        <f t="shared" ref="C49:E49" si="22">C31</f>
        <v>3A1h Swine</v>
      </c>
      <c r="D49" t="str">
        <f t="shared" si="22"/>
        <v>Subsistence</v>
      </c>
      <c r="E49" t="str">
        <f t="shared" si="22"/>
        <v>Manure management EF</v>
      </c>
      <c r="F49" t="str">
        <f t="shared" si="10"/>
        <v>N2O</v>
      </c>
      <c r="G49" t="str">
        <f t="shared" si="11"/>
        <v>kg N/head/yr</v>
      </c>
      <c r="H49" s="26">
        <f>SUM('Aggregated EF'!T124:T133)</f>
        <v>15.091520000000001</v>
      </c>
    </row>
    <row r="50" spans="1:41" x14ac:dyDescent="0.25">
      <c r="A50" t="str">
        <f t="shared" si="1"/>
        <v>3A Livestock</v>
      </c>
      <c r="B50" t="str">
        <f t="shared" si="8"/>
        <v>3A2 Manure management (N2O)</v>
      </c>
      <c r="C50" t="str">
        <f t="shared" ref="C50:E50" si="23">C32</f>
        <v>3A2i Poultry</v>
      </c>
      <c r="D50" t="str">
        <f t="shared" si="23"/>
        <v>Commercial layers</v>
      </c>
      <c r="E50" t="str">
        <f t="shared" si="23"/>
        <v>Manure management EF</v>
      </c>
      <c r="F50" t="str">
        <f t="shared" si="10"/>
        <v>N2O</v>
      </c>
      <c r="G50" t="str">
        <f t="shared" si="11"/>
        <v>kg N/head/yr</v>
      </c>
      <c r="H50" s="26">
        <f>'Aggregated EF'!T136</f>
        <v>0.6</v>
      </c>
    </row>
    <row r="51" spans="1:41" x14ac:dyDescent="0.25">
      <c r="A51" t="str">
        <f t="shared" si="1"/>
        <v>3A Livestock</v>
      </c>
      <c r="B51" t="str">
        <f t="shared" si="8"/>
        <v>3A2 Manure management (N2O)</v>
      </c>
      <c r="C51" t="str">
        <f t="shared" ref="C51:E51" si="24">C33</f>
        <v>3A2i Poultry</v>
      </c>
      <c r="D51" t="str">
        <f t="shared" si="24"/>
        <v>Commercial broilers</v>
      </c>
      <c r="E51" t="str">
        <f t="shared" si="24"/>
        <v>Manure management EF</v>
      </c>
      <c r="F51" t="str">
        <f t="shared" si="10"/>
        <v>N2O</v>
      </c>
      <c r="G51" t="str">
        <f t="shared" si="11"/>
        <v>kg N/head/yr</v>
      </c>
      <c r="H51" s="26">
        <f>'Aggregated EF'!T135</f>
        <v>0.7</v>
      </c>
    </row>
    <row r="52" spans="1:41" x14ac:dyDescent="0.25">
      <c r="A52" t="str">
        <f t="shared" si="1"/>
        <v>3A Livestock</v>
      </c>
      <c r="B52" t="str">
        <f t="shared" si="8"/>
        <v>3A2 Manure management (N2O)</v>
      </c>
      <c r="C52" t="str">
        <f t="shared" ref="C52:E52" si="25">C34</f>
        <v>3A2i Poultry</v>
      </c>
      <c r="D52" t="str">
        <f t="shared" si="25"/>
        <v>Subsistence layers</v>
      </c>
      <c r="E52" t="str">
        <f t="shared" si="25"/>
        <v>Manure management EF</v>
      </c>
      <c r="F52" t="str">
        <f t="shared" si="10"/>
        <v>N2O</v>
      </c>
      <c r="G52" t="str">
        <f t="shared" si="11"/>
        <v>kg N/head/yr</v>
      </c>
      <c r="H52" s="26">
        <f>'Aggregated EF'!T138</f>
        <v>0.6</v>
      </c>
    </row>
    <row r="53" spans="1:41" x14ac:dyDescent="0.25">
      <c r="A53" t="str">
        <f t="shared" si="1"/>
        <v>3A Livestock</v>
      </c>
      <c r="B53" t="str">
        <f t="shared" si="8"/>
        <v>3A2 Manure management (N2O)</v>
      </c>
      <c r="C53" t="str">
        <f t="shared" ref="C53:E53" si="26">C35</f>
        <v>3A2i Poultry</v>
      </c>
      <c r="D53" t="str">
        <f t="shared" si="26"/>
        <v>Subsistence broilers</v>
      </c>
      <c r="E53" t="str">
        <f t="shared" si="26"/>
        <v>Manure management EF</v>
      </c>
      <c r="F53" t="str">
        <f t="shared" si="10"/>
        <v>N2O</v>
      </c>
      <c r="G53" t="str">
        <f t="shared" si="11"/>
        <v>kg N/head/yr</v>
      </c>
      <c r="H53" s="26">
        <f>'Aggregated EF'!T137</f>
        <v>0.7</v>
      </c>
    </row>
    <row r="54" spans="1:41" x14ac:dyDescent="0.25">
      <c r="A54" t="str">
        <f t="shared" si="1"/>
        <v>3A Livestock</v>
      </c>
      <c r="B54" t="str">
        <f t="shared" si="8"/>
        <v>3A2 Manure management (N2O)</v>
      </c>
      <c r="C54" t="str">
        <f>'Activity data'!C5</f>
        <v>3A1ai Dairy cattle</v>
      </c>
      <c r="D54" t="str">
        <f>'Activity data'!D5</f>
        <v>TMR</v>
      </c>
      <c r="E54" t="str">
        <f>E35</f>
        <v>Manure management EF</v>
      </c>
      <c r="F54" t="s">
        <v>139</v>
      </c>
      <c r="G54" s="12" t="s">
        <v>145</v>
      </c>
      <c r="H54" s="26">
        <f>(('Mitigation drivers'!C12*LagoonN2O)+('Mitigation drivers'!C13*LiquidN2O)+('Mitigation drivers'!C14*DrylotN2O)+('Mitigation drivers'!C15*SolidStorageN2O)+('Mitigation drivers'!C16*DailyspreadN2O)+('Mitigation drivers'!C17*CompostN2O)+('Mitigation drivers'!C18*ManwithbedN2O)+('Mitigation drivers'!C19*PMwithoutlitterN2O)+('Mitigation drivers'!C20*PMwithlitterN2O)+('Mitigation drivers'!C22*DigesterN2OEF))/100</f>
        <v>5.0000000000000001E-4</v>
      </c>
      <c r="I54" s="26">
        <f>(('Mitigation drivers'!D12*LagoonN2O)+('Mitigation drivers'!D13*LiquidN2O)+('Mitigation drivers'!D14*DrylotN2O)+('Mitigation drivers'!D15*SolidStorageN2O)+('Mitigation drivers'!D16*DailyspreadN2O)+('Mitigation drivers'!D17*CompostN2O)+('Mitigation drivers'!D18*ManwithbedN2O)+('Mitigation drivers'!D19*PMwithoutlitterN2O)+('Mitigation drivers'!D20*PMwithlitterN2O)+('Mitigation drivers'!D22*DigesterN2OEF))/100</f>
        <v>5.0000000000000001E-4</v>
      </c>
      <c r="J54" s="26">
        <f>(('Mitigation drivers'!E12*LagoonN2O)+('Mitigation drivers'!E13*LiquidN2O)+('Mitigation drivers'!E14*DrylotN2O)+('Mitigation drivers'!E15*SolidStorageN2O)+('Mitigation drivers'!E16*DailyspreadN2O)+('Mitigation drivers'!E17*CompostN2O)+('Mitigation drivers'!E18*ManwithbedN2O)+('Mitigation drivers'!E19*PMwithoutlitterN2O)+('Mitigation drivers'!E20*PMwithlitterN2O)+('Mitigation drivers'!E22*DigesterN2OEF))/100</f>
        <v>5.0000000000000001E-4</v>
      </c>
      <c r="K54" s="26">
        <f>(('Mitigation drivers'!F12*LagoonN2O)+('Mitigation drivers'!F13*LiquidN2O)+('Mitigation drivers'!F14*DrylotN2O)+('Mitigation drivers'!F15*SolidStorageN2O)+('Mitigation drivers'!F16*DailyspreadN2O)+('Mitigation drivers'!F17*CompostN2O)+('Mitigation drivers'!F18*ManwithbedN2O)+('Mitigation drivers'!F19*PMwithoutlitterN2O)+('Mitigation drivers'!F20*PMwithlitterN2O)+('Mitigation drivers'!F22*DigesterN2OEF))/100</f>
        <v>5.0000000000000001E-4</v>
      </c>
      <c r="L54" s="26">
        <f>(('Mitigation drivers'!G12*LagoonN2O)+('Mitigation drivers'!G13*LiquidN2O)+('Mitigation drivers'!G14*DrylotN2O)+('Mitigation drivers'!G15*SolidStorageN2O)+('Mitigation drivers'!G16*DailyspreadN2O)+('Mitigation drivers'!G17*CompostN2O)+('Mitigation drivers'!G18*ManwithbedN2O)+('Mitigation drivers'!G19*PMwithoutlitterN2O)+('Mitigation drivers'!G20*PMwithlitterN2O)+('Mitigation drivers'!G22*DigesterN2OEF))/100</f>
        <v>5.0000000000000001E-4</v>
      </c>
      <c r="M54" s="26">
        <f>(('Mitigation drivers'!H12*LagoonN2O)+('Mitigation drivers'!H13*LiquidN2O)+('Mitigation drivers'!H14*DrylotN2O)+('Mitigation drivers'!H15*SolidStorageN2O)+('Mitigation drivers'!H16*DailyspreadN2O)+('Mitigation drivers'!H17*CompostN2O)+('Mitigation drivers'!H18*ManwithbedN2O)+('Mitigation drivers'!H19*PMwithoutlitterN2O)+('Mitigation drivers'!H20*PMwithlitterN2O)+('Mitigation drivers'!H22*DigesterN2OEF))/100</f>
        <v>5.0000000000000001E-4</v>
      </c>
      <c r="N54" s="26">
        <f>(('Mitigation drivers'!I12*LagoonN2O)+('Mitigation drivers'!I13*LiquidN2O)+('Mitigation drivers'!I14*DrylotN2O)+('Mitigation drivers'!I15*SolidStorageN2O)+('Mitigation drivers'!I16*DailyspreadN2O)+('Mitigation drivers'!I17*CompostN2O)+('Mitigation drivers'!I18*ManwithbedN2O)+('Mitigation drivers'!I19*PMwithoutlitterN2O)+('Mitigation drivers'!I20*PMwithlitterN2O)+('Mitigation drivers'!I22*DigesterN2OEF))/100</f>
        <v>5.0000000000000001E-4</v>
      </c>
      <c r="O54" s="26">
        <f>(('Mitigation drivers'!J12*LagoonN2O)+('Mitigation drivers'!J13*LiquidN2O)+('Mitigation drivers'!J14*DrylotN2O)+('Mitigation drivers'!J15*SolidStorageN2O)+('Mitigation drivers'!J16*DailyspreadN2O)+('Mitigation drivers'!J17*CompostN2O)+('Mitigation drivers'!J18*ManwithbedN2O)+('Mitigation drivers'!J19*PMwithoutlitterN2O)+('Mitigation drivers'!J20*PMwithlitterN2O)+('Mitigation drivers'!J22*DigesterN2OEF))/100</f>
        <v>5.0000000000000001E-4</v>
      </c>
      <c r="P54" s="26">
        <f>(('Mitigation drivers'!K12*LagoonN2O)+('Mitigation drivers'!K13*LiquidN2O)+('Mitigation drivers'!K14*DrylotN2O)+('Mitigation drivers'!K15*SolidStorageN2O)+('Mitigation drivers'!K16*DailyspreadN2O)+('Mitigation drivers'!K17*CompostN2O)+('Mitigation drivers'!K18*ManwithbedN2O)+('Mitigation drivers'!K19*PMwithoutlitterN2O)+('Mitigation drivers'!K20*PMwithlitterN2O)+('Mitigation drivers'!K22*DigesterN2OEF))/100</f>
        <v>5.0000000000000001E-4</v>
      </c>
      <c r="Q54" s="26">
        <f>(('Mitigation drivers'!L12*LagoonN2O)+('Mitigation drivers'!L13*LiquidN2O)+('Mitigation drivers'!L14*DrylotN2O)+('Mitigation drivers'!L15*SolidStorageN2O)+('Mitigation drivers'!L16*DailyspreadN2O)+('Mitigation drivers'!L17*CompostN2O)+('Mitigation drivers'!L18*ManwithbedN2O)+('Mitigation drivers'!L19*PMwithoutlitterN2O)+('Mitigation drivers'!L20*PMwithlitterN2O)+('Mitigation drivers'!L22*DigesterN2OEF))/100</f>
        <v>5.0000000000000001E-4</v>
      </c>
      <c r="R54" s="26">
        <f>(('Mitigation drivers'!M12*LagoonN2O)+('Mitigation drivers'!M13*LiquidN2O)+('Mitigation drivers'!M14*DrylotN2O)+('Mitigation drivers'!M15*SolidStorageN2O)+('Mitigation drivers'!M16*DailyspreadN2O)+('Mitigation drivers'!M17*CompostN2O)+('Mitigation drivers'!M18*ManwithbedN2O)+('Mitigation drivers'!M19*PMwithoutlitterN2O)+('Mitigation drivers'!M20*PMwithlitterN2O)+('Mitigation drivers'!M22*DigesterN2OEF))/100</f>
        <v>5.0000000000000001E-4</v>
      </c>
      <c r="S54" s="26">
        <f>(('Mitigation drivers'!N12*LagoonN2O)+('Mitigation drivers'!N13*LiquidN2O)+('Mitigation drivers'!N14*DrylotN2O)+('Mitigation drivers'!N15*SolidStorageN2O)+('Mitigation drivers'!N16*DailyspreadN2O)+('Mitigation drivers'!N17*CompostN2O)+('Mitigation drivers'!N18*ManwithbedN2O)+('Mitigation drivers'!N19*PMwithoutlitterN2O)+('Mitigation drivers'!N20*PMwithlitterN2O)+('Mitigation drivers'!N22*DigesterN2OEF))/100</f>
        <v>5.0000000000000001E-4</v>
      </c>
      <c r="T54" s="26">
        <f>(('Mitigation drivers'!O12*LagoonN2O)+('Mitigation drivers'!O13*LiquidN2O)+('Mitigation drivers'!O14*DrylotN2O)+('Mitigation drivers'!O15*SolidStorageN2O)+('Mitigation drivers'!O16*DailyspreadN2O)+('Mitigation drivers'!O17*CompostN2O)+('Mitigation drivers'!O18*ManwithbedN2O)+('Mitigation drivers'!O19*PMwithoutlitterN2O)+('Mitigation drivers'!O20*PMwithlitterN2O)+('Mitigation drivers'!O22*DigesterN2OEF))/100</f>
        <v>5.0000000000000001E-4</v>
      </c>
      <c r="U54" s="26">
        <f>(('Mitigation drivers'!P12*LagoonN2O)+('Mitigation drivers'!P13*LiquidN2O)+('Mitigation drivers'!P14*DrylotN2O)+('Mitigation drivers'!P15*SolidStorageN2O)+('Mitigation drivers'!P16*DailyspreadN2O)+('Mitigation drivers'!P17*CompostN2O)+('Mitigation drivers'!P18*ManwithbedN2O)+('Mitigation drivers'!P19*PMwithoutlitterN2O)+('Mitigation drivers'!P20*PMwithlitterN2O)+('Mitigation drivers'!P22*DigesterN2OEF))/100</f>
        <v>5.0000000000000001E-4</v>
      </c>
      <c r="V54" s="26">
        <f>(('Mitigation drivers'!Q12*LagoonN2O)+('Mitigation drivers'!Q13*LiquidN2O)+('Mitigation drivers'!Q14*DrylotN2O)+('Mitigation drivers'!Q15*SolidStorageN2O)+('Mitigation drivers'!Q16*DailyspreadN2O)+('Mitigation drivers'!Q17*CompostN2O)+('Mitigation drivers'!Q18*ManwithbedN2O)+('Mitigation drivers'!Q19*PMwithoutlitterN2O)+('Mitigation drivers'!Q20*PMwithlitterN2O)+('Mitigation drivers'!Q22*DigesterN2OEF))/100</f>
        <v>5.0000000000000001E-4</v>
      </c>
      <c r="W54" s="26">
        <f>(('Mitigation drivers'!R12*LagoonN2O)+('Mitigation drivers'!R13*LiquidN2O)+('Mitigation drivers'!R14*DrylotN2O)+('Mitigation drivers'!R15*SolidStorageN2O)+('Mitigation drivers'!R16*DailyspreadN2O)+('Mitigation drivers'!R17*CompostN2O)+('Mitigation drivers'!R18*ManwithbedN2O)+('Mitigation drivers'!R19*PMwithoutlitterN2O)+('Mitigation drivers'!R20*PMwithlitterN2O)+('Mitigation drivers'!R22*DigesterN2OEF))/100</f>
        <v>5.0000000000000001E-4</v>
      </c>
      <c r="X54" s="26">
        <f>(('Mitigation drivers'!S12*LagoonN2O)+('Mitigation drivers'!S13*LiquidN2O)+('Mitigation drivers'!S14*DrylotN2O)+('Mitigation drivers'!S15*SolidStorageN2O)+('Mitigation drivers'!S16*DailyspreadN2O)+('Mitigation drivers'!S17*CompostN2O)+('Mitigation drivers'!S18*ManwithbedN2O)+('Mitigation drivers'!S19*PMwithoutlitterN2O)+('Mitigation drivers'!S20*PMwithlitterN2O)+('Mitigation drivers'!S22*DigesterN2OEF))/100</f>
        <v>5.0000000000000001E-4</v>
      </c>
      <c r="Y54" s="26">
        <f>(('Mitigation drivers'!T12*LagoonN2O)+('Mitigation drivers'!T13*LiquidN2O)+('Mitigation drivers'!T14*DrylotN2O)+('Mitigation drivers'!T15*SolidStorageN2O)+('Mitigation drivers'!T16*DailyspreadN2O)+('Mitigation drivers'!T17*CompostN2O)+('Mitigation drivers'!T18*ManwithbedN2O)+('Mitigation drivers'!T19*PMwithoutlitterN2O)+('Mitigation drivers'!T20*PMwithlitterN2O)+('Mitigation drivers'!T22*DigesterN2OEF))/100</f>
        <v>5.0000000000000001E-4</v>
      </c>
      <c r="Z54" s="26">
        <f>(('Mitigation drivers'!U12*LagoonN2O)+('Mitigation drivers'!U13*LiquidN2O)+('Mitigation drivers'!U14*DrylotN2O)+('Mitigation drivers'!U15*SolidStorageN2O)+('Mitigation drivers'!U16*DailyspreadN2O)+('Mitigation drivers'!U17*CompostN2O)+('Mitigation drivers'!U18*ManwithbedN2O)+('Mitigation drivers'!U19*PMwithoutlitterN2O)+('Mitigation drivers'!U20*PMwithlitterN2O)+('Mitigation drivers'!U22*DigesterN2OEF))/100</f>
        <v>5.0000000000000001E-4</v>
      </c>
      <c r="AA54" s="26">
        <f>(('Mitigation drivers'!V12*LagoonN2O)+('Mitigation drivers'!V13*LiquidN2O)+('Mitigation drivers'!V14*DrylotN2O)+('Mitigation drivers'!V15*SolidStorageN2O)+('Mitigation drivers'!V16*DailyspreadN2O)+('Mitigation drivers'!V17*CompostN2O)+('Mitigation drivers'!V18*ManwithbedN2O)+('Mitigation drivers'!V19*PMwithoutlitterN2O)+('Mitigation drivers'!V20*PMwithlitterN2O)+('Mitigation drivers'!V22*DigesterN2OEF))/100</f>
        <v>5.0000000000000001E-4</v>
      </c>
      <c r="AB54" s="26">
        <f>(('Mitigation drivers'!W12*LagoonN2O)+('Mitigation drivers'!W13*LiquidN2O)+('Mitigation drivers'!W14*DrylotN2O)+('Mitigation drivers'!W15*SolidStorageN2O)+('Mitigation drivers'!W16*DailyspreadN2O)+('Mitigation drivers'!W17*CompostN2O)+('Mitigation drivers'!W18*ManwithbedN2O)+('Mitigation drivers'!W19*PMwithoutlitterN2O)+('Mitigation drivers'!W20*PMwithlitterN2O)+('Mitigation drivers'!W22*DigesterN2OEF))/100</f>
        <v>5.0000000000000001E-4</v>
      </c>
      <c r="AC54" s="26">
        <f>(('Mitigation drivers'!X12*LagoonN2O)+('Mitigation drivers'!X13*LiquidN2O)+('Mitigation drivers'!X14*DrylotN2O)+('Mitigation drivers'!X15*SolidStorageN2O)+('Mitigation drivers'!X16*DailyspreadN2O)+('Mitigation drivers'!X17*CompostN2O)+('Mitigation drivers'!X18*ManwithbedN2O)+('Mitigation drivers'!X19*PMwithoutlitterN2O)+('Mitigation drivers'!X20*PMwithlitterN2O)+('Mitigation drivers'!X22*DigesterN2OEF))/100</f>
        <v>5.0000000000000001E-4</v>
      </c>
      <c r="AD54" s="26">
        <f>(('Mitigation drivers'!Y12*LagoonN2O)+('Mitigation drivers'!Y13*LiquidN2O)+('Mitigation drivers'!Y14*DrylotN2O)+('Mitigation drivers'!Y15*SolidStorageN2O)+('Mitigation drivers'!Y16*DailyspreadN2O)+('Mitigation drivers'!Y17*CompostN2O)+('Mitigation drivers'!Y18*ManwithbedN2O)+('Mitigation drivers'!Y19*PMwithoutlitterN2O)+('Mitigation drivers'!Y20*PMwithlitterN2O)+('Mitigation drivers'!Y22*DigesterN2OEF))/100</f>
        <v>5.0000000000000001E-4</v>
      </c>
      <c r="AE54" s="26">
        <f>(('Mitigation drivers'!Z12*LagoonN2O)+('Mitigation drivers'!Z13*LiquidN2O)+('Mitigation drivers'!Z14*DrylotN2O)+('Mitigation drivers'!Z15*SolidStorageN2O)+('Mitigation drivers'!Z16*DailyspreadN2O)+('Mitigation drivers'!Z17*CompostN2O)+('Mitigation drivers'!Z18*ManwithbedN2O)+('Mitigation drivers'!Z19*PMwithoutlitterN2O)+('Mitigation drivers'!Z20*PMwithlitterN2O)+('Mitigation drivers'!Z22*DigesterN2OEF))/100</f>
        <v>5.0000000000000001E-4</v>
      </c>
      <c r="AF54" s="26">
        <f>(('Mitigation drivers'!AA12*LagoonN2O)+('Mitigation drivers'!AA13*LiquidN2O)+('Mitigation drivers'!AA14*DrylotN2O)+('Mitigation drivers'!AA15*SolidStorageN2O)+('Mitigation drivers'!AA16*DailyspreadN2O)+('Mitigation drivers'!AA17*CompostN2O)+('Mitigation drivers'!AA18*ManwithbedN2O)+('Mitigation drivers'!AA19*PMwithoutlitterN2O)+('Mitigation drivers'!AA20*PMwithlitterN2O)+('Mitigation drivers'!AA22*DigesterN2OEF))/100</f>
        <v>5.0000000000000001E-4</v>
      </c>
      <c r="AG54" s="26">
        <f>(('Mitigation drivers'!AB12*LagoonN2O)+('Mitigation drivers'!AB13*LiquidN2O)+('Mitigation drivers'!AB14*DrylotN2O)+('Mitigation drivers'!AB15*SolidStorageN2O)+('Mitigation drivers'!AB16*DailyspreadN2O)+('Mitigation drivers'!AB17*CompostN2O)+('Mitigation drivers'!AB18*ManwithbedN2O)+('Mitigation drivers'!AB19*PMwithoutlitterN2O)+('Mitigation drivers'!AB20*PMwithlitterN2O)+('Mitigation drivers'!AB22*DigesterN2OEF))/100</f>
        <v>5.0000000000000001E-4</v>
      </c>
      <c r="AH54" s="26">
        <f>(('Mitigation drivers'!AC12*LagoonN2O)+('Mitigation drivers'!AC13*LiquidN2O)+('Mitigation drivers'!AC14*DrylotN2O)+('Mitigation drivers'!AC15*SolidStorageN2O)+('Mitigation drivers'!AC16*DailyspreadN2O)+('Mitigation drivers'!AC17*CompostN2O)+('Mitigation drivers'!AC18*ManwithbedN2O)+('Mitigation drivers'!AC19*PMwithoutlitterN2O)+('Mitigation drivers'!AC20*PMwithlitterN2O)+('Mitigation drivers'!AC22*DigesterN2OEF))/100</f>
        <v>5.0000000000000001E-4</v>
      </c>
      <c r="AI54" s="26">
        <f>(('Mitigation drivers'!AD12*LagoonN2O)+('Mitigation drivers'!AD13*LiquidN2O)+('Mitigation drivers'!AD14*DrylotN2O)+('Mitigation drivers'!AD15*SolidStorageN2O)+('Mitigation drivers'!AD16*DailyspreadN2O)+('Mitigation drivers'!AD17*CompostN2O)+('Mitigation drivers'!AD18*ManwithbedN2O)+('Mitigation drivers'!AD19*PMwithoutlitterN2O)+('Mitigation drivers'!AD20*PMwithlitterN2O)+('Mitigation drivers'!AD22*DigesterN2OEF))/100</f>
        <v>5.0000000000000001E-4</v>
      </c>
      <c r="AJ54" s="26">
        <f>(('Mitigation drivers'!AE12*LagoonN2O)+('Mitigation drivers'!AE13*LiquidN2O)+('Mitigation drivers'!AE14*DrylotN2O)+('Mitigation drivers'!AE15*SolidStorageN2O)+('Mitigation drivers'!AE16*DailyspreadN2O)+('Mitigation drivers'!AE17*CompostN2O)+('Mitigation drivers'!AE18*ManwithbedN2O)+('Mitigation drivers'!AE19*PMwithoutlitterN2O)+('Mitigation drivers'!AE20*PMwithlitterN2O)+('Mitigation drivers'!AE22*DigesterN2OEF))/100</f>
        <v>5.0000000000000001E-4</v>
      </c>
      <c r="AK54" s="26">
        <f>(('Mitigation drivers'!AF12*LagoonN2O)+('Mitigation drivers'!AF13*LiquidN2O)+('Mitigation drivers'!AF14*DrylotN2O)+('Mitigation drivers'!AF15*SolidStorageN2O)+('Mitigation drivers'!AF16*DailyspreadN2O)+('Mitigation drivers'!AF17*CompostN2O)+('Mitigation drivers'!AF18*ManwithbedN2O)+('Mitigation drivers'!AF19*PMwithoutlitterN2O)+('Mitigation drivers'!AF20*PMwithlitterN2O)+('Mitigation drivers'!AF22*DigesterN2OEF))/100</f>
        <v>5.0000000000000001E-4</v>
      </c>
      <c r="AL54" s="26">
        <f>(('Mitigation drivers'!AG12*LagoonN2O)+('Mitigation drivers'!AG13*LiquidN2O)+('Mitigation drivers'!AG14*DrylotN2O)+('Mitigation drivers'!AG15*SolidStorageN2O)+('Mitigation drivers'!AG16*DailyspreadN2O)+('Mitigation drivers'!AG17*CompostN2O)+('Mitigation drivers'!AG18*ManwithbedN2O)+('Mitigation drivers'!AG19*PMwithoutlitterN2O)+('Mitigation drivers'!AG20*PMwithlitterN2O)+('Mitigation drivers'!AG22*DigesterN2OEF))/100</f>
        <v>5.0000000000000001E-4</v>
      </c>
      <c r="AM54" s="26">
        <f>(('Mitigation drivers'!AH12*LagoonN2O)+('Mitigation drivers'!AH13*LiquidN2O)+('Mitigation drivers'!AH14*DrylotN2O)+('Mitigation drivers'!AH15*SolidStorageN2O)+('Mitigation drivers'!AH16*DailyspreadN2O)+('Mitigation drivers'!AH17*CompostN2O)+('Mitigation drivers'!AH18*ManwithbedN2O)+('Mitigation drivers'!AH19*PMwithoutlitterN2O)+('Mitigation drivers'!AH20*PMwithlitterN2O)+('Mitigation drivers'!AH22*DigesterN2OEF))/100</f>
        <v>5.0000000000000001E-4</v>
      </c>
      <c r="AN54" s="26">
        <f>(('Mitigation drivers'!AI12*LagoonN2O)+('Mitigation drivers'!AI13*LiquidN2O)+('Mitigation drivers'!AI14*DrylotN2O)+('Mitigation drivers'!AI15*SolidStorageN2O)+('Mitigation drivers'!AI16*DailyspreadN2O)+('Mitigation drivers'!AI17*CompostN2O)+('Mitigation drivers'!AI18*ManwithbedN2O)+('Mitigation drivers'!AI19*PMwithoutlitterN2O)+('Mitigation drivers'!AI20*PMwithlitterN2O)+('Mitigation drivers'!AI22*DigesterN2OEF))/100</f>
        <v>5.0000000000000001E-4</v>
      </c>
      <c r="AO54" s="26">
        <f>(('Mitigation drivers'!AJ12*LagoonN2O)+('Mitigation drivers'!AJ13*LiquidN2O)+('Mitigation drivers'!AJ14*DrylotN2O)+('Mitigation drivers'!AJ15*SolidStorageN2O)+('Mitigation drivers'!AJ16*DailyspreadN2O)+('Mitigation drivers'!AJ17*CompostN2O)+('Mitigation drivers'!AJ18*ManwithbedN2O)+('Mitigation drivers'!AJ19*PMwithoutlitterN2O)+('Mitigation drivers'!AJ20*PMwithlitterN2O)+('Mitigation drivers'!AJ22*DigesterN2OEF))/100</f>
        <v>5.0000000000000001E-4</v>
      </c>
    </row>
    <row r="55" spans="1:41" x14ac:dyDescent="0.25">
      <c r="A55" t="str">
        <f t="shared" si="1"/>
        <v>3A Livestock</v>
      </c>
      <c r="B55" t="str">
        <f t="shared" si="8"/>
        <v>3A2 Manure management (N2O)</v>
      </c>
      <c r="C55" t="str">
        <f>'Activity data'!C6</f>
        <v>3A1ai Dairy cattle</v>
      </c>
      <c r="D55" t="str">
        <f>'Activity data'!D6</f>
        <v>Pasture</v>
      </c>
      <c r="E55" t="str">
        <f t="shared" si="6"/>
        <v>Manure management EF</v>
      </c>
      <c r="F55" t="str">
        <f>F54</f>
        <v>N2O</v>
      </c>
      <c r="G55" t="str">
        <f>G54</f>
        <v>kg N2O-N/kg Nex</v>
      </c>
      <c r="H55" s="26">
        <f>(('Mitigation drivers'!C24*LagoonN2O)+('Mitigation drivers'!C25*LiquidN2O)+('Mitigation drivers'!C26*DrylotN2O)+('Mitigation drivers'!C27*SolidStorageN2O)+('Mitigation drivers'!C28*DailyspreadN2O)+('Mitigation drivers'!C29*CompostN2O)+('Mitigation drivers'!C30*ManwithbedN2O)+('Mitigation drivers'!C31*PMwithoutlitterN2O)+('Mitigation drivers'!C32*PMwithlitterN2O)+('Mitigation drivers'!C34*DigesterN2OEF))/100</f>
        <v>2.9000000000000002E-3</v>
      </c>
      <c r="I55" s="26">
        <f>(('Mitigation drivers'!D24*LagoonN2O)+('Mitigation drivers'!D25*LiquidN2O)+('Mitigation drivers'!D26*DrylotN2O)+('Mitigation drivers'!D27*SolidStorageN2O)+('Mitigation drivers'!D28*DailyspreadN2O)+('Mitigation drivers'!D29*CompostN2O)+('Mitigation drivers'!D30*ManwithbedN2O)+('Mitigation drivers'!D31*PMwithoutlitterN2O)+('Mitigation drivers'!D32*PMwithlitterN2O)+('Mitigation drivers'!D34*DigesterN2OEF))/100</f>
        <v>2.9000000000000002E-3</v>
      </c>
      <c r="J55" s="26">
        <f>(('Mitigation drivers'!E24*LagoonN2O)+('Mitigation drivers'!E25*LiquidN2O)+('Mitigation drivers'!E26*DrylotN2O)+('Mitigation drivers'!E27*SolidStorageN2O)+('Mitigation drivers'!E28*DailyspreadN2O)+('Mitigation drivers'!E29*CompostN2O)+('Mitigation drivers'!E30*ManwithbedN2O)+('Mitigation drivers'!E31*PMwithoutlitterN2O)+('Mitigation drivers'!E32*PMwithlitterN2O)+('Mitigation drivers'!E34*DigesterN2OEF))/100</f>
        <v>2.9000000000000002E-3</v>
      </c>
      <c r="K55" s="26">
        <f>(('Mitigation drivers'!F24*LagoonN2O)+('Mitigation drivers'!F25*LiquidN2O)+('Mitigation drivers'!F26*DrylotN2O)+('Mitigation drivers'!F27*SolidStorageN2O)+('Mitigation drivers'!F28*DailyspreadN2O)+('Mitigation drivers'!F29*CompostN2O)+('Mitigation drivers'!F30*ManwithbedN2O)+('Mitigation drivers'!F31*PMwithoutlitterN2O)+('Mitigation drivers'!F32*PMwithlitterN2O)+('Mitigation drivers'!F34*DigesterN2OEF))/100</f>
        <v>2.9000000000000002E-3</v>
      </c>
      <c r="L55" s="26">
        <f>(('Mitigation drivers'!G24*LagoonN2O)+('Mitigation drivers'!G25*LiquidN2O)+('Mitigation drivers'!G26*DrylotN2O)+('Mitigation drivers'!G27*SolidStorageN2O)+('Mitigation drivers'!G28*DailyspreadN2O)+('Mitigation drivers'!G29*CompostN2O)+('Mitigation drivers'!G30*ManwithbedN2O)+('Mitigation drivers'!G31*PMwithoutlitterN2O)+('Mitigation drivers'!G32*PMwithlitterN2O)+('Mitigation drivers'!G34*DigesterN2OEF))/100</f>
        <v>2.9000000000000002E-3</v>
      </c>
      <c r="M55" s="26">
        <f>(('Mitigation drivers'!H24*LagoonN2O)+('Mitigation drivers'!H25*LiquidN2O)+('Mitigation drivers'!H26*DrylotN2O)+('Mitigation drivers'!H27*SolidStorageN2O)+('Mitigation drivers'!H28*DailyspreadN2O)+('Mitigation drivers'!H29*CompostN2O)+('Mitigation drivers'!H30*ManwithbedN2O)+('Mitigation drivers'!H31*PMwithoutlitterN2O)+('Mitigation drivers'!H32*PMwithlitterN2O)+('Mitigation drivers'!H34*DigesterN2OEF))/100</f>
        <v>2.9000000000000002E-3</v>
      </c>
      <c r="N55" s="26">
        <f>(('Mitigation drivers'!I24*LagoonN2O)+('Mitigation drivers'!I25*LiquidN2O)+('Mitigation drivers'!I26*DrylotN2O)+('Mitigation drivers'!I27*SolidStorageN2O)+('Mitigation drivers'!I28*DailyspreadN2O)+('Mitigation drivers'!I29*CompostN2O)+('Mitigation drivers'!I30*ManwithbedN2O)+('Mitigation drivers'!I31*PMwithoutlitterN2O)+('Mitigation drivers'!I32*PMwithlitterN2O)+('Mitigation drivers'!I34*DigesterN2OEF))/100</f>
        <v>2.9000000000000002E-3</v>
      </c>
      <c r="O55" s="26">
        <f>(('Mitigation drivers'!J24*LagoonN2O)+('Mitigation drivers'!J25*LiquidN2O)+('Mitigation drivers'!J26*DrylotN2O)+('Mitigation drivers'!J27*SolidStorageN2O)+('Mitigation drivers'!J28*DailyspreadN2O)+('Mitigation drivers'!J29*CompostN2O)+('Mitigation drivers'!J30*ManwithbedN2O)+('Mitigation drivers'!J31*PMwithoutlitterN2O)+('Mitigation drivers'!J32*PMwithlitterN2O)+('Mitigation drivers'!J34*DigesterN2OEF))/100</f>
        <v>2.9000000000000002E-3</v>
      </c>
      <c r="P55" s="26">
        <f>(('Mitigation drivers'!K24*LagoonN2O)+('Mitigation drivers'!K25*LiquidN2O)+('Mitigation drivers'!K26*DrylotN2O)+('Mitigation drivers'!K27*SolidStorageN2O)+('Mitigation drivers'!K28*DailyspreadN2O)+('Mitigation drivers'!K29*CompostN2O)+('Mitigation drivers'!K30*ManwithbedN2O)+('Mitigation drivers'!K31*PMwithoutlitterN2O)+('Mitigation drivers'!K32*PMwithlitterN2O)+('Mitigation drivers'!K34*DigesterN2OEF))/100</f>
        <v>2.9000000000000002E-3</v>
      </c>
      <c r="Q55" s="26">
        <f>(('Mitigation drivers'!L24*LagoonN2O)+('Mitigation drivers'!L25*LiquidN2O)+('Mitigation drivers'!L26*DrylotN2O)+('Mitigation drivers'!L27*SolidStorageN2O)+('Mitigation drivers'!L28*DailyspreadN2O)+('Mitigation drivers'!L29*CompostN2O)+('Mitigation drivers'!L30*ManwithbedN2O)+('Mitigation drivers'!L31*PMwithoutlitterN2O)+('Mitigation drivers'!L32*PMwithlitterN2O)+('Mitigation drivers'!L34*DigesterN2OEF))/100</f>
        <v>2.9000000000000002E-3</v>
      </c>
      <c r="R55" s="26">
        <f>(('Mitigation drivers'!M24*LagoonN2O)+('Mitigation drivers'!M25*LiquidN2O)+('Mitigation drivers'!M26*DrylotN2O)+('Mitigation drivers'!M27*SolidStorageN2O)+('Mitigation drivers'!M28*DailyspreadN2O)+('Mitigation drivers'!M29*CompostN2O)+('Mitigation drivers'!M30*ManwithbedN2O)+('Mitigation drivers'!M31*PMwithoutlitterN2O)+('Mitigation drivers'!M32*PMwithlitterN2O)+('Mitigation drivers'!M34*DigesterN2OEF))/100</f>
        <v>2.9000000000000002E-3</v>
      </c>
      <c r="S55" s="26">
        <f>(('Mitigation drivers'!N24*LagoonN2O)+('Mitigation drivers'!N25*LiquidN2O)+('Mitigation drivers'!N26*DrylotN2O)+('Mitigation drivers'!N27*SolidStorageN2O)+('Mitigation drivers'!N28*DailyspreadN2O)+('Mitigation drivers'!N29*CompostN2O)+('Mitigation drivers'!N30*ManwithbedN2O)+('Mitigation drivers'!N31*PMwithoutlitterN2O)+('Mitigation drivers'!N32*PMwithlitterN2O)+('Mitigation drivers'!N34*DigesterN2OEF))/100</f>
        <v>2.9000000000000002E-3</v>
      </c>
      <c r="T55" s="26">
        <f>(('Mitigation drivers'!O24*LagoonN2O)+('Mitigation drivers'!O25*LiquidN2O)+('Mitigation drivers'!O26*DrylotN2O)+('Mitigation drivers'!O27*SolidStorageN2O)+('Mitigation drivers'!O28*DailyspreadN2O)+('Mitigation drivers'!O29*CompostN2O)+('Mitigation drivers'!O30*ManwithbedN2O)+('Mitigation drivers'!O31*PMwithoutlitterN2O)+('Mitigation drivers'!O32*PMwithlitterN2O)+('Mitigation drivers'!O34*DigesterN2OEF))/100</f>
        <v>2.9000000000000002E-3</v>
      </c>
      <c r="U55" s="26">
        <f>(('Mitigation drivers'!P24*LagoonN2O)+('Mitigation drivers'!P25*LiquidN2O)+('Mitigation drivers'!P26*DrylotN2O)+('Mitigation drivers'!P27*SolidStorageN2O)+('Mitigation drivers'!P28*DailyspreadN2O)+('Mitigation drivers'!P29*CompostN2O)+('Mitigation drivers'!P30*ManwithbedN2O)+('Mitigation drivers'!P31*PMwithoutlitterN2O)+('Mitigation drivers'!P32*PMwithlitterN2O)+('Mitigation drivers'!P34*DigesterN2OEF))/100</f>
        <v>2.9000000000000002E-3</v>
      </c>
      <c r="V55" s="26">
        <f>(('Mitigation drivers'!Q24*LagoonN2O)+('Mitigation drivers'!Q25*LiquidN2O)+('Mitigation drivers'!Q26*DrylotN2O)+('Mitigation drivers'!Q27*SolidStorageN2O)+('Mitigation drivers'!Q28*DailyspreadN2O)+('Mitigation drivers'!Q29*CompostN2O)+('Mitigation drivers'!Q30*ManwithbedN2O)+('Mitigation drivers'!Q31*PMwithoutlitterN2O)+('Mitigation drivers'!Q32*PMwithlitterN2O)+('Mitigation drivers'!Q34*DigesterN2OEF))/100</f>
        <v>2.9000000000000002E-3</v>
      </c>
      <c r="W55" s="26">
        <f>(('Mitigation drivers'!R24*LagoonN2O)+('Mitigation drivers'!R25*LiquidN2O)+('Mitigation drivers'!R26*DrylotN2O)+('Mitigation drivers'!R27*SolidStorageN2O)+('Mitigation drivers'!R28*DailyspreadN2O)+('Mitigation drivers'!R29*CompostN2O)+('Mitigation drivers'!R30*ManwithbedN2O)+('Mitigation drivers'!R31*PMwithoutlitterN2O)+('Mitigation drivers'!R32*PMwithlitterN2O)+('Mitigation drivers'!R34*DigesterN2OEF))/100</f>
        <v>2.9000000000000002E-3</v>
      </c>
      <c r="X55" s="26">
        <f>(('Mitigation drivers'!S24*LagoonN2O)+('Mitigation drivers'!S25*LiquidN2O)+('Mitigation drivers'!S26*DrylotN2O)+('Mitigation drivers'!S27*SolidStorageN2O)+('Mitigation drivers'!S28*DailyspreadN2O)+('Mitigation drivers'!S29*CompostN2O)+('Mitigation drivers'!S30*ManwithbedN2O)+('Mitigation drivers'!S31*PMwithoutlitterN2O)+('Mitigation drivers'!S32*PMwithlitterN2O)+('Mitigation drivers'!S34*DigesterN2OEF))/100</f>
        <v>2.9000000000000002E-3</v>
      </c>
      <c r="Y55" s="26">
        <f>(('Mitigation drivers'!T24*LagoonN2O)+('Mitigation drivers'!T25*LiquidN2O)+('Mitigation drivers'!T26*DrylotN2O)+('Mitigation drivers'!T27*SolidStorageN2O)+('Mitigation drivers'!T28*DailyspreadN2O)+('Mitigation drivers'!T29*CompostN2O)+('Mitigation drivers'!T30*ManwithbedN2O)+('Mitigation drivers'!T31*PMwithoutlitterN2O)+('Mitigation drivers'!T32*PMwithlitterN2O)+('Mitigation drivers'!T34*DigesterN2OEF))/100</f>
        <v>2.9000000000000002E-3</v>
      </c>
      <c r="Z55" s="26">
        <f>(('Mitigation drivers'!U24*LagoonN2O)+('Mitigation drivers'!U25*LiquidN2O)+('Mitigation drivers'!U26*DrylotN2O)+('Mitigation drivers'!U27*SolidStorageN2O)+('Mitigation drivers'!U28*DailyspreadN2O)+('Mitigation drivers'!U29*CompostN2O)+('Mitigation drivers'!U30*ManwithbedN2O)+('Mitigation drivers'!U31*PMwithoutlitterN2O)+('Mitigation drivers'!U32*PMwithlitterN2O)+('Mitigation drivers'!U34*DigesterN2OEF))/100</f>
        <v>2.9000000000000002E-3</v>
      </c>
      <c r="AA55" s="26">
        <f>(('Mitigation drivers'!V24*LagoonN2O)+('Mitigation drivers'!V25*LiquidN2O)+('Mitigation drivers'!V26*DrylotN2O)+('Mitigation drivers'!V27*SolidStorageN2O)+('Mitigation drivers'!V28*DailyspreadN2O)+('Mitigation drivers'!V29*CompostN2O)+('Mitigation drivers'!V30*ManwithbedN2O)+('Mitigation drivers'!V31*PMwithoutlitterN2O)+('Mitigation drivers'!V32*PMwithlitterN2O)+('Mitigation drivers'!V34*DigesterN2OEF))/100</f>
        <v>2.9000000000000002E-3</v>
      </c>
      <c r="AB55" s="26">
        <f>(('Mitigation drivers'!W24*LagoonN2O)+('Mitigation drivers'!W25*LiquidN2O)+('Mitigation drivers'!W26*DrylotN2O)+('Mitigation drivers'!W27*SolidStorageN2O)+('Mitigation drivers'!W28*DailyspreadN2O)+('Mitigation drivers'!W29*CompostN2O)+('Mitigation drivers'!W30*ManwithbedN2O)+('Mitigation drivers'!W31*PMwithoutlitterN2O)+('Mitigation drivers'!W32*PMwithlitterN2O)+('Mitigation drivers'!W34*DigesterN2OEF))/100</f>
        <v>2.9000000000000002E-3</v>
      </c>
      <c r="AC55" s="26">
        <f>(('Mitigation drivers'!X24*LagoonN2O)+('Mitigation drivers'!X25*LiquidN2O)+('Mitigation drivers'!X26*DrylotN2O)+('Mitigation drivers'!X27*SolidStorageN2O)+('Mitigation drivers'!X28*DailyspreadN2O)+('Mitigation drivers'!X29*CompostN2O)+('Mitigation drivers'!X30*ManwithbedN2O)+('Mitigation drivers'!X31*PMwithoutlitterN2O)+('Mitigation drivers'!X32*PMwithlitterN2O)+('Mitigation drivers'!X34*DigesterN2OEF))/100</f>
        <v>2.9000000000000002E-3</v>
      </c>
      <c r="AD55" s="26">
        <f>(('Mitigation drivers'!Y24*LagoonN2O)+('Mitigation drivers'!Y25*LiquidN2O)+('Mitigation drivers'!Y26*DrylotN2O)+('Mitigation drivers'!Y27*SolidStorageN2O)+('Mitigation drivers'!Y28*DailyspreadN2O)+('Mitigation drivers'!Y29*CompostN2O)+('Mitigation drivers'!Y30*ManwithbedN2O)+('Mitigation drivers'!Y31*PMwithoutlitterN2O)+('Mitigation drivers'!Y32*PMwithlitterN2O)+('Mitigation drivers'!Y34*DigesterN2OEF))/100</f>
        <v>2.9000000000000002E-3</v>
      </c>
      <c r="AE55" s="26">
        <f>(('Mitigation drivers'!Z24*LagoonN2O)+('Mitigation drivers'!Z25*LiquidN2O)+('Mitigation drivers'!Z26*DrylotN2O)+('Mitigation drivers'!Z27*SolidStorageN2O)+('Mitigation drivers'!Z28*DailyspreadN2O)+('Mitigation drivers'!Z29*CompostN2O)+('Mitigation drivers'!Z30*ManwithbedN2O)+('Mitigation drivers'!Z31*PMwithoutlitterN2O)+('Mitigation drivers'!Z32*PMwithlitterN2O)+('Mitigation drivers'!Z34*DigesterN2OEF))/100</f>
        <v>2.9000000000000002E-3</v>
      </c>
      <c r="AF55" s="26">
        <f>(('Mitigation drivers'!AA24*LagoonN2O)+('Mitigation drivers'!AA25*LiquidN2O)+('Mitigation drivers'!AA26*DrylotN2O)+('Mitigation drivers'!AA27*SolidStorageN2O)+('Mitigation drivers'!AA28*DailyspreadN2O)+('Mitigation drivers'!AA29*CompostN2O)+('Mitigation drivers'!AA30*ManwithbedN2O)+('Mitigation drivers'!AA31*PMwithoutlitterN2O)+('Mitigation drivers'!AA32*PMwithlitterN2O)+('Mitigation drivers'!AA34*DigesterN2OEF))/100</f>
        <v>2.9000000000000002E-3</v>
      </c>
      <c r="AG55" s="26">
        <f>(('Mitigation drivers'!AB24*LagoonN2O)+('Mitigation drivers'!AB25*LiquidN2O)+('Mitigation drivers'!AB26*DrylotN2O)+('Mitigation drivers'!AB27*SolidStorageN2O)+('Mitigation drivers'!AB28*DailyspreadN2O)+('Mitigation drivers'!AB29*CompostN2O)+('Mitigation drivers'!AB30*ManwithbedN2O)+('Mitigation drivers'!AB31*PMwithoutlitterN2O)+('Mitigation drivers'!AB32*PMwithlitterN2O)+('Mitigation drivers'!AB34*DigesterN2OEF))/100</f>
        <v>2.9000000000000002E-3</v>
      </c>
      <c r="AH55" s="26">
        <f>(('Mitigation drivers'!AC24*LagoonN2O)+('Mitigation drivers'!AC25*LiquidN2O)+('Mitigation drivers'!AC26*DrylotN2O)+('Mitigation drivers'!AC27*SolidStorageN2O)+('Mitigation drivers'!AC28*DailyspreadN2O)+('Mitigation drivers'!AC29*CompostN2O)+('Mitigation drivers'!AC30*ManwithbedN2O)+('Mitigation drivers'!AC31*PMwithoutlitterN2O)+('Mitigation drivers'!AC32*PMwithlitterN2O)+('Mitigation drivers'!AC34*DigesterN2OEF))/100</f>
        <v>2.9000000000000002E-3</v>
      </c>
      <c r="AI55" s="26">
        <f>(('Mitigation drivers'!AD24*LagoonN2O)+('Mitigation drivers'!AD25*LiquidN2O)+('Mitigation drivers'!AD26*DrylotN2O)+('Mitigation drivers'!AD27*SolidStorageN2O)+('Mitigation drivers'!AD28*DailyspreadN2O)+('Mitigation drivers'!AD29*CompostN2O)+('Mitigation drivers'!AD30*ManwithbedN2O)+('Mitigation drivers'!AD31*PMwithoutlitterN2O)+('Mitigation drivers'!AD32*PMwithlitterN2O)+('Mitigation drivers'!AD34*DigesterN2OEF))/100</f>
        <v>2.9000000000000002E-3</v>
      </c>
      <c r="AJ55" s="26">
        <f>(('Mitigation drivers'!AE24*LagoonN2O)+('Mitigation drivers'!AE25*LiquidN2O)+('Mitigation drivers'!AE26*DrylotN2O)+('Mitigation drivers'!AE27*SolidStorageN2O)+('Mitigation drivers'!AE28*DailyspreadN2O)+('Mitigation drivers'!AE29*CompostN2O)+('Mitigation drivers'!AE30*ManwithbedN2O)+('Mitigation drivers'!AE31*PMwithoutlitterN2O)+('Mitigation drivers'!AE32*PMwithlitterN2O)+('Mitigation drivers'!AE34*DigesterN2OEF))/100</f>
        <v>2.9000000000000002E-3</v>
      </c>
      <c r="AK55" s="26">
        <f>(('Mitigation drivers'!AF24*LagoonN2O)+('Mitigation drivers'!AF25*LiquidN2O)+('Mitigation drivers'!AF26*DrylotN2O)+('Mitigation drivers'!AF27*SolidStorageN2O)+('Mitigation drivers'!AF28*DailyspreadN2O)+('Mitigation drivers'!AF29*CompostN2O)+('Mitigation drivers'!AF30*ManwithbedN2O)+('Mitigation drivers'!AF31*PMwithoutlitterN2O)+('Mitigation drivers'!AF32*PMwithlitterN2O)+('Mitigation drivers'!AF34*DigesterN2OEF))/100</f>
        <v>2.9000000000000002E-3</v>
      </c>
      <c r="AL55" s="26">
        <f>(('Mitigation drivers'!AG24*LagoonN2O)+('Mitigation drivers'!AG25*LiquidN2O)+('Mitigation drivers'!AG26*DrylotN2O)+('Mitigation drivers'!AG27*SolidStorageN2O)+('Mitigation drivers'!AG28*DailyspreadN2O)+('Mitigation drivers'!AG29*CompostN2O)+('Mitigation drivers'!AG30*ManwithbedN2O)+('Mitigation drivers'!AG31*PMwithoutlitterN2O)+('Mitigation drivers'!AG32*PMwithlitterN2O)+('Mitigation drivers'!AG34*DigesterN2OEF))/100</f>
        <v>2.9000000000000002E-3</v>
      </c>
      <c r="AM55" s="26">
        <f>(('Mitigation drivers'!AH24*LagoonN2O)+('Mitigation drivers'!AH25*LiquidN2O)+('Mitigation drivers'!AH26*DrylotN2O)+('Mitigation drivers'!AH27*SolidStorageN2O)+('Mitigation drivers'!AH28*DailyspreadN2O)+('Mitigation drivers'!AH29*CompostN2O)+('Mitigation drivers'!AH30*ManwithbedN2O)+('Mitigation drivers'!AH31*PMwithoutlitterN2O)+('Mitigation drivers'!AH32*PMwithlitterN2O)+('Mitigation drivers'!AH34*DigesterN2OEF))/100</f>
        <v>2.9000000000000002E-3</v>
      </c>
      <c r="AN55" s="26">
        <f>(('Mitigation drivers'!AI24*LagoonN2O)+('Mitigation drivers'!AI25*LiquidN2O)+('Mitigation drivers'!AI26*DrylotN2O)+('Mitigation drivers'!AI27*SolidStorageN2O)+('Mitigation drivers'!AI28*DailyspreadN2O)+('Mitigation drivers'!AI29*CompostN2O)+('Mitigation drivers'!AI30*ManwithbedN2O)+('Mitigation drivers'!AI31*PMwithoutlitterN2O)+('Mitigation drivers'!AI32*PMwithlitterN2O)+('Mitigation drivers'!AI34*DigesterN2OEF))/100</f>
        <v>2.9000000000000002E-3</v>
      </c>
      <c r="AO55" s="26">
        <f>(('Mitigation drivers'!AJ24*LagoonN2O)+('Mitigation drivers'!AJ25*LiquidN2O)+('Mitigation drivers'!AJ26*DrylotN2O)+('Mitigation drivers'!AJ27*SolidStorageN2O)+('Mitigation drivers'!AJ28*DailyspreadN2O)+('Mitigation drivers'!AJ29*CompostN2O)+('Mitigation drivers'!AJ30*ManwithbedN2O)+('Mitigation drivers'!AJ31*PMwithoutlitterN2O)+('Mitigation drivers'!AJ32*PMwithlitterN2O)+('Mitigation drivers'!AJ34*DigesterN2OEF))/100</f>
        <v>2.9000000000000002E-3</v>
      </c>
    </row>
    <row r="56" spans="1:41" x14ac:dyDescent="0.25">
      <c r="A56" t="str">
        <f t="shared" si="1"/>
        <v>3A Livestock</v>
      </c>
      <c r="B56" t="str">
        <f t="shared" si="8"/>
        <v>3A2 Manure management (N2O)</v>
      </c>
      <c r="C56" t="str">
        <f>'Activity data'!C7</f>
        <v>3A1aii Other cattle</v>
      </c>
      <c r="D56" t="str">
        <f>'Activity data'!D7</f>
        <v>Non-lactating</v>
      </c>
      <c r="E56" t="str">
        <f t="shared" si="6"/>
        <v>Manure management EF</v>
      </c>
      <c r="F56" t="str">
        <f>F55</f>
        <v>N2O</v>
      </c>
      <c r="G56" t="str">
        <f>G55</f>
        <v>kg N2O-N/kg Nex</v>
      </c>
      <c r="H56" s="26">
        <f>(('Mitigation drivers'!C36*LagoonN2O)+('Mitigation drivers'!C37*LiquidN2O)+('Mitigation drivers'!C38*DrylotN2O)+('Mitigation drivers'!C39*SolidStorageN2O)+('Mitigation drivers'!C40*DailyspreadN2O)+('Mitigation drivers'!C41*CompostN2O)+('Mitigation drivers'!C42*ManwithbedN2O)+('Mitigation drivers'!C43*PMwithoutlitterN2O)+('Mitigation drivers'!C44*PMwithlitterN2O)+('Mitigation drivers'!C46*DigesterN2OEF))/100</f>
        <v>2.9999999999999997E-4</v>
      </c>
      <c r="I56" s="26">
        <f>(('Mitigation drivers'!D36*LagoonN2O)+('Mitigation drivers'!D37*LiquidN2O)+('Mitigation drivers'!D38*DrylotN2O)+('Mitigation drivers'!D39*SolidStorageN2O)+('Mitigation drivers'!D40*DailyspreadN2O)+('Mitigation drivers'!D41*CompostN2O)+('Mitigation drivers'!D42*ManwithbedN2O)+('Mitigation drivers'!D43*PMwithoutlitterN2O)+('Mitigation drivers'!D44*PMwithlitterN2O)+('Mitigation drivers'!D46*DigesterN2OEF))/100</f>
        <v>2.9999999999999997E-4</v>
      </c>
      <c r="J56" s="26">
        <f>(('Mitigation drivers'!E36*LagoonN2O)+('Mitigation drivers'!E37*LiquidN2O)+('Mitigation drivers'!E38*DrylotN2O)+('Mitigation drivers'!E39*SolidStorageN2O)+('Mitigation drivers'!E40*DailyspreadN2O)+('Mitigation drivers'!E41*CompostN2O)+('Mitigation drivers'!E42*ManwithbedN2O)+('Mitigation drivers'!E43*PMwithoutlitterN2O)+('Mitigation drivers'!E44*PMwithlitterN2O)+('Mitigation drivers'!E46*DigesterN2OEF))/100</f>
        <v>2.9999999999999997E-4</v>
      </c>
      <c r="K56" s="26">
        <f>(('Mitigation drivers'!F36*LagoonN2O)+('Mitigation drivers'!F37*LiquidN2O)+('Mitigation drivers'!F38*DrylotN2O)+('Mitigation drivers'!F39*SolidStorageN2O)+('Mitigation drivers'!F40*DailyspreadN2O)+('Mitigation drivers'!F41*CompostN2O)+('Mitigation drivers'!F42*ManwithbedN2O)+('Mitigation drivers'!F43*PMwithoutlitterN2O)+('Mitigation drivers'!F44*PMwithlitterN2O)+('Mitigation drivers'!F46*DigesterN2OEF))/100</f>
        <v>2.9999999999999997E-4</v>
      </c>
      <c r="L56" s="26">
        <f>(('Mitigation drivers'!G36*LagoonN2O)+('Mitigation drivers'!G37*LiquidN2O)+('Mitigation drivers'!G38*DrylotN2O)+('Mitigation drivers'!G39*SolidStorageN2O)+('Mitigation drivers'!G40*DailyspreadN2O)+('Mitigation drivers'!G41*CompostN2O)+('Mitigation drivers'!G42*ManwithbedN2O)+('Mitigation drivers'!G43*PMwithoutlitterN2O)+('Mitigation drivers'!G44*PMwithlitterN2O)+('Mitigation drivers'!G46*DigesterN2OEF))/100</f>
        <v>2.9999999999999997E-4</v>
      </c>
      <c r="M56" s="26">
        <f>(('Mitigation drivers'!H36*LagoonN2O)+('Mitigation drivers'!H37*LiquidN2O)+('Mitigation drivers'!H38*DrylotN2O)+('Mitigation drivers'!H39*SolidStorageN2O)+('Mitigation drivers'!H40*DailyspreadN2O)+('Mitigation drivers'!H41*CompostN2O)+('Mitigation drivers'!H42*ManwithbedN2O)+('Mitigation drivers'!H43*PMwithoutlitterN2O)+('Mitigation drivers'!H44*PMwithlitterN2O)+('Mitigation drivers'!H46*DigesterN2OEF))/100</f>
        <v>2.9999999999999997E-4</v>
      </c>
      <c r="N56" s="26">
        <f>(('Mitigation drivers'!I36*LagoonN2O)+('Mitigation drivers'!I37*LiquidN2O)+('Mitigation drivers'!I38*DrylotN2O)+('Mitigation drivers'!I39*SolidStorageN2O)+('Mitigation drivers'!I40*DailyspreadN2O)+('Mitigation drivers'!I41*CompostN2O)+('Mitigation drivers'!I42*ManwithbedN2O)+('Mitigation drivers'!I43*PMwithoutlitterN2O)+('Mitigation drivers'!I44*PMwithlitterN2O)+('Mitigation drivers'!I46*DigesterN2OEF))/100</f>
        <v>2.9999999999999997E-4</v>
      </c>
      <c r="O56" s="26">
        <f>(('Mitigation drivers'!J36*LagoonN2O)+('Mitigation drivers'!J37*LiquidN2O)+('Mitigation drivers'!J38*DrylotN2O)+('Mitigation drivers'!J39*SolidStorageN2O)+('Mitigation drivers'!J40*DailyspreadN2O)+('Mitigation drivers'!J41*CompostN2O)+('Mitigation drivers'!J42*ManwithbedN2O)+('Mitigation drivers'!J43*PMwithoutlitterN2O)+('Mitigation drivers'!J44*PMwithlitterN2O)+('Mitigation drivers'!J46*DigesterN2OEF))/100</f>
        <v>2.9999999999999997E-4</v>
      </c>
      <c r="P56" s="26">
        <f>(('Mitigation drivers'!K36*LagoonN2O)+('Mitigation drivers'!K37*LiquidN2O)+('Mitigation drivers'!K38*DrylotN2O)+('Mitigation drivers'!K39*SolidStorageN2O)+('Mitigation drivers'!K40*DailyspreadN2O)+('Mitigation drivers'!K41*CompostN2O)+('Mitigation drivers'!K42*ManwithbedN2O)+('Mitigation drivers'!K43*PMwithoutlitterN2O)+('Mitigation drivers'!K44*PMwithlitterN2O)+('Mitigation drivers'!K46*DigesterN2OEF))/100</f>
        <v>2.9999999999999997E-4</v>
      </c>
      <c r="Q56" s="26">
        <f>(('Mitigation drivers'!L36*LagoonN2O)+('Mitigation drivers'!L37*LiquidN2O)+('Mitigation drivers'!L38*DrylotN2O)+('Mitigation drivers'!L39*SolidStorageN2O)+('Mitigation drivers'!L40*DailyspreadN2O)+('Mitigation drivers'!L41*CompostN2O)+('Mitigation drivers'!L42*ManwithbedN2O)+('Mitigation drivers'!L43*PMwithoutlitterN2O)+('Mitigation drivers'!L44*PMwithlitterN2O)+('Mitigation drivers'!L46*DigesterN2OEF))/100</f>
        <v>2.9999999999999997E-4</v>
      </c>
      <c r="R56" s="26">
        <f>(('Mitigation drivers'!M36*LagoonN2O)+('Mitigation drivers'!M37*LiquidN2O)+('Mitigation drivers'!M38*DrylotN2O)+('Mitigation drivers'!M39*SolidStorageN2O)+('Mitigation drivers'!M40*DailyspreadN2O)+('Mitigation drivers'!M41*CompostN2O)+('Mitigation drivers'!M42*ManwithbedN2O)+('Mitigation drivers'!M43*PMwithoutlitterN2O)+('Mitigation drivers'!M44*PMwithlitterN2O)+('Mitigation drivers'!M46*DigesterN2OEF))/100</f>
        <v>2.9999999999999997E-4</v>
      </c>
      <c r="S56" s="26">
        <f>(('Mitigation drivers'!N36*LagoonN2O)+('Mitigation drivers'!N37*LiquidN2O)+('Mitigation drivers'!N38*DrylotN2O)+('Mitigation drivers'!N39*SolidStorageN2O)+('Mitigation drivers'!N40*DailyspreadN2O)+('Mitigation drivers'!N41*CompostN2O)+('Mitigation drivers'!N42*ManwithbedN2O)+('Mitigation drivers'!N43*PMwithoutlitterN2O)+('Mitigation drivers'!N44*PMwithlitterN2O)+('Mitigation drivers'!N46*DigesterN2OEF))/100</f>
        <v>2.9999999999999997E-4</v>
      </c>
      <c r="T56" s="26">
        <f>(('Mitigation drivers'!O36*LagoonN2O)+('Mitigation drivers'!O37*LiquidN2O)+('Mitigation drivers'!O38*DrylotN2O)+('Mitigation drivers'!O39*SolidStorageN2O)+('Mitigation drivers'!O40*DailyspreadN2O)+('Mitigation drivers'!O41*CompostN2O)+('Mitigation drivers'!O42*ManwithbedN2O)+('Mitigation drivers'!O43*PMwithoutlitterN2O)+('Mitigation drivers'!O44*PMwithlitterN2O)+('Mitigation drivers'!O46*DigesterN2OEF))/100</f>
        <v>2.9999999999999997E-4</v>
      </c>
      <c r="U56" s="26">
        <f>(('Mitigation drivers'!P36*LagoonN2O)+('Mitigation drivers'!P37*LiquidN2O)+('Mitigation drivers'!P38*DrylotN2O)+('Mitigation drivers'!P39*SolidStorageN2O)+('Mitigation drivers'!P40*DailyspreadN2O)+('Mitigation drivers'!P41*CompostN2O)+('Mitigation drivers'!P42*ManwithbedN2O)+('Mitigation drivers'!P43*PMwithoutlitterN2O)+('Mitigation drivers'!P44*PMwithlitterN2O)+('Mitigation drivers'!P46*DigesterN2OEF))/100</f>
        <v>2.9999999999999997E-4</v>
      </c>
      <c r="V56" s="26">
        <f>(('Mitigation drivers'!Q36*LagoonN2O)+('Mitigation drivers'!Q37*LiquidN2O)+('Mitigation drivers'!Q38*DrylotN2O)+('Mitigation drivers'!Q39*SolidStorageN2O)+('Mitigation drivers'!Q40*DailyspreadN2O)+('Mitigation drivers'!Q41*CompostN2O)+('Mitigation drivers'!Q42*ManwithbedN2O)+('Mitigation drivers'!Q43*PMwithoutlitterN2O)+('Mitigation drivers'!Q44*PMwithlitterN2O)+('Mitigation drivers'!Q46*DigesterN2OEF))/100</f>
        <v>2.9999999999999997E-4</v>
      </c>
      <c r="W56" s="26">
        <f>(('Mitigation drivers'!R36*LagoonN2O)+('Mitigation drivers'!R37*LiquidN2O)+('Mitigation drivers'!R38*DrylotN2O)+('Mitigation drivers'!R39*SolidStorageN2O)+('Mitigation drivers'!R40*DailyspreadN2O)+('Mitigation drivers'!R41*CompostN2O)+('Mitigation drivers'!R42*ManwithbedN2O)+('Mitigation drivers'!R43*PMwithoutlitterN2O)+('Mitigation drivers'!R44*PMwithlitterN2O)+('Mitigation drivers'!R46*DigesterN2OEF))/100</f>
        <v>2.9999999999999997E-4</v>
      </c>
      <c r="X56" s="26">
        <f>(('Mitigation drivers'!S36*LagoonN2O)+('Mitigation drivers'!S37*LiquidN2O)+('Mitigation drivers'!S38*DrylotN2O)+('Mitigation drivers'!S39*SolidStorageN2O)+('Mitigation drivers'!S40*DailyspreadN2O)+('Mitigation drivers'!S41*CompostN2O)+('Mitigation drivers'!S42*ManwithbedN2O)+('Mitigation drivers'!S43*PMwithoutlitterN2O)+('Mitigation drivers'!S44*PMwithlitterN2O)+('Mitigation drivers'!S46*DigesterN2OEF))/100</f>
        <v>2.9999999999999997E-4</v>
      </c>
      <c r="Y56" s="26">
        <f>(('Mitigation drivers'!T36*LagoonN2O)+('Mitigation drivers'!T37*LiquidN2O)+('Mitigation drivers'!T38*DrylotN2O)+('Mitigation drivers'!T39*SolidStorageN2O)+('Mitigation drivers'!T40*DailyspreadN2O)+('Mitigation drivers'!T41*CompostN2O)+('Mitigation drivers'!T42*ManwithbedN2O)+('Mitigation drivers'!T43*PMwithoutlitterN2O)+('Mitigation drivers'!T44*PMwithlitterN2O)+('Mitigation drivers'!T46*DigesterN2OEF))/100</f>
        <v>2.9999999999999997E-4</v>
      </c>
      <c r="Z56" s="26">
        <f>(('Mitigation drivers'!U36*LagoonN2O)+('Mitigation drivers'!U37*LiquidN2O)+('Mitigation drivers'!U38*DrylotN2O)+('Mitigation drivers'!U39*SolidStorageN2O)+('Mitigation drivers'!U40*DailyspreadN2O)+('Mitigation drivers'!U41*CompostN2O)+('Mitigation drivers'!U42*ManwithbedN2O)+('Mitigation drivers'!U43*PMwithoutlitterN2O)+('Mitigation drivers'!U44*PMwithlitterN2O)+('Mitigation drivers'!U46*DigesterN2OEF))/100</f>
        <v>2.9999999999999997E-4</v>
      </c>
      <c r="AA56" s="26">
        <f>(('Mitigation drivers'!V36*LagoonN2O)+('Mitigation drivers'!V37*LiquidN2O)+('Mitigation drivers'!V38*DrylotN2O)+('Mitigation drivers'!V39*SolidStorageN2O)+('Mitigation drivers'!V40*DailyspreadN2O)+('Mitigation drivers'!V41*CompostN2O)+('Mitigation drivers'!V42*ManwithbedN2O)+('Mitigation drivers'!V43*PMwithoutlitterN2O)+('Mitigation drivers'!V44*PMwithlitterN2O)+('Mitigation drivers'!V46*DigesterN2OEF))/100</f>
        <v>2.9999999999999997E-4</v>
      </c>
      <c r="AB56" s="26">
        <f>(('Mitigation drivers'!W36*LagoonN2O)+('Mitigation drivers'!W37*LiquidN2O)+('Mitigation drivers'!W38*DrylotN2O)+('Mitigation drivers'!W39*SolidStorageN2O)+('Mitigation drivers'!W40*DailyspreadN2O)+('Mitigation drivers'!W41*CompostN2O)+('Mitigation drivers'!W42*ManwithbedN2O)+('Mitigation drivers'!W43*PMwithoutlitterN2O)+('Mitigation drivers'!W44*PMwithlitterN2O)+('Mitigation drivers'!W46*DigesterN2OEF))/100</f>
        <v>2.9999999999999997E-4</v>
      </c>
      <c r="AC56" s="26">
        <f>(('Mitigation drivers'!X36*LagoonN2O)+('Mitigation drivers'!X37*LiquidN2O)+('Mitigation drivers'!X38*DrylotN2O)+('Mitigation drivers'!X39*SolidStorageN2O)+('Mitigation drivers'!X40*DailyspreadN2O)+('Mitigation drivers'!X41*CompostN2O)+('Mitigation drivers'!X42*ManwithbedN2O)+('Mitigation drivers'!X43*PMwithoutlitterN2O)+('Mitigation drivers'!X44*PMwithlitterN2O)+('Mitigation drivers'!X46*DigesterN2OEF))/100</f>
        <v>2.9999999999999997E-4</v>
      </c>
      <c r="AD56" s="26">
        <f>(('Mitigation drivers'!Y36*LagoonN2O)+('Mitigation drivers'!Y37*LiquidN2O)+('Mitigation drivers'!Y38*DrylotN2O)+('Mitigation drivers'!Y39*SolidStorageN2O)+('Mitigation drivers'!Y40*DailyspreadN2O)+('Mitigation drivers'!Y41*CompostN2O)+('Mitigation drivers'!Y42*ManwithbedN2O)+('Mitigation drivers'!Y43*PMwithoutlitterN2O)+('Mitigation drivers'!Y44*PMwithlitterN2O)+('Mitigation drivers'!Y46*DigesterN2OEF))/100</f>
        <v>2.9999999999999997E-4</v>
      </c>
      <c r="AE56" s="26">
        <f>(('Mitigation drivers'!Z36*LagoonN2O)+('Mitigation drivers'!Z37*LiquidN2O)+('Mitigation drivers'!Z38*DrylotN2O)+('Mitigation drivers'!Z39*SolidStorageN2O)+('Mitigation drivers'!Z40*DailyspreadN2O)+('Mitigation drivers'!Z41*CompostN2O)+('Mitigation drivers'!Z42*ManwithbedN2O)+('Mitigation drivers'!Z43*PMwithoutlitterN2O)+('Mitigation drivers'!Z44*PMwithlitterN2O)+('Mitigation drivers'!Z46*DigesterN2OEF))/100</f>
        <v>2.9999999999999997E-4</v>
      </c>
      <c r="AF56" s="26">
        <f>(('Mitigation drivers'!AA36*LagoonN2O)+('Mitigation drivers'!AA37*LiquidN2O)+('Mitigation drivers'!AA38*DrylotN2O)+('Mitigation drivers'!AA39*SolidStorageN2O)+('Mitigation drivers'!AA40*DailyspreadN2O)+('Mitigation drivers'!AA41*CompostN2O)+('Mitigation drivers'!AA42*ManwithbedN2O)+('Mitigation drivers'!AA43*PMwithoutlitterN2O)+('Mitigation drivers'!AA44*PMwithlitterN2O)+('Mitigation drivers'!AA46*DigesterN2OEF))/100</f>
        <v>2.9999999999999997E-4</v>
      </c>
      <c r="AG56" s="26">
        <f>(('Mitigation drivers'!AB36*LagoonN2O)+('Mitigation drivers'!AB37*LiquidN2O)+('Mitigation drivers'!AB38*DrylotN2O)+('Mitigation drivers'!AB39*SolidStorageN2O)+('Mitigation drivers'!AB40*DailyspreadN2O)+('Mitigation drivers'!AB41*CompostN2O)+('Mitigation drivers'!AB42*ManwithbedN2O)+('Mitigation drivers'!AB43*PMwithoutlitterN2O)+('Mitigation drivers'!AB44*PMwithlitterN2O)+('Mitigation drivers'!AB46*DigesterN2OEF))/100</f>
        <v>2.9999999999999997E-4</v>
      </c>
      <c r="AH56" s="26">
        <f>(('Mitigation drivers'!AC36*LagoonN2O)+('Mitigation drivers'!AC37*LiquidN2O)+('Mitigation drivers'!AC38*DrylotN2O)+('Mitigation drivers'!AC39*SolidStorageN2O)+('Mitigation drivers'!AC40*DailyspreadN2O)+('Mitigation drivers'!AC41*CompostN2O)+('Mitigation drivers'!AC42*ManwithbedN2O)+('Mitigation drivers'!AC43*PMwithoutlitterN2O)+('Mitigation drivers'!AC44*PMwithlitterN2O)+('Mitigation drivers'!AC46*DigesterN2OEF))/100</f>
        <v>2.9999999999999997E-4</v>
      </c>
      <c r="AI56" s="26">
        <f>(('Mitigation drivers'!AD36*LagoonN2O)+('Mitigation drivers'!AD37*LiquidN2O)+('Mitigation drivers'!AD38*DrylotN2O)+('Mitigation drivers'!AD39*SolidStorageN2O)+('Mitigation drivers'!AD40*DailyspreadN2O)+('Mitigation drivers'!AD41*CompostN2O)+('Mitigation drivers'!AD42*ManwithbedN2O)+('Mitigation drivers'!AD43*PMwithoutlitterN2O)+('Mitigation drivers'!AD44*PMwithlitterN2O)+('Mitigation drivers'!AD46*DigesterN2OEF))/100</f>
        <v>2.9999999999999997E-4</v>
      </c>
      <c r="AJ56" s="26">
        <f>(('Mitigation drivers'!AE36*LagoonN2O)+('Mitigation drivers'!AE37*LiquidN2O)+('Mitigation drivers'!AE38*DrylotN2O)+('Mitigation drivers'!AE39*SolidStorageN2O)+('Mitigation drivers'!AE40*DailyspreadN2O)+('Mitigation drivers'!AE41*CompostN2O)+('Mitigation drivers'!AE42*ManwithbedN2O)+('Mitigation drivers'!AE43*PMwithoutlitterN2O)+('Mitigation drivers'!AE44*PMwithlitterN2O)+('Mitigation drivers'!AE46*DigesterN2OEF))/100</f>
        <v>2.9999999999999997E-4</v>
      </c>
      <c r="AK56" s="26">
        <f>(('Mitigation drivers'!AF36*LagoonN2O)+('Mitigation drivers'!AF37*LiquidN2O)+('Mitigation drivers'!AF38*DrylotN2O)+('Mitigation drivers'!AF39*SolidStorageN2O)+('Mitigation drivers'!AF40*DailyspreadN2O)+('Mitigation drivers'!AF41*CompostN2O)+('Mitigation drivers'!AF42*ManwithbedN2O)+('Mitigation drivers'!AF43*PMwithoutlitterN2O)+('Mitigation drivers'!AF44*PMwithlitterN2O)+('Mitigation drivers'!AF46*DigesterN2OEF))/100</f>
        <v>2.9999999999999997E-4</v>
      </c>
      <c r="AL56" s="26">
        <f>(('Mitigation drivers'!AG36*LagoonN2O)+('Mitigation drivers'!AG37*LiquidN2O)+('Mitigation drivers'!AG38*DrylotN2O)+('Mitigation drivers'!AG39*SolidStorageN2O)+('Mitigation drivers'!AG40*DailyspreadN2O)+('Mitigation drivers'!AG41*CompostN2O)+('Mitigation drivers'!AG42*ManwithbedN2O)+('Mitigation drivers'!AG43*PMwithoutlitterN2O)+('Mitigation drivers'!AG44*PMwithlitterN2O)+('Mitigation drivers'!AG46*DigesterN2OEF))/100</f>
        <v>2.9999999999999997E-4</v>
      </c>
      <c r="AM56" s="26">
        <f>(('Mitigation drivers'!AH36*LagoonN2O)+('Mitigation drivers'!AH37*LiquidN2O)+('Mitigation drivers'!AH38*DrylotN2O)+('Mitigation drivers'!AH39*SolidStorageN2O)+('Mitigation drivers'!AH40*DailyspreadN2O)+('Mitigation drivers'!AH41*CompostN2O)+('Mitigation drivers'!AH42*ManwithbedN2O)+('Mitigation drivers'!AH43*PMwithoutlitterN2O)+('Mitigation drivers'!AH44*PMwithlitterN2O)+('Mitigation drivers'!AH46*DigesterN2OEF))/100</f>
        <v>2.9999999999999997E-4</v>
      </c>
      <c r="AN56" s="26">
        <f>(('Mitigation drivers'!AI36*LagoonN2O)+('Mitigation drivers'!AI37*LiquidN2O)+('Mitigation drivers'!AI38*DrylotN2O)+('Mitigation drivers'!AI39*SolidStorageN2O)+('Mitigation drivers'!AI40*DailyspreadN2O)+('Mitigation drivers'!AI41*CompostN2O)+('Mitigation drivers'!AI42*ManwithbedN2O)+('Mitigation drivers'!AI43*PMwithoutlitterN2O)+('Mitigation drivers'!AI44*PMwithlitterN2O)+('Mitigation drivers'!AI46*DigesterN2OEF))/100</f>
        <v>2.9999999999999997E-4</v>
      </c>
      <c r="AO56" s="26">
        <f>(('Mitigation drivers'!AJ36*LagoonN2O)+('Mitigation drivers'!AJ37*LiquidN2O)+('Mitigation drivers'!AJ38*DrylotN2O)+('Mitigation drivers'!AJ39*SolidStorageN2O)+('Mitigation drivers'!AJ40*DailyspreadN2O)+('Mitigation drivers'!AJ41*CompostN2O)+('Mitigation drivers'!AJ42*ManwithbedN2O)+('Mitigation drivers'!AJ43*PMwithoutlitterN2O)+('Mitigation drivers'!AJ44*PMwithlitterN2O)+('Mitigation drivers'!AJ46*DigesterN2OEF))/100</f>
        <v>2.9999999999999997E-4</v>
      </c>
    </row>
    <row r="57" spans="1:41" x14ac:dyDescent="0.25">
      <c r="A57" t="str">
        <f t="shared" si="1"/>
        <v>3A Livestock</v>
      </c>
      <c r="B57" t="str">
        <f t="shared" si="8"/>
        <v>3A2 Manure management (N2O)</v>
      </c>
      <c r="C57" t="str">
        <f>'Activity data'!C8</f>
        <v>3A1aii Other cattle</v>
      </c>
      <c r="D57" t="str">
        <f>'Activity data'!D8</f>
        <v>Commercial</v>
      </c>
      <c r="E57" t="str">
        <f>E55</f>
        <v>Manure management EF</v>
      </c>
      <c r="F57" t="str">
        <f>F55</f>
        <v>N2O</v>
      </c>
      <c r="G57" t="str">
        <f>G55</f>
        <v>kg N2O-N/kg Nex</v>
      </c>
      <c r="H57" s="26">
        <f>(('Mitigation drivers'!C49*LagoonN2O)+('Mitigation drivers'!C50*LiquidN2O)+('Mitigation drivers'!C51*DrylotN2O)+('Mitigation drivers'!C52*SolidStorageN2O)+('Mitigation drivers'!C53*DailyspreadN2O)+('Mitigation drivers'!C54*CompostN2O)+('Mitigation drivers'!C55*ManwithbedN2O)+('Mitigation drivers'!C56*PMwithoutlitterN2O)+('Mitigation drivers'!C57*PMwithlitterN2O)+('Mitigation drivers'!C59*DigesterN2OEF))/100</f>
        <v>6.4999999999999997E-4</v>
      </c>
      <c r="I57" s="26">
        <f>(('Mitigation drivers'!D49*LagoonN2O)+('Mitigation drivers'!D50*LiquidN2O)+('Mitigation drivers'!D51*DrylotN2O)+('Mitigation drivers'!D52*SolidStorageN2O)+('Mitigation drivers'!D53*DailyspreadN2O)+('Mitigation drivers'!D54*CompostN2O)+('Mitigation drivers'!D55*ManwithbedN2O)+('Mitigation drivers'!D56*PMwithoutlitterN2O)+('Mitigation drivers'!D57*PMwithlitterN2O)+('Mitigation drivers'!D59*DigesterN2OEF))/100</f>
        <v>6.4999999999999997E-4</v>
      </c>
      <c r="J57" s="26">
        <f>(('Mitigation drivers'!E49*LagoonN2O)+('Mitigation drivers'!E50*LiquidN2O)+('Mitigation drivers'!E51*DrylotN2O)+('Mitigation drivers'!E52*SolidStorageN2O)+('Mitigation drivers'!E53*DailyspreadN2O)+('Mitigation drivers'!E54*CompostN2O)+('Mitigation drivers'!E55*ManwithbedN2O)+('Mitigation drivers'!E56*PMwithoutlitterN2O)+('Mitigation drivers'!E57*PMwithlitterN2O)+('Mitigation drivers'!E59*DigesterN2OEF))/100</f>
        <v>6.4999999999999997E-4</v>
      </c>
      <c r="K57" s="26">
        <f>(('Mitigation drivers'!F49*LagoonN2O)+('Mitigation drivers'!F50*LiquidN2O)+('Mitigation drivers'!F51*DrylotN2O)+('Mitigation drivers'!F52*SolidStorageN2O)+('Mitigation drivers'!F53*DailyspreadN2O)+('Mitigation drivers'!F54*CompostN2O)+('Mitigation drivers'!F55*ManwithbedN2O)+('Mitigation drivers'!F56*PMwithoutlitterN2O)+('Mitigation drivers'!F57*PMwithlitterN2O)+('Mitigation drivers'!F59*DigesterN2OEF))/100</f>
        <v>6.4999999999999997E-4</v>
      </c>
      <c r="L57" s="26">
        <f>(('Mitigation drivers'!G49*LagoonN2O)+('Mitigation drivers'!G50*LiquidN2O)+('Mitigation drivers'!G51*DrylotN2O)+('Mitigation drivers'!G52*SolidStorageN2O)+('Mitigation drivers'!G53*DailyspreadN2O)+('Mitigation drivers'!G54*CompostN2O)+('Mitigation drivers'!G55*ManwithbedN2O)+('Mitigation drivers'!G56*PMwithoutlitterN2O)+('Mitigation drivers'!G57*PMwithlitterN2O)+('Mitigation drivers'!G59*DigesterN2OEF))/100</f>
        <v>6.4999999999999997E-4</v>
      </c>
      <c r="M57" s="26">
        <f>(('Mitigation drivers'!H49*LagoonN2O)+('Mitigation drivers'!H50*LiquidN2O)+('Mitigation drivers'!H51*DrylotN2O)+('Mitigation drivers'!H52*SolidStorageN2O)+('Mitigation drivers'!H53*DailyspreadN2O)+('Mitigation drivers'!H54*CompostN2O)+('Mitigation drivers'!H55*ManwithbedN2O)+('Mitigation drivers'!H56*PMwithoutlitterN2O)+('Mitigation drivers'!H57*PMwithlitterN2O)+('Mitigation drivers'!H59*DigesterN2OEF))/100</f>
        <v>6.4999999999999997E-4</v>
      </c>
      <c r="N57" s="26">
        <f>(('Mitigation drivers'!I49*LagoonN2O)+('Mitigation drivers'!I50*LiquidN2O)+('Mitigation drivers'!I51*DrylotN2O)+('Mitigation drivers'!I52*SolidStorageN2O)+('Mitigation drivers'!I53*DailyspreadN2O)+('Mitigation drivers'!I54*CompostN2O)+('Mitigation drivers'!I55*ManwithbedN2O)+('Mitigation drivers'!I56*PMwithoutlitterN2O)+('Mitigation drivers'!I57*PMwithlitterN2O)+('Mitigation drivers'!I59*DigesterN2OEF))/100</f>
        <v>6.4999999999999997E-4</v>
      </c>
      <c r="O57" s="26">
        <f>(('Mitigation drivers'!J49*LagoonN2O)+('Mitigation drivers'!J50*LiquidN2O)+('Mitigation drivers'!J51*DrylotN2O)+('Mitigation drivers'!J52*SolidStorageN2O)+('Mitigation drivers'!J53*DailyspreadN2O)+('Mitigation drivers'!J54*CompostN2O)+('Mitigation drivers'!J55*ManwithbedN2O)+('Mitigation drivers'!J56*PMwithoutlitterN2O)+('Mitigation drivers'!J57*PMwithlitterN2O)+('Mitigation drivers'!J59*DigesterN2OEF))/100</f>
        <v>6.4999999999999997E-4</v>
      </c>
      <c r="P57" s="26">
        <f>(('Mitigation drivers'!K49*LagoonN2O)+('Mitigation drivers'!K50*LiquidN2O)+('Mitigation drivers'!K51*DrylotN2O)+('Mitigation drivers'!K52*SolidStorageN2O)+('Mitigation drivers'!K53*DailyspreadN2O)+('Mitigation drivers'!K54*CompostN2O)+('Mitigation drivers'!K55*ManwithbedN2O)+('Mitigation drivers'!K56*PMwithoutlitterN2O)+('Mitigation drivers'!K57*PMwithlitterN2O)+('Mitigation drivers'!K59*DigesterN2OEF))/100</f>
        <v>6.4999999999999997E-4</v>
      </c>
      <c r="Q57" s="26">
        <f>(('Mitigation drivers'!L49*LagoonN2O)+('Mitigation drivers'!L50*LiquidN2O)+('Mitigation drivers'!L51*DrylotN2O)+('Mitigation drivers'!L52*SolidStorageN2O)+('Mitigation drivers'!L53*DailyspreadN2O)+('Mitigation drivers'!L54*CompostN2O)+('Mitigation drivers'!L55*ManwithbedN2O)+('Mitigation drivers'!L56*PMwithoutlitterN2O)+('Mitigation drivers'!L57*PMwithlitterN2O)+('Mitigation drivers'!L59*DigesterN2OEF))/100</f>
        <v>6.4999999999999997E-4</v>
      </c>
      <c r="R57" s="26">
        <f>(('Mitigation drivers'!M49*LagoonN2O)+('Mitigation drivers'!M50*LiquidN2O)+('Mitigation drivers'!M51*DrylotN2O)+('Mitigation drivers'!M52*SolidStorageN2O)+('Mitigation drivers'!M53*DailyspreadN2O)+('Mitigation drivers'!M54*CompostN2O)+('Mitigation drivers'!M55*ManwithbedN2O)+('Mitigation drivers'!M56*PMwithoutlitterN2O)+('Mitigation drivers'!M57*PMwithlitterN2O)+('Mitigation drivers'!M59*DigesterN2OEF))/100</f>
        <v>6.4999999999999997E-4</v>
      </c>
      <c r="S57" s="26">
        <f>(('Mitigation drivers'!N49*LagoonN2O)+('Mitigation drivers'!N50*LiquidN2O)+('Mitigation drivers'!N51*DrylotN2O)+('Mitigation drivers'!N52*SolidStorageN2O)+('Mitigation drivers'!N53*DailyspreadN2O)+('Mitigation drivers'!N54*CompostN2O)+('Mitigation drivers'!N55*ManwithbedN2O)+('Mitigation drivers'!N56*PMwithoutlitterN2O)+('Mitigation drivers'!N57*PMwithlitterN2O)+('Mitigation drivers'!N59*DigesterN2OEF))/100</f>
        <v>6.4999999999999997E-4</v>
      </c>
      <c r="T57" s="26">
        <f>(('Mitigation drivers'!O49*LagoonN2O)+('Mitigation drivers'!O50*LiquidN2O)+('Mitigation drivers'!O51*DrylotN2O)+('Mitigation drivers'!O52*SolidStorageN2O)+('Mitigation drivers'!O53*DailyspreadN2O)+('Mitigation drivers'!O54*CompostN2O)+('Mitigation drivers'!O55*ManwithbedN2O)+('Mitigation drivers'!O56*PMwithoutlitterN2O)+('Mitigation drivers'!O57*PMwithlitterN2O)+('Mitigation drivers'!O59*DigesterN2OEF))/100</f>
        <v>6.4999999999999997E-4</v>
      </c>
      <c r="U57" s="26">
        <f>(('Mitigation drivers'!P49*LagoonN2O)+('Mitigation drivers'!P50*LiquidN2O)+('Mitigation drivers'!P51*DrylotN2O)+('Mitigation drivers'!P52*SolidStorageN2O)+('Mitigation drivers'!P53*DailyspreadN2O)+('Mitigation drivers'!P54*CompostN2O)+('Mitigation drivers'!P55*ManwithbedN2O)+('Mitigation drivers'!P56*PMwithoutlitterN2O)+('Mitigation drivers'!P57*PMwithlitterN2O)+('Mitigation drivers'!P59*DigesterN2OEF))/100</f>
        <v>6.4999999999999997E-4</v>
      </c>
      <c r="V57" s="26">
        <f>(('Mitigation drivers'!Q49*LagoonN2O)+('Mitigation drivers'!Q50*LiquidN2O)+('Mitigation drivers'!Q51*DrylotN2O)+('Mitigation drivers'!Q52*SolidStorageN2O)+('Mitigation drivers'!Q53*DailyspreadN2O)+('Mitigation drivers'!Q54*CompostN2O)+('Mitigation drivers'!Q55*ManwithbedN2O)+('Mitigation drivers'!Q56*PMwithoutlitterN2O)+('Mitigation drivers'!Q57*PMwithlitterN2O)+('Mitigation drivers'!Q59*DigesterN2OEF))/100</f>
        <v>6.4999999999999997E-4</v>
      </c>
      <c r="W57" s="26">
        <f>(('Mitigation drivers'!R49*LagoonN2O)+('Mitigation drivers'!R50*LiquidN2O)+('Mitigation drivers'!R51*DrylotN2O)+('Mitigation drivers'!R52*SolidStorageN2O)+('Mitigation drivers'!R53*DailyspreadN2O)+('Mitigation drivers'!R54*CompostN2O)+('Mitigation drivers'!R55*ManwithbedN2O)+('Mitigation drivers'!R56*PMwithoutlitterN2O)+('Mitigation drivers'!R57*PMwithlitterN2O)+('Mitigation drivers'!R59*DigesterN2OEF))/100</f>
        <v>6.4999999999999997E-4</v>
      </c>
      <c r="X57" s="26">
        <f>(('Mitigation drivers'!S49*LagoonN2O)+('Mitigation drivers'!S50*LiquidN2O)+('Mitigation drivers'!S51*DrylotN2O)+('Mitigation drivers'!S52*SolidStorageN2O)+('Mitigation drivers'!S53*DailyspreadN2O)+('Mitigation drivers'!S54*CompostN2O)+('Mitigation drivers'!S55*ManwithbedN2O)+('Mitigation drivers'!S56*PMwithoutlitterN2O)+('Mitigation drivers'!S57*PMwithlitterN2O)+('Mitigation drivers'!S59*DigesterN2OEF))/100</f>
        <v>6.4999999999999997E-4</v>
      </c>
      <c r="Y57" s="26">
        <f>(('Mitigation drivers'!T49*LagoonN2O)+('Mitigation drivers'!T50*LiquidN2O)+('Mitigation drivers'!T51*DrylotN2O)+('Mitigation drivers'!T52*SolidStorageN2O)+('Mitigation drivers'!T53*DailyspreadN2O)+('Mitigation drivers'!T54*CompostN2O)+('Mitigation drivers'!T55*ManwithbedN2O)+('Mitigation drivers'!T56*PMwithoutlitterN2O)+('Mitigation drivers'!T57*PMwithlitterN2O)+('Mitigation drivers'!T59*DigesterN2OEF))/100</f>
        <v>6.4999999999999997E-4</v>
      </c>
      <c r="Z57" s="26">
        <f>(('Mitigation drivers'!U49*LagoonN2O)+('Mitigation drivers'!U50*LiquidN2O)+('Mitigation drivers'!U51*DrylotN2O)+('Mitigation drivers'!U52*SolidStorageN2O)+('Mitigation drivers'!U53*DailyspreadN2O)+('Mitigation drivers'!U54*CompostN2O)+('Mitigation drivers'!U55*ManwithbedN2O)+('Mitigation drivers'!U56*PMwithoutlitterN2O)+('Mitigation drivers'!U57*PMwithlitterN2O)+('Mitigation drivers'!U59*DigesterN2OEF))/100</f>
        <v>6.4999999999999997E-4</v>
      </c>
      <c r="AA57" s="26">
        <f>(('Mitigation drivers'!V49*LagoonN2O)+('Mitigation drivers'!V50*LiquidN2O)+('Mitigation drivers'!V51*DrylotN2O)+('Mitigation drivers'!V52*SolidStorageN2O)+('Mitigation drivers'!V53*DailyspreadN2O)+('Mitigation drivers'!V54*CompostN2O)+('Mitigation drivers'!V55*ManwithbedN2O)+('Mitigation drivers'!V56*PMwithoutlitterN2O)+('Mitigation drivers'!V57*PMwithlitterN2O)+('Mitigation drivers'!V59*DigesterN2OEF))/100</f>
        <v>6.4999999999999997E-4</v>
      </c>
      <c r="AB57" s="26">
        <f>(('Mitigation drivers'!W49*LagoonN2O)+('Mitigation drivers'!W50*LiquidN2O)+('Mitigation drivers'!W51*DrylotN2O)+('Mitigation drivers'!W52*SolidStorageN2O)+('Mitigation drivers'!W53*DailyspreadN2O)+('Mitigation drivers'!W54*CompostN2O)+('Mitigation drivers'!W55*ManwithbedN2O)+('Mitigation drivers'!W56*PMwithoutlitterN2O)+('Mitigation drivers'!W57*PMwithlitterN2O)+('Mitigation drivers'!W59*DigesterN2OEF))/100</f>
        <v>6.4999999999999997E-4</v>
      </c>
      <c r="AC57" s="26">
        <f>(('Mitigation drivers'!X49*LagoonN2O)+('Mitigation drivers'!X50*LiquidN2O)+('Mitigation drivers'!X51*DrylotN2O)+('Mitigation drivers'!X52*SolidStorageN2O)+('Mitigation drivers'!X53*DailyspreadN2O)+('Mitigation drivers'!X54*CompostN2O)+('Mitigation drivers'!X55*ManwithbedN2O)+('Mitigation drivers'!X56*PMwithoutlitterN2O)+('Mitigation drivers'!X57*PMwithlitterN2O)+('Mitigation drivers'!X59*DigesterN2OEF))/100</f>
        <v>6.4999999999999997E-4</v>
      </c>
      <c r="AD57" s="26">
        <f>(('Mitigation drivers'!Y49*LagoonN2O)+('Mitigation drivers'!Y50*LiquidN2O)+('Mitigation drivers'!Y51*DrylotN2O)+('Mitigation drivers'!Y52*SolidStorageN2O)+('Mitigation drivers'!Y53*DailyspreadN2O)+('Mitigation drivers'!Y54*CompostN2O)+('Mitigation drivers'!Y55*ManwithbedN2O)+('Mitigation drivers'!Y56*PMwithoutlitterN2O)+('Mitigation drivers'!Y57*PMwithlitterN2O)+('Mitigation drivers'!Y59*DigesterN2OEF))/100</f>
        <v>6.4999999999999997E-4</v>
      </c>
      <c r="AE57" s="26">
        <f>(('Mitigation drivers'!Z49*LagoonN2O)+('Mitigation drivers'!Z50*LiquidN2O)+('Mitigation drivers'!Z51*DrylotN2O)+('Mitigation drivers'!Z52*SolidStorageN2O)+('Mitigation drivers'!Z53*DailyspreadN2O)+('Mitigation drivers'!Z54*CompostN2O)+('Mitigation drivers'!Z55*ManwithbedN2O)+('Mitigation drivers'!Z56*PMwithoutlitterN2O)+('Mitigation drivers'!Z57*PMwithlitterN2O)+('Mitigation drivers'!Z59*DigesterN2OEF))/100</f>
        <v>6.4999999999999997E-4</v>
      </c>
      <c r="AF57" s="26">
        <f>(('Mitigation drivers'!AA49*LagoonN2O)+('Mitigation drivers'!AA50*LiquidN2O)+('Mitigation drivers'!AA51*DrylotN2O)+('Mitigation drivers'!AA52*SolidStorageN2O)+('Mitigation drivers'!AA53*DailyspreadN2O)+('Mitigation drivers'!AA54*CompostN2O)+('Mitigation drivers'!AA55*ManwithbedN2O)+('Mitigation drivers'!AA56*PMwithoutlitterN2O)+('Mitigation drivers'!AA57*PMwithlitterN2O)+('Mitigation drivers'!AA59*DigesterN2OEF))/100</f>
        <v>6.4999999999999997E-4</v>
      </c>
      <c r="AG57" s="26">
        <f>(('Mitigation drivers'!AB49*LagoonN2O)+('Mitigation drivers'!AB50*LiquidN2O)+('Mitigation drivers'!AB51*DrylotN2O)+('Mitigation drivers'!AB52*SolidStorageN2O)+('Mitigation drivers'!AB53*DailyspreadN2O)+('Mitigation drivers'!AB54*CompostN2O)+('Mitigation drivers'!AB55*ManwithbedN2O)+('Mitigation drivers'!AB56*PMwithoutlitterN2O)+('Mitigation drivers'!AB57*PMwithlitterN2O)+('Mitigation drivers'!AB59*DigesterN2OEF))/100</f>
        <v>6.4999999999999997E-4</v>
      </c>
      <c r="AH57" s="26">
        <f>(('Mitigation drivers'!AC49*LagoonN2O)+('Mitigation drivers'!AC50*LiquidN2O)+('Mitigation drivers'!AC51*DrylotN2O)+('Mitigation drivers'!AC52*SolidStorageN2O)+('Mitigation drivers'!AC53*DailyspreadN2O)+('Mitigation drivers'!AC54*CompostN2O)+('Mitigation drivers'!AC55*ManwithbedN2O)+('Mitigation drivers'!AC56*PMwithoutlitterN2O)+('Mitigation drivers'!AC57*PMwithlitterN2O)+('Mitigation drivers'!AC59*DigesterN2OEF))/100</f>
        <v>6.4999999999999997E-4</v>
      </c>
      <c r="AI57" s="26">
        <f>(('Mitigation drivers'!AD49*LagoonN2O)+('Mitigation drivers'!AD50*LiquidN2O)+('Mitigation drivers'!AD51*DrylotN2O)+('Mitigation drivers'!AD52*SolidStorageN2O)+('Mitigation drivers'!AD53*DailyspreadN2O)+('Mitigation drivers'!AD54*CompostN2O)+('Mitigation drivers'!AD55*ManwithbedN2O)+('Mitigation drivers'!AD56*PMwithoutlitterN2O)+('Mitigation drivers'!AD57*PMwithlitterN2O)+('Mitigation drivers'!AD59*DigesterN2OEF))/100</f>
        <v>6.4999999999999997E-4</v>
      </c>
      <c r="AJ57" s="26">
        <f>(('Mitigation drivers'!AE49*LagoonN2O)+('Mitigation drivers'!AE50*LiquidN2O)+('Mitigation drivers'!AE51*DrylotN2O)+('Mitigation drivers'!AE52*SolidStorageN2O)+('Mitigation drivers'!AE53*DailyspreadN2O)+('Mitigation drivers'!AE54*CompostN2O)+('Mitigation drivers'!AE55*ManwithbedN2O)+('Mitigation drivers'!AE56*PMwithoutlitterN2O)+('Mitigation drivers'!AE57*PMwithlitterN2O)+('Mitigation drivers'!AE59*DigesterN2OEF))/100</f>
        <v>6.4999999999999997E-4</v>
      </c>
      <c r="AK57" s="26">
        <f>(('Mitigation drivers'!AF49*LagoonN2O)+('Mitigation drivers'!AF50*LiquidN2O)+('Mitigation drivers'!AF51*DrylotN2O)+('Mitigation drivers'!AF52*SolidStorageN2O)+('Mitigation drivers'!AF53*DailyspreadN2O)+('Mitigation drivers'!AF54*CompostN2O)+('Mitigation drivers'!AF55*ManwithbedN2O)+('Mitigation drivers'!AF56*PMwithoutlitterN2O)+('Mitigation drivers'!AF57*PMwithlitterN2O)+('Mitigation drivers'!AF59*DigesterN2OEF))/100</f>
        <v>6.4999999999999997E-4</v>
      </c>
      <c r="AL57" s="26">
        <f>(('Mitigation drivers'!AG49*LagoonN2O)+('Mitigation drivers'!AG50*LiquidN2O)+('Mitigation drivers'!AG51*DrylotN2O)+('Mitigation drivers'!AG52*SolidStorageN2O)+('Mitigation drivers'!AG53*DailyspreadN2O)+('Mitigation drivers'!AG54*CompostN2O)+('Mitigation drivers'!AG55*ManwithbedN2O)+('Mitigation drivers'!AG56*PMwithoutlitterN2O)+('Mitigation drivers'!AG57*PMwithlitterN2O)+('Mitigation drivers'!AG59*DigesterN2OEF))/100</f>
        <v>6.4999999999999997E-4</v>
      </c>
      <c r="AM57" s="26">
        <f>(('Mitigation drivers'!AH49*LagoonN2O)+('Mitigation drivers'!AH50*LiquidN2O)+('Mitigation drivers'!AH51*DrylotN2O)+('Mitigation drivers'!AH52*SolidStorageN2O)+('Mitigation drivers'!AH53*DailyspreadN2O)+('Mitigation drivers'!AH54*CompostN2O)+('Mitigation drivers'!AH55*ManwithbedN2O)+('Mitigation drivers'!AH56*PMwithoutlitterN2O)+('Mitigation drivers'!AH57*PMwithlitterN2O)+('Mitigation drivers'!AH59*DigesterN2OEF))/100</f>
        <v>6.4999999999999997E-4</v>
      </c>
      <c r="AN57" s="26">
        <f>(('Mitigation drivers'!AI49*LagoonN2O)+('Mitigation drivers'!AI50*LiquidN2O)+('Mitigation drivers'!AI51*DrylotN2O)+('Mitigation drivers'!AI52*SolidStorageN2O)+('Mitigation drivers'!AI53*DailyspreadN2O)+('Mitigation drivers'!AI54*CompostN2O)+('Mitigation drivers'!AI55*ManwithbedN2O)+('Mitigation drivers'!AI56*PMwithoutlitterN2O)+('Mitigation drivers'!AI57*PMwithlitterN2O)+('Mitigation drivers'!AI59*DigesterN2OEF))/100</f>
        <v>6.4999999999999997E-4</v>
      </c>
      <c r="AO57" s="26">
        <f>(('Mitigation drivers'!AJ49*LagoonN2O)+('Mitigation drivers'!AJ50*LiquidN2O)+('Mitigation drivers'!AJ51*DrylotN2O)+('Mitigation drivers'!AJ52*SolidStorageN2O)+('Mitigation drivers'!AJ53*DailyspreadN2O)+('Mitigation drivers'!AJ54*CompostN2O)+('Mitigation drivers'!AJ55*ManwithbedN2O)+('Mitigation drivers'!AJ56*PMwithoutlitterN2O)+('Mitigation drivers'!AJ57*PMwithlitterN2O)+('Mitigation drivers'!AJ59*DigesterN2OEF))/100</f>
        <v>6.4999999999999997E-4</v>
      </c>
    </row>
    <row r="58" spans="1:41" x14ac:dyDescent="0.25">
      <c r="A58" t="str">
        <f t="shared" si="1"/>
        <v>3A Livestock</v>
      </c>
      <c r="B58" t="str">
        <f t="shared" si="8"/>
        <v>3A2 Manure management (N2O)</v>
      </c>
      <c r="C58" t="str">
        <f>'Activity data'!C9</f>
        <v>3A1aii Other cattle</v>
      </c>
      <c r="D58" t="str">
        <f>'Activity data'!D9</f>
        <v>Subsistence</v>
      </c>
      <c r="E58" t="str">
        <f t="shared" ref="E58:E71" si="27">E57</f>
        <v>Manure management EF</v>
      </c>
      <c r="F58" t="str">
        <f t="shared" ref="F58:F71" si="28">F57</f>
        <v>N2O</v>
      </c>
      <c r="G58" t="str">
        <f t="shared" ref="G58:G71" si="29">G57</f>
        <v>kg N2O-N/kg Nex</v>
      </c>
      <c r="H58" s="26">
        <f>(('Mitigation drivers'!C61*LagoonN2O)+('Mitigation drivers'!C62*LiquidN2O)+('Mitigation drivers'!C63*DrylotN2O)+('Mitigation drivers'!C64*SolidStorageN2O)+('Mitigation drivers'!C65*DailyspreadN2O)+('Mitigation drivers'!C66*CompostN2O)+('Mitigation drivers'!C67*ManwithbedN2O)+('Mitigation drivers'!C68*PMwithoutlitterN2O)+('Mitigation drivers'!C69*PMwithlitterN2O)+('Mitigation drivers'!C71*DigesterN2OEF))/100</f>
        <v>1.5000000000000002E-3</v>
      </c>
      <c r="I58" s="26">
        <f>(('Mitigation drivers'!D61*LagoonN2O)+('Mitigation drivers'!D62*LiquidN2O)+('Mitigation drivers'!D63*DrylotN2O)+('Mitigation drivers'!D64*SolidStorageN2O)+('Mitigation drivers'!D65*DailyspreadN2O)+('Mitigation drivers'!D66*CompostN2O)+('Mitigation drivers'!D67*ManwithbedN2O)+('Mitigation drivers'!D68*PMwithoutlitterN2O)+('Mitigation drivers'!D69*PMwithlitterN2O)+('Mitigation drivers'!D71*DigesterN2OEF))/100</f>
        <v>1.5000000000000002E-3</v>
      </c>
      <c r="J58" s="26">
        <f>(('Mitigation drivers'!E61*LagoonN2O)+('Mitigation drivers'!E62*LiquidN2O)+('Mitigation drivers'!E63*DrylotN2O)+('Mitigation drivers'!E64*SolidStorageN2O)+('Mitigation drivers'!E65*DailyspreadN2O)+('Mitigation drivers'!E66*CompostN2O)+('Mitigation drivers'!E67*ManwithbedN2O)+('Mitigation drivers'!E68*PMwithoutlitterN2O)+('Mitigation drivers'!E69*PMwithlitterN2O)+('Mitigation drivers'!E71*DigesterN2OEF))/100</f>
        <v>1.5000000000000002E-3</v>
      </c>
      <c r="K58" s="26">
        <f>(('Mitigation drivers'!F61*LagoonN2O)+('Mitigation drivers'!F62*LiquidN2O)+('Mitigation drivers'!F63*DrylotN2O)+('Mitigation drivers'!F64*SolidStorageN2O)+('Mitigation drivers'!F65*DailyspreadN2O)+('Mitigation drivers'!F66*CompostN2O)+('Mitigation drivers'!F67*ManwithbedN2O)+('Mitigation drivers'!F68*PMwithoutlitterN2O)+('Mitigation drivers'!F69*PMwithlitterN2O)+('Mitigation drivers'!F71*DigesterN2OEF))/100</f>
        <v>1.5000000000000002E-3</v>
      </c>
      <c r="L58" s="26">
        <f>(('Mitigation drivers'!G61*LagoonN2O)+('Mitigation drivers'!G62*LiquidN2O)+('Mitigation drivers'!G63*DrylotN2O)+('Mitigation drivers'!G64*SolidStorageN2O)+('Mitigation drivers'!G65*DailyspreadN2O)+('Mitigation drivers'!G66*CompostN2O)+('Mitigation drivers'!G67*ManwithbedN2O)+('Mitigation drivers'!G68*PMwithoutlitterN2O)+('Mitigation drivers'!G69*PMwithlitterN2O)+('Mitigation drivers'!G71*DigesterN2OEF))/100</f>
        <v>1.5000000000000002E-3</v>
      </c>
      <c r="M58" s="26">
        <f>(('Mitigation drivers'!H61*LagoonN2O)+('Mitigation drivers'!H62*LiquidN2O)+('Mitigation drivers'!H63*DrylotN2O)+('Mitigation drivers'!H64*SolidStorageN2O)+('Mitigation drivers'!H65*DailyspreadN2O)+('Mitigation drivers'!H66*CompostN2O)+('Mitigation drivers'!H67*ManwithbedN2O)+('Mitigation drivers'!H68*PMwithoutlitterN2O)+('Mitigation drivers'!H69*PMwithlitterN2O)+('Mitigation drivers'!H71*DigesterN2OEF))/100</f>
        <v>1.5000000000000002E-3</v>
      </c>
      <c r="N58" s="26">
        <f>(('Mitigation drivers'!I61*LagoonN2O)+('Mitigation drivers'!I62*LiquidN2O)+('Mitigation drivers'!I63*DrylotN2O)+('Mitigation drivers'!I64*SolidStorageN2O)+('Mitigation drivers'!I65*DailyspreadN2O)+('Mitigation drivers'!I66*CompostN2O)+('Mitigation drivers'!I67*ManwithbedN2O)+('Mitigation drivers'!I68*PMwithoutlitterN2O)+('Mitigation drivers'!I69*PMwithlitterN2O)+('Mitigation drivers'!I71*DigesterN2OEF))/100</f>
        <v>1.5000000000000002E-3</v>
      </c>
      <c r="O58" s="26">
        <f>(('Mitigation drivers'!J61*LagoonN2O)+('Mitigation drivers'!J62*LiquidN2O)+('Mitigation drivers'!J63*DrylotN2O)+('Mitigation drivers'!J64*SolidStorageN2O)+('Mitigation drivers'!J65*DailyspreadN2O)+('Mitigation drivers'!J66*CompostN2O)+('Mitigation drivers'!J67*ManwithbedN2O)+('Mitigation drivers'!J68*PMwithoutlitterN2O)+('Mitigation drivers'!J69*PMwithlitterN2O)+('Mitigation drivers'!J71*DigesterN2OEF))/100</f>
        <v>1.5000000000000002E-3</v>
      </c>
      <c r="P58" s="26">
        <f>(('Mitigation drivers'!K61*LagoonN2O)+('Mitigation drivers'!K62*LiquidN2O)+('Mitigation drivers'!K63*DrylotN2O)+('Mitigation drivers'!K64*SolidStorageN2O)+('Mitigation drivers'!K65*DailyspreadN2O)+('Mitigation drivers'!K66*CompostN2O)+('Mitigation drivers'!K67*ManwithbedN2O)+('Mitigation drivers'!K68*PMwithoutlitterN2O)+('Mitigation drivers'!K69*PMwithlitterN2O)+('Mitigation drivers'!K71*DigesterN2OEF))/100</f>
        <v>1.5000000000000002E-3</v>
      </c>
      <c r="Q58" s="26">
        <f>(('Mitigation drivers'!L61*LagoonN2O)+('Mitigation drivers'!L62*LiquidN2O)+('Mitigation drivers'!L63*DrylotN2O)+('Mitigation drivers'!L64*SolidStorageN2O)+('Mitigation drivers'!L65*DailyspreadN2O)+('Mitigation drivers'!L66*CompostN2O)+('Mitigation drivers'!L67*ManwithbedN2O)+('Mitigation drivers'!L68*PMwithoutlitterN2O)+('Mitigation drivers'!L69*PMwithlitterN2O)+('Mitigation drivers'!L71*DigesterN2OEF))/100</f>
        <v>1.5000000000000002E-3</v>
      </c>
      <c r="R58" s="26">
        <f>(('Mitigation drivers'!M61*LagoonN2O)+('Mitigation drivers'!M62*LiquidN2O)+('Mitigation drivers'!M63*DrylotN2O)+('Mitigation drivers'!M64*SolidStorageN2O)+('Mitigation drivers'!M65*DailyspreadN2O)+('Mitigation drivers'!M66*CompostN2O)+('Mitigation drivers'!M67*ManwithbedN2O)+('Mitigation drivers'!M68*PMwithoutlitterN2O)+('Mitigation drivers'!M69*PMwithlitterN2O)+('Mitigation drivers'!M71*DigesterN2OEF))/100</f>
        <v>1.5000000000000002E-3</v>
      </c>
      <c r="S58" s="26">
        <f>(('Mitigation drivers'!N61*LagoonN2O)+('Mitigation drivers'!N62*LiquidN2O)+('Mitigation drivers'!N63*DrylotN2O)+('Mitigation drivers'!N64*SolidStorageN2O)+('Mitigation drivers'!N65*DailyspreadN2O)+('Mitigation drivers'!N66*CompostN2O)+('Mitigation drivers'!N67*ManwithbedN2O)+('Mitigation drivers'!N68*PMwithoutlitterN2O)+('Mitigation drivers'!N69*PMwithlitterN2O)+('Mitigation drivers'!N71*DigesterN2OEF))/100</f>
        <v>1.5000000000000002E-3</v>
      </c>
      <c r="T58" s="26">
        <f>(('Mitigation drivers'!O61*LagoonN2O)+('Mitigation drivers'!O62*LiquidN2O)+('Mitigation drivers'!O63*DrylotN2O)+('Mitigation drivers'!O64*SolidStorageN2O)+('Mitigation drivers'!O65*DailyspreadN2O)+('Mitigation drivers'!O66*CompostN2O)+('Mitigation drivers'!O67*ManwithbedN2O)+('Mitigation drivers'!O68*PMwithoutlitterN2O)+('Mitigation drivers'!O69*PMwithlitterN2O)+('Mitigation drivers'!O71*DigesterN2OEF))/100</f>
        <v>1.5000000000000002E-3</v>
      </c>
      <c r="U58" s="26">
        <f>(('Mitigation drivers'!P61*LagoonN2O)+('Mitigation drivers'!P62*LiquidN2O)+('Mitigation drivers'!P63*DrylotN2O)+('Mitigation drivers'!P64*SolidStorageN2O)+('Mitigation drivers'!P65*DailyspreadN2O)+('Mitigation drivers'!P66*CompostN2O)+('Mitigation drivers'!P67*ManwithbedN2O)+('Mitigation drivers'!P68*PMwithoutlitterN2O)+('Mitigation drivers'!P69*PMwithlitterN2O)+('Mitigation drivers'!P71*DigesterN2OEF))/100</f>
        <v>1.5000000000000002E-3</v>
      </c>
      <c r="V58" s="26">
        <f>(('Mitigation drivers'!Q61*LagoonN2O)+('Mitigation drivers'!Q62*LiquidN2O)+('Mitigation drivers'!Q63*DrylotN2O)+('Mitigation drivers'!Q64*SolidStorageN2O)+('Mitigation drivers'!Q65*DailyspreadN2O)+('Mitigation drivers'!Q66*CompostN2O)+('Mitigation drivers'!Q67*ManwithbedN2O)+('Mitigation drivers'!Q68*PMwithoutlitterN2O)+('Mitigation drivers'!Q69*PMwithlitterN2O)+('Mitigation drivers'!Q71*DigesterN2OEF))/100</f>
        <v>1.5000000000000002E-3</v>
      </c>
      <c r="W58" s="26">
        <f>(('Mitigation drivers'!R61*LagoonN2O)+('Mitigation drivers'!R62*LiquidN2O)+('Mitigation drivers'!R63*DrylotN2O)+('Mitigation drivers'!R64*SolidStorageN2O)+('Mitigation drivers'!R65*DailyspreadN2O)+('Mitigation drivers'!R66*CompostN2O)+('Mitigation drivers'!R67*ManwithbedN2O)+('Mitigation drivers'!R68*PMwithoutlitterN2O)+('Mitigation drivers'!R69*PMwithlitterN2O)+('Mitigation drivers'!R71*DigesterN2OEF))/100</f>
        <v>1.5000000000000002E-3</v>
      </c>
      <c r="X58" s="26">
        <f>(('Mitigation drivers'!S61*LagoonN2O)+('Mitigation drivers'!S62*LiquidN2O)+('Mitigation drivers'!S63*DrylotN2O)+('Mitigation drivers'!S64*SolidStorageN2O)+('Mitigation drivers'!S65*DailyspreadN2O)+('Mitigation drivers'!S66*CompostN2O)+('Mitigation drivers'!S67*ManwithbedN2O)+('Mitigation drivers'!S68*PMwithoutlitterN2O)+('Mitigation drivers'!S69*PMwithlitterN2O)+('Mitigation drivers'!S71*DigesterN2OEF))/100</f>
        <v>1.5000000000000002E-3</v>
      </c>
      <c r="Y58" s="26">
        <f>(('Mitigation drivers'!T61*LagoonN2O)+('Mitigation drivers'!T62*LiquidN2O)+('Mitigation drivers'!T63*DrylotN2O)+('Mitigation drivers'!T64*SolidStorageN2O)+('Mitigation drivers'!T65*DailyspreadN2O)+('Mitigation drivers'!T66*CompostN2O)+('Mitigation drivers'!T67*ManwithbedN2O)+('Mitigation drivers'!T68*PMwithoutlitterN2O)+('Mitigation drivers'!T69*PMwithlitterN2O)+('Mitigation drivers'!T71*DigesterN2OEF))/100</f>
        <v>1.5000000000000002E-3</v>
      </c>
      <c r="Z58" s="26">
        <f>(('Mitigation drivers'!U61*LagoonN2O)+('Mitigation drivers'!U62*LiquidN2O)+('Mitigation drivers'!U63*DrylotN2O)+('Mitigation drivers'!U64*SolidStorageN2O)+('Mitigation drivers'!U65*DailyspreadN2O)+('Mitigation drivers'!U66*CompostN2O)+('Mitigation drivers'!U67*ManwithbedN2O)+('Mitigation drivers'!U68*PMwithoutlitterN2O)+('Mitigation drivers'!U69*PMwithlitterN2O)+('Mitigation drivers'!U71*DigesterN2OEF))/100</f>
        <v>1.5000000000000002E-3</v>
      </c>
      <c r="AA58" s="26">
        <f>(('Mitigation drivers'!V61*LagoonN2O)+('Mitigation drivers'!V62*LiquidN2O)+('Mitigation drivers'!V63*DrylotN2O)+('Mitigation drivers'!V64*SolidStorageN2O)+('Mitigation drivers'!V65*DailyspreadN2O)+('Mitigation drivers'!V66*CompostN2O)+('Mitigation drivers'!V67*ManwithbedN2O)+('Mitigation drivers'!V68*PMwithoutlitterN2O)+('Mitigation drivers'!V69*PMwithlitterN2O)+('Mitigation drivers'!V71*DigesterN2OEF))/100</f>
        <v>1.5000000000000002E-3</v>
      </c>
      <c r="AB58" s="26">
        <f>(('Mitigation drivers'!W61*LagoonN2O)+('Mitigation drivers'!W62*LiquidN2O)+('Mitigation drivers'!W63*DrylotN2O)+('Mitigation drivers'!W64*SolidStorageN2O)+('Mitigation drivers'!W65*DailyspreadN2O)+('Mitigation drivers'!W66*CompostN2O)+('Mitigation drivers'!W67*ManwithbedN2O)+('Mitigation drivers'!W68*PMwithoutlitterN2O)+('Mitigation drivers'!W69*PMwithlitterN2O)+('Mitigation drivers'!W71*DigesterN2OEF))/100</f>
        <v>1.5000000000000002E-3</v>
      </c>
      <c r="AC58" s="26">
        <f>(('Mitigation drivers'!X61*LagoonN2O)+('Mitigation drivers'!X62*LiquidN2O)+('Mitigation drivers'!X63*DrylotN2O)+('Mitigation drivers'!X64*SolidStorageN2O)+('Mitigation drivers'!X65*DailyspreadN2O)+('Mitigation drivers'!X66*CompostN2O)+('Mitigation drivers'!X67*ManwithbedN2O)+('Mitigation drivers'!X68*PMwithoutlitterN2O)+('Mitigation drivers'!X69*PMwithlitterN2O)+('Mitigation drivers'!X71*DigesterN2OEF))/100</f>
        <v>1.5000000000000002E-3</v>
      </c>
      <c r="AD58" s="26">
        <f>(('Mitigation drivers'!Y61*LagoonN2O)+('Mitigation drivers'!Y62*LiquidN2O)+('Mitigation drivers'!Y63*DrylotN2O)+('Mitigation drivers'!Y64*SolidStorageN2O)+('Mitigation drivers'!Y65*DailyspreadN2O)+('Mitigation drivers'!Y66*CompostN2O)+('Mitigation drivers'!Y67*ManwithbedN2O)+('Mitigation drivers'!Y68*PMwithoutlitterN2O)+('Mitigation drivers'!Y69*PMwithlitterN2O)+('Mitigation drivers'!Y71*DigesterN2OEF))/100</f>
        <v>1.5000000000000002E-3</v>
      </c>
      <c r="AE58" s="26">
        <f>(('Mitigation drivers'!Z61*LagoonN2O)+('Mitigation drivers'!Z62*LiquidN2O)+('Mitigation drivers'!Z63*DrylotN2O)+('Mitigation drivers'!Z64*SolidStorageN2O)+('Mitigation drivers'!Z65*DailyspreadN2O)+('Mitigation drivers'!Z66*CompostN2O)+('Mitigation drivers'!Z67*ManwithbedN2O)+('Mitigation drivers'!Z68*PMwithoutlitterN2O)+('Mitigation drivers'!Z69*PMwithlitterN2O)+('Mitigation drivers'!Z71*DigesterN2OEF))/100</f>
        <v>1.5000000000000002E-3</v>
      </c>
      <c r="AF58" s="26">
        <f>(('Mitigation drivers'!AA61*LagoonN2O)+('Mitigation drivers'!AA62*LiquidN2O)+('Mitigation drivers'!AA63*DrylotN2O)+('Mitigation drivers'!AA64*SolidStorageN2O)+('Mitigation drivers'!AA65*DailyspreadN2O)+('Mitigation drivers'!AA66*CompostN2O)+('Mitigation drivers'!AA67*ManwithbedN2O)+('Mitigation drivers'!AA68*PMwithoutlitterN2O)+('Mitigation drivers'!AA69*PMwithlitterN2O)+('Mitigation drivers'!AA71*DigesterN2OEF))/100</f>
        <v>1.5000000000000002E-3</v>
      </c>
      <c r="AG58" s="26">
        <f>(('Mitigation drivers'!AB61*LagoonN2O)+('Mitigation drivers'!AB62*LiquidN2O)+('Mitigation drivers'!AB63*DrylotN2O)+('Mitigation drivers'!AB64*SolidStorageN2O)+('Mitigation drivers'!AB65*DailyspreadN2O)+('Mitigation drivers'!AB66*CompostN2O)+('Mitigation drivers'!AB67*ManwithbedN2O)+('Mitigation drivers'!AB68*PMwithoutlitterN2O)+('Mitigation drivers'!AB69*PMwithlitterN2O)+('Mitigation drivers'!AB71*DigesterN2OEF))/100</f>
        <v>1.5000000000000002E-3</v>
      </c>
      <c r="AH58" s="26">
        <f>(('Mitigation drivers'!AC61*LagoonN2O)+('Mitigation drivers'!AC62*LiquidN2O)+('Mitigation drivers'!AC63*DrylotN2O)+('Mitigation drivers'!AC64*SolidStorageN2O)+('Mitigation drivers'!AC65*DailyspreadN2O)+('Mitigation drivers'!AC66*CompostN2O)+('Mitigation drivers'!AC67*ManwithbedN2O)+('Mitigation drivers'!AC68*PMwithoutlitterN2O)+('Mitigation drivers'!AC69*PMwithlitterN2O)+('Mitigation drivers'!AC71*DigesterN2OEF))/100</f>
        <v>1.5000000000000002E-3</v>
      </c>
      <c r="AI58" s="26">
        <f>(('Mitigation drivers'!AD61*LagoonN2O)+('Mitigation drivers'!AD62*LiquidN2O)+('Mitigation drivers'!AD63*DrylotN2O)+('Mitigation drivers'!AD64*SolidStorageN2O)+('Mitigation drivers'!AD65*DailyspreadN2O)+('Mitigation drivers'!AD66*CompostN2O)+('Mitigation drivers'!AD67*ManwithbedN2O)+('Mitigation drivers'!AD68*PMwithoutlitterN2O)+('Mitigation drivers'!AD69*PMwithlitterN2O)+('Mitigation drivers'!AD71*DigesterN2OEF))/100</f>
        <v>1.5000000000000002E-3</v>
      </c>
      <c r="AJ58" s="26">
        <f>(('Mitigation drivers'!AE61*LagoonN2O)+('Mitigation drivers'!AE62*LiquidN2O)+('Mitigation drivers'!AE63*DrylotN2O)+('Mitigation drivers'!AE64*SolidStorageN2O)+('Mitigation drivers'!AE65*DailyspreadN2O)+('Mitigation drivers'!AE66*CompostN2O)+('Mitigation drivers'!AE67*ManwithbedN2O)+('Mitigation drivers'!AE68*PMwithoutlitterN2O)+('Mitigation drivers'!AE69*PMwithlitterN2O)+('Mitigation drivers'!AE71*DigesterN2OEF))/100</f>
        <v>1.5000000000000002E-3</v>
      </c>
      <c r="AK58" s="26">
        <f>(('Mitigation drivers'!AF61*LagoonN2O)+('Mitigation drivers'!AF62*LiquidN2O)+('Mitigation drivers'!AF63*DrylotN2O)+('Mitigation drivers'!AF64*SolidStorageN2O)+('Mitigation drivers'!AF65*DailyspreadN2O)+('Mitigation drivers'!AF66*CompostN2O)+('Mitigation drivers'!AF67*ManwithbedN2O)+('Mitigation drivers'!AF68*PMwithoutlitterN2O)+('Mitigation drivers'!AF69*PMwithlitterN2O)+('Mitigation drivers'!AF71*DigesterN2OEF))/100</f>
        <v>1.5000000000000002E-3</v>
      </c>
      <c r="AL58" s="26">
        <f>(('Mitigation drivers'!AG61*LagoonN2O)+('Mitigation drivers'!AG62*LiquidN2O)+('Mitigation drivers'!AG63*DrylotN2O)+('Mitigation drivers'!AG64*SolidStorageN2O)+('Mitigation drivers'!AG65*DailyspreadN2O)+('Mitigation drivers'!AG66*CompostN2O)+('Mitigation drivers'!AG67*ManwithbedN2O)+('Mitigation drivers'!AG68*PMwithoutlitterN2O)+('Mitigation drivers'!AG69*PMwithlitterN2O)+('Mitigation drivers'!AG71*DigesterN2OEF))/100</f>
        <v>1.5000000000000002E-3</v>
      </c>
      <c r="AM58" s="26">
        <f>(('Mitigation drivers'!AH61*LagoonN2O)+('Mitigation drivers'!AH62*LiquidN2O)+('Mitigation drivers'!AH63*DrylotN2O)+('Mitigation drivers'!AH64*SolidStorageN2O)+('Mitigation drivers'!AH65*DailyspreadN2O)+('Mitigation drivers'!AH66*CompostN2O)+('Mitigation drivers'!AH67*ManwithbedN2O)+('Mitigation drivers'!AH68*PMwithoutlitterN2O)+('Mitigation drivers'!AH69*PMwithlitterN2O)+('Mitigation drivers'!AH71*DigesterN2OEF))/100</f>
        <v>1.5000000000000002E-3</v>
      </c>
      <c r="AN58" s="26">
        <f>(('Mitigation drivers'!AI61*LagoonN2O)+('Mitigation drivers'!AI62*LiquidN2O)+('Mitigation drivers'!AI63*DrylotN2O)+('Mitigation drivers'!AI64*SolidStorageN2O)+('Mitigation drivers'!AI65*DailyspreadN2O)+('Mitigation drivers'!AI66*CompostN2O)+('Mitigation drivers'!AI67*ManwithbedN2O)+('Mitigation drivers'!AI68*PMwithoutlitterN2O)+('Mitigation drivers'!AI69*PMwithlitterN2O)+('Mitigation drivers'!AI71*DigesterN2OEF))/100</f>
        <v>1.5000000000000002E-3</v>
      </c>
      <c r="AO58" s="26">
        <f>(('Mitigation drivers'!AJ61*LagoonN2O)+('Mitigation drivers'!AJ62*LiquidN2O)+('Mitigation drivers'!AJ63*DrylotN2O)+('Mitigation drivers'!AJ64*SolidStorageN2O)+('Mitigation drivers'!AJ65*DailyspreadN2O)+('Mitigation drivers'!AJ66*CompostN2O)+('Mitigation drivers'!AJ67*ManwithbedN2O)+('Mitigation drivers'!AJ68*PMwithoutlitterN2O)+('Mitigation drivers'!AJ69*PMwithlitterN2O)+('Mitigation drivers'!AJ71*DigesterN2OEF))/100</f>
        <v>1.5000000000000002E-3</v>
      </c>
    </row>
    <row r="59" spans="1:41" x14ac:dyDescent="0.25">
      <c r="A59" t="str">
        <f t="shared" si="1"/>
        <v>3A Livestock</v>
      </c>
      <c r="B59" t="str">
        <f t="shared" si="8"/>
        <v>3A2 Manure management (N2O)</v>
      </c>
      <c r="C59" t="str">
        <f>'Activity data'!C10</f>
        <v>3A1aii Other cattle</v>
      </c>
      <c r="D59" t="str">
        <f>'Activity data'!D10</f>
        <v>Feedlot</v>
      </c>
      <c r="E59" t="str">
        <f t="shared" si="27"/>
        <v>Manure management EF</v>
      </c>
      <c r="F59" t="str">
        <f t="shared" si="28"/>
        <v>N2O</v>
      </c>
      <c r="G59" t="str">
        <f t="shared" si="29"/>
        <v>kg N2O-N/kg Nex</v>
      </c>
      <c r="H59" s="26">
        <f>(('Mitigation drivers'!C73*LagoonN2O)+('Mitigation drivers'!C74*LiquidN2O)+('Mitigation drivers'!C75*DrylotN2O)+('Mitigation drivers'!C76*SolidStorageN2O)+('Mitigation drivers'!C77*DailyspreadN2O)+('Mitigation drivers'!C78*CompostN2O)+('Mitigation drivers'!C79*ManwithbedN2O)+('Mitigation drivers'!C80*PMwithoutlitterN2O)+('Mitigation drivers'!C81*PMwithlitterN2O)+('Mitigation drivers'!C83*DigesterN2OEF))/100</f>
        <v>1.7500000000000002E-2</v>
      </c>
      <c r="I59" s="26">
        <f>(('Mitigation drivers'!D73*LagoonN2O)+('Mitigation drivers'!D74*LiquidN2O)+('Mitigation drivers'!D75*DrylotN2O)+('Mitigation drivers'!D76*SolidStorageN2O)+('Mitigation drivers'!D77*DailyspreadN2O)+('Mitigation drivers'!D78*CompostN2O)+('Mitigation drivers'!D79*ManwithbedN2O)+('Mitigation drivers'!D80*PMwithoutlitterN2O)+('Mitigation drivers'!D81*PMwithlitterN2O)+('Mitigation drivers'!D83*DigesterN2OEF))/100</f>
        <v>1.7500000000000002E-2</v>
      </c>
      <c r="J59" s="26">
        <f>(('Mitigation drivers'!E73*LagoonN2O)+('Mitigation drivers'!E74*LiquidN2O)+('Mitigation drivers'!E75*DrylotN2O)+('Mitigation drivers'!E76*SolidStorageN2O)+('Mitigation drivers'!E77*DailyspreadN2O)+('Mitigation drivers'!E78*CompostN2O)+('Mitigation drivers'!E79*ManwithbedN2O)+('Mitigation drivers'!E80*PMwithoutlitterN2O)+('Mitigation drivers'!E81*PMwithlitterN2O)+('Mitigation drivers'!E83*DigesterN2OEF))/100</f>
        <v>1.7500000000000002E-2</v>
      </c>
      <c r="K59" s="26">
        <f>(('Mitigation drivers'!F73*LagoonN2O)+('Mitigation drivers'!F74*LiquidN2O)+('Mitigation drivers'!F75*DrylotN2O)+('Mitigation drivers'!F76*SolidStorageN2O)+('Mitigation drivers'!F77*DailyspreadN2O)+('Mitigation drivers'!F78*CompostN2O)+('Mitigation drivers'!F79*ManwithbedN2O)+('Mitigation drivers'!F80*PMwithoutlitterN2O)+('Mitigation drivers'!F81*PMwithlitterN2O)+('Mitigation drivers'!F83*DigesterN2OEF))/100</f>
        <v>1.7500000000000002E-2</v>
      </c>
      <c r="L59" s="26">
        <f>(('Mitigation drivers'!G73*LagoonN2O)+('Mitigation drivers'!G74*LiquidN2O)+('Mitigation drivers'!G75*DrylotN2O)+('Mitigation drivers'!G76*SolidStorageN2O)+('Mitigation drivers'!G77*DailyspreadN2O)+('Mitigation drivers'!G78*CompostN2O)+('Mitigation drivers'!G79*ManwithbedN2O)+('Mitigation drivers'!G80*PMwithoutlitterN2O)+('Mitigation drivers'!G81*PMwithlitterN2O)+('Mitigation drivers'!G83*DigesterN2OEF))/100</f>
        <v>1.7500000000000002E-2</v>
      </c>
      <c r="M59" s="26">
        <f>(('Mitigation drivers'!H73*LagoonN2O)+('Mitigation drivers'!H74*LiquidN2O)+('Mitigation drivers'!H75*DrylotN2O)+('Mitigation drivers'!H76*SolidStorageN2O)+('Mitigation drivers'!H77*DailyspreadN2O)+('Mitigation drivers'!H78*CompostN2O)+('Mitigation drivers'!H79*ManwithbedN2O)+('Mitigation drivers'!H80*PMwithoutlitterN2O)+('Mitigation drivers'!H81*PMwithlitterN2O)+('Mitigation drivers'!H83*DigesterN2OEF))/100</f>
        <v>1.7500000000000002E-2</v>
      </c>
      <c r="N59" s="26">
        <f>(('Mitigation drivers'!I73*LagoonN2O)+('Mitigation drivers'!I74*LiquidN2O)+('Mitigation drivers'!I75*DrylotN2O)+('Mitigation drivers'!I76*SolidStorageN2O)+('Mitigation drivers'!I77*DailyspreadN2O)+('Mitigation drivers'!I78*CompostN2O)+('Mitigation drivers'!I79*ManwithbedN2O)+('Mitigation drivers'!I80*PMwithoutlitterN2O)+('Mitigation drivers'!I81*PMwithlitterN2O)+('Mitigation drivers'!I83*DigesterN2OEF))/100</f>
        <v>1.7500000000000002E-2</v>
      </c>
      <c r="O59" s="26">
        <f>(('Mitigation drivers'!J73*LagoonN2O)+('Mitigation drivers'!J74*LiquidN2O)+('Mitigation drivers'!J75*DrylotN2O)+('Mitigation drivers'!J76*SolidStorageN2O)+('Mitigation drivers'!J77*DailyspreadN2O)+('Mitigation drivers'!J78*CompostN2O)+('Mitigation drivers'!J79*ManwithbedN2O)+('Mitigation drivers'!J80*PMwithoutlitterN2O)+('Mitigation drivers'!J81*PMwithlitterN2O)+('Mitigation drivers'!J83*DigesterN2OEF))/100</f>
        <v>1.7500000000000002E-2</v>
      </c>
      <c r="P59" s="26">
        <f>(('Mitigation drivers'!K73*LagoonN2O)+('Mitigation drivers'!K74*LiquidN2O)+('Mitigation drivers'!K75*DrylotN2O)+('Mitigation drivers'!K76*SolidStorageN2O)+('Mitigation drivers'!K77*DailyspreadN2O)+('Mitigation drivers'!K78*CompostN2O)+('Mitigation drivers'!K79*ManwithbedN2O)+('Mitigation drivers'!K80*PMwithoutlitterN2O)+('Mitigation drivers'!K81*PMwithlitterN2O)+('Mitigation drivers'!K83*DigesterN2OEF))/100</f>
        <v>1.7500000000000002E-2</v>
      </c>
      <c r="Q59" s="26">
        <f>(('Mitigation drivers'!L73*LagoonN2O)+('Mitigation drivers'!L74*LiquidN2O)+('Mitigation drivers'!L75*DrylotN2O)+('Mitigation drivers'!L76*SolidStorageN2O)+('Mitigation drivers'!L77*DailyspreadN2O)+('Mitigation drivers'!L78*CompostN2O)+('Mitigation drivers'!L79*ManwithbedN2O)+('Mitigation drivers'!L80*PMwithoutlitterN2O)+('Mitigation drivers'!L81*PMwithlitterN2O)+('Mitigation drivers'!L83*DigesterN2OEF))/100</f>
        <v>1.7500000000000002E-2</v>
      </c>
      <c r="R59" s="26">
        <f>(('Mitigation drivers'!M73*LagoonN2O)+('Mitigation drivers'!M74*LiquidN2O)+('Mitigation drivers'!M75*DrylotN2O)+('Mitigation drivers'!M76*SolidStorageN2O)+('Mitigation drivers'!M77*DailyspreadN2O)+('Mitigation drivers'!M78*CompostN2O)+('Mitigation drivers'!M79*ManwithbedN2O)+('Mitigation drivers'!M80*PMwithoutlitterN2O)+('Mitigation drivers'!M81*PMwithlitterN2O)+('Mitigation drivers'!M83*DigesterN2OEF))/100</f>
        <v>1.7500000000000002E-2</v>
      </c>
      <c r="S59" s="26">
        <f>(('Mitigation drivers'!N73*LagoonN2O)+('Mitigation drivers'!N74*LiquidN2O)+('Mitigation drivers'!N75*DrylotN2O)+('Mitigation drivers'!N76*SolidStorageN2O)+('Mitigation drivers'!N77*DailyspreadN2O)+('Mitigation drivers'!N78*CompostN2O)+('Mitigation drivers'!N79*ManwithbedN2O)+('Mitigation drivers'!N80*PMwithoutlitterN2O)+('Mitigation drivers'!N81*PMwithlitterN2O)+('Mitigation drivers'!N83*DigesterN2OEF))/100</f>
        <v>1.7500000000000002E-2</v>
      </c>
      <c r="T59" s="26">
        <f>(('Mitigation drivers'!O73*LagoonN2O)+('Mitigation drivers'!O74*LiquidN2O)+('Mitigation drivers'!O75*DrylotN2O)+('Mitigation drivers'!O76*SolidStorageN2O)+('Mitigation drivers'!O77*DailyspreadN2O)+('Mitigation drivers'!O78*CompostN2O)+('Mitigation drivers'!O79*ManwithbedN2O)+('Mitigation drivers'!O80*PMwithoutlitterN2O)+('Mitigation drivers'!O81*PMwithlitterN2O)+('Mitigation drivers'!O83*DigesterN2OEF))/100</f>
        <v>1.7500000000000002E-2</v>
      </c>
      <c r="U59" s="26">
        <f>(('Mitigation drivers'!P73*LagoonN2O)+('Mitigation drivers'!P74*LiquidN2O)+('Mitigation drivers'!P75*DrylotN2O)+('Mitigation drivers'!P76*SolidStorageN2O)+('Mitigation drivers'!P77*DailyspreadN2O)+('Mitigation drivers'!P78*CompostN2O)+('Mitigation drivers'!P79*ManwithbedN2O)+('Mitigation drivers'!P80*PMwithoutlitterN2O)+('Mitigation drivers'!P81*PMwithlitterN2O)+('Mitigation drivers'!P83*DigesterN2OEF))/100</f>
        <v>1.7500000000000002E-2</v>
      </c>
      <c r="V59" s="26">
        <f>(('Mitigation drivers'!Q73*LagoonN2O)+('Mitigation drivers'!Q74*LiquidN2O)+('Mitigation drivers'!Q75*DrylotN2O)+('Mitigation drivers'!Q76*SolidStorageN2O)+('Mitigation drivers'!Q77*DailyspreadN2O)+('Mitigation drivers'!Q78*CompostN2O)+('Mitigation drivers'!Q79*ManwithbedN2O)+('Mitigation drivers'!Q80*PMwithoutlitterN2O)+('Mitigation drivers'!Q81*PMwithlitterN2O)+('Mitigation drivers'!Q83*DigesterN2OEF))/100</f>
        <v>1.7500000000000002E-2</v>
      </c>
      <c r="W59" s="26">
        <f>(('Mitigation drivers'!R73*LagoonN2O)+('Mitigation drivers'!R74*LiquidN2O)+('Mitigation drivers'!R75*DrylotN2O)+('Mitigation drivers'!R76*SolidStorageN2O)+('Mitigation drivers'!R77*DailyspreadN2O)+('Mitigation drivers'!R78*CompostN2O)+('Mitigation drivers'!R79*ManwithbedN2O)+('Mitigation drivers'!R80*PMwithoutlitterN2O)+('Mitigation drivers'!R81*PMwithlitterN2O)+('Mitigation drivers'!R83*DigesterN2OEF))/100</f>
        <v>1.7500000000000002E-2</v>
      </c>
      <c r="X59" s="26">
        <f>(('Mitigation drivers'!S73*LagoonN2O)+('Mitigation drivers'!S74*LiquidN2O)+('Mitigation drivers'!S75*DrylotN2O)+('Mitigation drivers'!S76*SolidStorageN2O)+('Mitigation drivers'!S77*DailyspreadN2O)+('Mitigation drivers'!S78*CompostN2O)+('Mitigation drivers'!S79*ManwithbedN2O)+('Mitigation drivers'!S80*PMwithoutlitterN2O)+('Mitigation drivers'!S81*PMwithlitterN2O)+('Mitigation drivers'!S83*DigesterN2OEF))/100</f>
        <v>1.7500000000000002E-2</v>
      </c>
      <c r="Y59" s="26">
        <f>(('Mitigation drivers'!T73*LagoonN2O)+('Mitigation drivers'!T74*LiquidN2O)+('Mitigation drivers'!T75*DrylotN2O)+('Mitigation drivers'!T76*SolidStorageN2O)+('Mitigation drivers'!T77*DailyspreadN2O)+('Mitigation drivers'!T78*CompostN2O)+('Mitigation drivers'!T79*ManwithbedN2O)+('Mitigation drivers'!T80*PMwithoutlitterN2O)+('Mitigation drivers'!T81*PMwithlitterN2O)+('Mitigation drivers'!T83*DigesterN2OEF))/100</f>
        <v>1.7500000000000002E-2</v>
      </c>
      <c r="Z59" s="26">
        <f>(('Mitigation drivers'!U73*LagoonN2O)+('Mitigation drivers'!U74*LiquidN2O)+('Mitigation drivers'!U75*DrylotN2O)+('Mitigation drivers'!U76*SolidStorageN2O)+('Mitigation drivers'!U77*DailyspreadN2O)+('Mitigation drivers'!U78*CompostN2O)+('Mitigation drivers'!U79*ManwithbedN2O)+('Mitigation drivers'!U80*PMwithoutlitterN2O)+('Mitigation drivers'!U81*PMwithlitterN2O)+('Mitigation drivers'!U83*DigesterN2OEF))/100</f>
        <v>1.7500000000000002E-2</v>
      </c>
      <c r="AA59" s="26">
        <f>(('Mitigation drivers'!V73*LagoonN2O)+('Mitigation drivers'!V74*LiquidN2O)+('Mitigation drivers'!V75*DrylotN2O)+('Mitigation drivers'!V76*SolidStorageN2O)+('Mitigation drivers'!V77*DailyspreadN2O)+('Mitigation drivers'!V78*CompostN2O)+('Mitigation drivers'!V79*ManwithbedN2O)+('Mitigation drivers'!V80*PMwithoutlitterN2O)+('Mitigation drivers'!V81*PMwithlitterN2O)+('Mitigation drivers'!V83*DigesterN2OEF))/100</f>
        <v>1.7500000000000002E-2</v>
      </c>
      <c r="AB59" s="26">
        <f>(('Mitigation drivers'!W73*LagoonN2O)+('Mitigation drivers'!W74*LiquidN2O)+('Mitigation drivers'!W75*DrylotN2O)+('Mitigation drivers'!W76*SolidStorageN2O)+('Mitigation drivers'!W77*DailyspreadN2O)+('Mitigation drivers'!W78*CompostN2O)+('Mitigation drivers'!W79*ManwithbedN2O)+('Mitigation drivers'!W80*PMwithoutlitterN2O)+('Mitigation drivers'!W81*PMwithlitterN2O)+('Mitigation drivers'!W83*DigesterN2OEF))/100</f>
        <v>1.7500000000000002E-2</v>
      </c>
      <c r="AC59" s="26">
        <f>(('Mitigation drivers'!X73*LagoonN2O)+('Mitigation drivers'!X74*LiquidN2O)+('Mitigation drivers'!X75*DrylotN2O)+('Mitigation drivers'!X76*SolidStorageN2O)+('Mitigation drivers'!X77*DailyspreadN2O)+('Mitigation drivers'!X78*CompostN2O)+('Mitigation drivers'!X79*ManwithbedN2O)+('Mitigation drivers'!X80*PMwithoutlitterN2O)+('Mitigation drivers'!X81*PMwithlitterN2O)+('Mitigation drivers'!X83*DigesterN2OEF))/100</f>
        <v>1.7500000000000002E-2</v>
      </c>
      <c r="AD59" s="26">
        <f>(('Mitigation drivers'!Y73*LagoonN2O)+('Mitigation drivers'!Y74*LiquidN2O)+('Mitigation drivers'!Y75*DrylotN2O)+('Mitigation drivers'!Y76*SolidStorageN2O)+('Mitigation drivers'!Y77*DailyspreadN2O)+('Mitigation drivers'!Y78*CompostN2O)+('Mitigation drivers'!Y79*ManwithbedN2O)+('Mitigation drivers'!Y80*PMwithoutlitterN2O)+('Mitigation drivers'!Y81*PMwithlitterN2O)+('Mitigation drivers'!Y83*DigesterN2OEF))/100</f>
        <v>1.7500000000000002E-2</v>
      </c>
      <c r="AE59" s="26">
        <f>(('Mitigation drivers'!Z73*LagoonN2O)+('Mitigation drivers'!Z74*LiquidN2O)+('Mitigation drivers'!Z75*DrylotN2O)+('Mitigation drivers'!Z76*SolidStorageN2O)+('Mitigation drivers'!Z77*DailyspreadN2O)+('Mitigation drivers'!Z78*CompostN2O)+('Mitigation drivers'!Z79*ManwithbedN2O)+('Mitigation drivers'!Z80*PMwithoutlitterN2O)+('Mitigation drivers'!Z81*PMwithlitterN2O)+('Mitigation drivers'!Z83*DigesterN2OEF))/100</f>
        <v>1.7500000000000002E-2</v>
      </c>
      <c r="AF59" s="26">
        <f>(('Mitigation drivers'!AA73*LagoonN2O)+('Mitigation drivers'!AA74*LiquidN2O)+('Mitigation drivers'!AA75*DrylotN2O)+('Mitigation drivers'!AA76*SolidStorageN2O)+('Mitigation drivers'!AA77*DailyspreadN2O)+('Mitigation drivers'!AA78*CompostN2O)+('Mitigation drivers'!AA79*ManwithbedN2O)+('Mitigation drivers'!AA80*PMwithoutlitterN2O)+('Mitigation drivers'!AA81*PMwithlitterN2O)+('Mitigation drivers'!AA83*DigesterN2OEF))/100</f>
        <v>1.7500000000000002E-2</v>
      </c>
      <c r="AG59" s="26">
        <f>(('Mitigation drivers'!AB73*LagoonN2O)+('Mitigation drivers'!AB74*LiquidN2O)+('Mitigation drivers'!AB75*DrylotN2O)+('Mitigation drivers'!AB76*SolidStorageN2O)+('Mitigation drivers'!AB77*DailyspreadN2O)+('Mitigation drivers'!AB78*CompostN2O)+('Mitigation drivers'!AB79*ManwithbedN2O)+('Mitigation drivers'!AB80*PMwithoutlitterN2O)+('Mitigation drivers'!AB81*PMwithlitterN2O)+('Mitigation drivers'!AB83*DigesterN2OEF))/100</f>
        <v>1.7500000000000002E-2</v>
      </c>
      <c r="AH59" s="26">
        <f>(('Mitigation drivers'!AC73*LagoonN2O)+('Mitigation drivers'!AC74*LiquidN2O)+('Mitigation drivers'!AC75*DrylotN2O)+('Mitigation drivers'!AC76*SolidStorageN2O)+('Mitigation drivers'!AC77*DailyspreadN2O)+('Mitigation drivers'!AC78*CompostN2O)+('Mitigation drivers'!AC79*ManwithbedN2O)+('Mitigation drivers'!AC80*PMwithoutlitterN2O)+('Mitigation drivers'!AC81*PMwithlitterN2O)+('Mitigation drivers'!AC83*DigesterN2OEF))/100</f>
        <v>1.7500000000000002E-2</v>
      </c>
      <c r="AI59" s="26">
        <f>(('Mitigation drivers'!AD73*LagoonN2O)+('Mitigation drivers'!AD74*LiquidN2O)+('Mitigation drivers'!AD75*DrylotN2O)+('Mitigation drivers'!AD76*SolidStorageN2O)+('Mitigation drivers'!AD77*DailyspreadN2O)+('Mitigation drivers'!AD78*CompostN2O)+('Mitigation drivers'!AD79*ManwithbedN2O)+('Mitigation drivers'!AD80*PMwithoutlitterN2O)+('Mitigation drivers'!AD81*PMwithlitterN2O)+('Mitigation drivers'!AD83*DigesterN2OEF))/100</f>
        <v>1.7500000000000002E-2</v>
      </c>
      <c r="AJ59" s="26">
        <f>(('Mitigation drivers'!AE73*LagoonN2O)+('Mitigation drivers'!AE74*LiquidN2O)+('Mitigation drivers'!AE75*DrylotN2O)+('Mitigation drivers'!AE76*SolidStorageN2O)+('Mitigation drivers'!AE77*DailyspreadN2O)+('Mitigation drivers'!AE78*CompostN2O)+('Mitigation drivers'!AE79*ManwithbedN2O)+('Mitigation drivers'!AE80*PMwithoutlitterN2O)+('Mitigation drivers'!AE81*PMwithlitterN2O)+('Mitigation drivers'!AE83*DigesterN2OEF))/100</f>
        <v>1.7500000000000002E-2</v>
      </c>
      <c r="AK59" s="26">
        <f>(('Mitigation drivers'!AF73*LagoonN2O)+('Mitigation drivers'!AF74*LiquidN2O)+('Mitigation drivers'!AF75*DrylotN2O)+('Mitigation drivers'!AF76*SolidStorageN2O)+('Mitigation drivers'!AF77*DailyspreadN2O)+('Mitigation drivers'!AF78*CompostN2O)+('Mitigation drivers'!AF79*ManwithbedN2O)+('Mitigation drivers'!AF80*PMwithoutlitterN2O)+('Mitigation drivers'!AF81*PMwithlitterN2O)+('Mitigation drivers'!AF83*DigesterN2OEF))/100</f>
        <v>1.7500000000000002E-2</v>
      </c>
      <c r="AL59" s="26">
        <f>(('Mitigation drivers'!AG73*LagoonN2O)+('Mitigation drivers'!AG74*LiquidN2O)+('Mitigation drivers'!AG75*DrylotN2O)+('Mitigation drivers'!AG76*SolidStorageN2O)+('Mitigation drivers'!AG77*DailyspreadN2O)+('Mitigation drivers'!AG78*CompostN2O)+('Mitigation drivers'!AG79*ManwithbedN2O)+('Mitigation drivers'!AG80*PMwithoutlitterN2O)+('Mitigation drivers'!AG81*PMwithlitterN2O)+('Mitigation drivers'!AG83*DigesterN2OEF))/100</f>
        <v>1.7500000000000002E-2</v>
      </c>
      <c r="AM59" s="26">
        <f>(('Mitigation drivers'!AH73*LagoonN2O)+('Mitigation drivers'!AH74*LiquidN2O)+('Mitigation drivers'!AH75*DrylotN2O)+('Mitigation drivers'!AH76*SolidStorageN2O)+('Mitigation drivers'!AH77*DailyspreadN2O)+('Mitigation drivers'!AH78*CompostN2O)+('Mitigation drivers'!AH79*ManwithbedN2O)+('Mitigation drivers'!AH80*PMwithoutlitterN2O)+('Mitigation drivers'!AH81*PMwithlitterN2O)+('Mitigation drivers'!AH83*DigesterN2OEF))/100</f>
        <v>1.7500000000000002E-2</v>
      </c>
      <c r="AN59" s="26">
        <f>(('Mitigation drivers'!AI73*LagoonN2O)+('Mitigation drivers'!AI74*LiquidN2O)+('Mitigation drivers'!AI75*DrylotN2O)+('Mitigation drivers'!AI76*SolidStorageN2O)+('Mitigation drivers'!AI77*DailyspreadN2O)+('Mitigation drivers'!AI78*CompostN2O)+('Mitigation drivers'!AI79*ManwithbedN2O)+('Mitigation drivers'!AI80*PMwithoutlitterN2O)+('Mitigation drivers'!AI81*PMwithlitterN2O)+('Mitigation drivers'!AI83*DigesterN2OEF))/100</f>
        <v>1.7500000000000002E-2</v>
      </c>
      <c r="AO59" s="26">
        <f>(('Mitigation drivers'!AJ73*LagoonN2O)+('Mitigation drivers'!AJ74*LiquidN2O)+('Mitigation drivers'!AJ75*DrylotN2O)+('Mitigation drivers'!AJ76*SolidStorageN2O)+('Mitigation drivers'!AJ77*DailyspreadN2O)+('Mitigation drivers'!AJ78*CompostN2O)+('Mitigation drivers'!AJ79*ManwithbedN2O)+('Mitigation drivers'!AJ80*PMwithoutlitterN2O)+('Mitigation drivers'!AJ81*PMwithlitterN2O)+('Mitigation drivers'!AJ83*DigesterN2OEF))/100</f>
        <v>1.7500000000000002E-2</v>
      </c>
    </row>
    <row r="60" spans="1:41" x14ac:dyDescent="0.25">
      <c r="A60" t="str">
        <f t="shared" si="1"/>
        <v>3A Livestock</v>
      </c>
      <c r="B60" t="str">
        <f t="shared" si="8"/>
        <v>3A2 Manure management (N2O)</v>
      </c>
      <c r="C60" t="str">
        <f>'Activity data'!C11</f>
        <v>3A1c Sheep</v>
      </c>
      <c r="D60" t="str">
        <f>'Activity data'!D11</f>
        <v>Commercial</v>
      </c>
      <c r="E60" t="str">
        <f t="shared" si="27"/>
        <v>Manure management EF</v>
      </c>
      <c r="F60" t="str">
        <f t="shared" si="28"/>
        <v>N2O</v>
      </c>
      <c r="G60" t="str">
        <f t="shared" si="29"/>
        <v>kg N2O-N/kg Nex</v>
      </c>
      <c r="H60" s="26">
        <f>(('Mitigation drivers'!C86*LagoonN2O)+('Mitigation drivers'!C87*LiquidN2O)+('Mitigation drivers'!C88*DrylotN2O)+('Mitigation drivers'!C89*SolidStorageN2O)+('Mitigation drivers'!C90*DailyspreadN2O)+('Mitigation drivers'!C91*CompostN2O)+('Mitigation drivers'!C92*ManwithbedN2O)+('Mitigation drivers'!C93*PMwithoutlitterN2O)+('Mitigation drivers'!C94*PMwithlitterN2O)+('Mitigation drivers'!C96*DigesterN2OEF))/100</f>
        <v>2.0000000000000001E-4</v>
      </c>
      <c r="I60" s="26">
        <f>(('Mitigation drivers'!D86*LagoonN2O)+('Mitigation drivers'!D87*LiquidN2O)+('Mitigation drivers'!D88*DrylotN2O)+('Mitigation drivers'!D89*SolidStorageN2O)+('Mitigation drivers'!D90*DailyspreadN2O)+('Mitigation drivers'!D91*CompostN2O)+('Mitigation drivers'!D92*ManwithbedN2O)+('Mitigation drivers'!D93*PMwithoutlitterN2O)+('Mitigation drivers'!D94*PMwithlitterN2O)+('Mitigation drivers'!D96*DigesterN2OEF))/100</f>
        <v>2.0000000000000001E-4</v>
      </c>
      <c r="J60" s="26">
        <f>(('Mitigation drivers'!E86*LagoonN2O)+('Mitigation drivers'!E87*LiquidN2O)+('Mitigation drivers'!E88*DrylotN2O)+('Mitigation drivers'!E89*SolidStorageN2O)+('Mitigation drivers'!E90*DailyspreadN2O)+('Mitigation drivers'!E91*CompostN2O)+('Mitigation drivers'!E92*ManwithbedN2O)+('Mitigation drivers'!E93*PMwithoutlitterN2O)+('Mitigation drivers'!E94*PMwithlitterN2O)+('Mitigation drivers'!E96*DigesterN2OEF))/100</f>
        <v>2.0000000000000001E-4</v>
      </c>
      <c r="K60" s="26">
        <f>(('Mitigation drivers'!F86*LagoonN2O)+('Mitigation drivers'!F87*LiquidN2O)+('Mitigation drivers'!F88*DrylotN2O)+('Mitigation drivers'!F89*SolidStorageN2O)+('Mitigation drivers'!F90*DailyspreadN2O)+('Mitigation drivers'!F91*CompostN2O)+('Mitigation drivers'!F92*ManwithbedN2O)+('Mitigation drivers'!F93*PMwithoutlitterN2O)+('Mitigation drivers'!F94*PMwithlitterN2O)+('Mitigation drivers'!F96*DigesterN2OEF))/100</f>
        <v>2.0000000000000001E-4</v>
      </c>
      <c r="L60" s="26">
        <f>(('Mitigation drivers'!G86*LagoonN2O)+('Mitigation drivers'!G87*LiquidN2O)+('Mitigation drivers'!G88*DrylotN2O)+('Mitigation drivers'!G89*SolidStorageN2O)+('Mitigation drivers'!G90*DailyspreadN2O)+('Mitigation drivers'!G91*CompostN2O)+('Mitigation drivers'!G92*ManwithbedN2O)+('Mitigation drivers'!G93*PMwithoutlitterN2O)+('Mitigation drivers'!G94*PMwithlitterN2O)+('Mitigation drivers'!G96*DigesterN2OEF))/100</f>
        <v>2.0000000000000001E-4</v>
      </c>
      <c r="M60" s="26">
        <f>(('Mitigation drivers'!H86*LagoonN2O)+('Mitigation drivers'!H87*LiquidN2O)+('Mitigation drivers'!H88*DrylotN2O)+('Mitigation drivers'!H89*SolidStorageN2O)+('Mitigation drivers'!H90*DailyspreadN2O)+('Mitigation drivers'!H91*CompostN2O)+('Mitigation drivers'!H92*ManwithbedN2O)+('Mitigation drivers'!H93*PMwithoutlitterN2O)+('Mitigation drivers'!H94*PMwithlitterN2O)+('Mitigation drivers'!H96*DigesterN2OEF))/100</f>
        <v>2.0000000000000001E-4</v>
      </c>
      <c r="N60" s="26">
        <f>(('Mitigation drivers'!I86*LagoonN2O)+('Mitigation drivers'!I87*LiquidN2O)+('Mitigation drivers'!I88*DrylotN2O)+('Mitigation drivers'!I89*SolidStorageN2O)+('Mitigation drivers'!I90*DailyspreadN2O)+('Mitigation drivers'!I91*CompostN2O)+('Mitigation drivers'!I92*ManwithbedN2O)+('Mitigation drivers'!I93*PMwithoutlitterN2O)+('Mitigation drivers'!I94*PMwithlitterN2O)+('Mitigation drivers'!I96*DigesterN2OEF))/100</f>
        <v>2.0000000000000001E-4</v>
      </c>
      <c r="O60" s="26">
        <f>(('Mitigation drivers'!J86*LagoonN2O)+('Mitigation drivers'!J87*LiquidN2O)+('Mitigation drivers'!J88*DrylotN2O)+('Mitigation drivers'!J89*SolidStorageN2O)+('Mitigation drivers'!J90*DailyspreadN2O)+('Mitigation drivers'!J91*CompostN2O)+('Mitigation drivers'!J92*ManwithbedN2O)+('Mitigation drivers'!J93*PMwithoutlitterN2O)+('Mitigation drivers'!J94*PMwithlitterN2O)+('Mitigation drivers'!J96*DigesterN2OEF))/100</f>
        <v>2.0000000000000001E-4</v>
      </c>
      <c r="P60" s="26">
        <f>(('Mitigation drivers'!K86*LagoonN2O)+('Mitigation drivers'!K87*LiquidN2O)+('Mitigation drivers'!K88*DrylotN2O)+('Mitigation drivers'!K89*SolidStorageN2O)+('Mitigation drivers'!K90*DailyspreadN2O)+('Mitigation drivers'!K91*CompostN2O)+('Mitigation drivers'!K92*ManwithbedN2O)+('Mitigation drivers'!K93*PMwithoutlitterN2O)+('Mitigation drivers'!K94*PMwithlitterN2O)+('Mitigation drivers'!K96*DigesterN2OEF))/100</f>
        <v>2.0000000000000001E-4</v>
      </c>
      <c r="Q60" s="26">
        <f>(('Mitigation drivers'!L86*LagoonN2O)+('Mitigation drivers'!L87*LiquidN2O)+('Mitigation drivers'!L88*DrylotN2O)+('Mitigation drivers'!L89*SolidStorageN2O)+('Mitigation drivers'!L90*DailyspreadN2O)+('Mitigation drivers'!L91*CompostN2O)+('Mitigation drivers'!L92*ManwithbedN2O)+('Mitigation drivers'!L93*PMwithoutlitterN2O)+('Mitigation drivers'!L94*PMwithlitterN2O)+('Mitigation drivers'!L96*DigesterN2OEF))/100</f>
        <v>2.0000000000000001E-4</v>
      </c>
      <c r="R60" s="26">
        <f>(('Mitigation drivers'!M86*LagoonN2O)+('Mitigation drivers'!M87*LiquidN2O)+('Mitigation drivers'!M88*DrylotN2O)+('Mitigation drivers'!M89*SolidStorageN2O)+('Mitigation drivers'!M90*DailyspreadN2O)+('Mitigation drivers'!M91*CompostN2O)+('Mitigation drivers'!M92*ManwithbedN2O)+('Mitigation drivers'!M93*PMwithoutlitterN2O)+('Mitigation drivers'!M94*PMwithlitterN2O)+('Mitigation drivers'!M96*DigesterN2OEF))/100</f>
        <v>2.0000000000000001E-4</v>
      </c>
      <c r="S60" s="26">
        <f>(('Mitigation drivers'!N86*LagoonN2O)+('Mitigation drivers'!N87*LiquidN2O)+('Mitigation drivers'!N88*DrylotN2O)+('Mitigation drivers'!N89*SolidStorageN2O)+('Mitigation drivers'!N90*DailyspreadN2O)+('Mitigation drivers'!N91*CompostN2O)+('Mitigation drivers'!N92*ManwithbedN2O)+('Mitigation drivers'!N93*PMwithoutlitterN2O)+('Mitigation drivers'!N94*PMwithlitterN2O)+('Mitigation drivers'!N96*DigesterN2OEF))/100</f>
        <v>2.0000000000000001E-4</v>
      </c>
      <c r="T60" s="26">
        <f>(('Mitigation drivers'!O86*LagoonN2O)+('Mitigation drivers'!O87*LiquidN2O)+('Mitigation drivers'!O88*DrylotN2O)+('Mitigation drivers'!O89*SolidStorageN2O)+('Mitigation drivers'!O90*DailyspreadN2O)+('Mitigation drivers'!O91*CompostN2O)+('Mitigation drivers'!O92*ManwithbedN2O)+('Mitigation drivers'!O93*PMwithoutlitterN2O)+('Mitigation drivers'!O94*PMwithlitterN2O)+('Mitigation drivers'!O96*DigesterN2OEF))/100</f>
        <v>2.0000000000000001E-4</v>
      </c>
      <c r="U60" s="26">
        <f>(('Mitigation drivers'!P86*LagoonN2O)+('Mitigation drivers'!P87*LiquidN2O)+('Mitigation drivers'!P88*DrylotN2O)+('Mitigation drivers'!P89*SolidStorageN2O)+('Mitigation drivers'!P90*DailyspreadN2O)+('Mitigation drivers'!P91*CompostN2O)+('Mitigation drivers'!P92*ManwithbedN2O)+('Mitigation drivers'!P93*PMwithoutlitterN2O)+('Mitigation drivers'!P94*PMwithlitterN2O)+('Mitigation drivers'!P96*DigesterN2OEF))/100</f>
        <v>2.0000000000000001E-4</v>
      </c>
      <c r="V60" s="26">
        <f>(('Mitigation drivers'!Q86*LagoonN2O)+('Mitigation drivers'!Q87*LiquidN2O)+('Mitigation drivers'!Q88*DrylotN2O)+('Mitigation drivers'!Q89*SolidStorageN2O)+('Mitigation drivers'!Q90*DailyspreadN2O)+('Mitigation drivers'!Q91*CompostN2O)+('Mitigation drivers'!Q92*ManwithbedN2O)+('Mitigation drivers'!Q93*PMwithoutlitterN2O)+('Mitigation drivers'!Q94*PMwithlitterN2O)+('Mitigation drivers'!Q96*DigesterN2OEF))/100</f>
        <v>2.0000000000000001E-4</v>
      </c>
      <c r="W60" s="26">
        <f>(('Mitigation drivers'!R86*LagoonN2O)+('Mitigation drivers'!R87*LiquidN2O)+('Mitigation drivers'!R88*DrylotN2O)+('Mitigation drivers'!R89*SolidStorageN2O)+('Mitigation drivers'!R90*DailyspreadN2O)+('Mitigation drivers'!R91*CompostN2O)+('Mitigation drivers'!R92*ManwithbedN2O)+('Mitigation drivers'!R93*PMwithoutlitterN2O)+('Mitigation drivers'!R94*PMwithlitterN2O)+('Mitigation drivers'!R96*DigesterN2OEF))/100</f>
        <v>2.0000000000000001E-4</v>
      </c>
      <c r="X60" s="26">
        <f>(('Mitigation drivers'!S86*LagoonN2O)+('Mitigation drivers'!S87*LiquidN2O)+('Mitigation drivers'!S88*DrylotN2O)+('Mitigation drivers'!S89*SolidStorageN2O)+('Mitigation drivers'!S90*DailyspreadN2O)+('Mitigation drivers'!S91*CompostN2O)+('Mitigation drivers'!S92*ManwithbedN2O)+('Mitigation drivers'!S93*PMwithoutlitterN2O)+('Mitigation drivers'!S94*PMwithlitterN2O)+('Mitigation drivers'!S96*DigesterN2OEF))/100</f>
        <v>2.0000000000000001E-4</v>
      </c>
      <c r="Y60" s="26">
        <f>(('Mitigation drivers'!T86*LagoonN2O)+('Mitigation drivers'!T87*LiquidN2O)+('Mitigation drivers'!T88*DrylotN2O)+('Mitigation drivers'!T89*SolidStorageN2O)+('Mitigation drivers'!T90*DailyspreadN2O)+('Mitigation drivers'!T91*CompostN2O)+('Mitigation drivers'!T92*ManwithbedN2O)+('Mitigation drivers'!T93*PMwithoutlitterN2O)+('Mitigation drivers'!T94*PMwithlitterN2O)+('Mitigation drivers'!T96*DigesterN2OEF))/100</f>
        <v>2.0000000000000001E-4</v>
      </c>
      <c r="Z60" s="26">
        <f>(('Mitigation drivers'!U86*LagoonN2O)+('Mitigation drivers'!U87*LiquidN2O)+('Mitigation drivers'!U88*DrylotN2O)+('Mitigation drivers'!U89*SolidStorageN2O)+('Mitigation drivers'!U90*DailyspreadN2O)+('Mitigation drivers'!U91*CompostN2O)+('Mitigation drivers'!U92*ManwithbedN2O)+('Mitigation drivers'!U93*PMwithoutlitterN2O)+('Mitigation drivers'!U94*PMwithlitterN2O)+('Mitigation drivers'!U96*DigesterN2OEF))/100</f>
        <v>2.0000000000000001E-4</v>
      </c>
      <c r="AA60" s="26">
        <f>(('Mitigation drivers'!V86*LagoonN2O)+('Mitigation drivers'!V87*LiquidN2O)+('Mitigation drivers'!V88*DrylotN2O)+('Mitigation drivers'!V89*SolidStorageN2O)+('Mitigation drivers'!V90*DailyspreadN2O)+('Mitigation drivers'!V91*CompostN2O)+('Mitigation drivers'!V92*ManwithbedN2O)+('Mitigation drivers'!V93*PMwithoutlitterN2O)+('Mitigation drivers'!V94*PMwithlitterN2O)+('Mitigation drivers'!V96*DigesterN2OEF))/100</f>
        <v>2.0000000000000001E-4</v>
      </c>
      <c r="AB60" s="26">
        <f>(('Mitigation drivers'!W86*LagoonN2O)+('Mitigation drivers'!W87*LiquidN2O)+('Mitigation drivers'!W88*DrylotN2O)+('Mitigation drivers'!W89*SolidStorageN2O)+('Mitigation drivers'!W90*DailyspreadN2O)+('Mitigation drivers'!W91*CompostN2O)+('Mitigation drivers'!W92*ManwithbedN2O)+('Mitigation drivers'!W93*PMwithoutlitterN2O)+('Mitigation drivers'!W94*PMwithlitterN2O)+('Mitigation drivers'!W96*DigesterN2OEF))/100</f>
        <v>2.0000000000000001E-4</v>
      </c>
      <c r="AC60" s="26">
        <f>(('Mitigation drivers'!X86*LagoonN2O)+('Mitigation drivers'!X87*LiquidN2O)+('Mitigation drivers'!X88*DrylotN2O)+('Mitigation drivers'!X89*SolidStorageN2O)+('Mitigation drivers'!X90*DailyspreadN2O)+('Mitigation drivers'!X91*CompostN2O)+('Mitigation drivers'!X92*ManwithbedN2O)+('Mitigation drivers'!X93*PMwithoutlitterN2O)+('Mitigation drivers'!X94*PMwithlitterN2O)+('Mitigation drivers'!X96*DigesterN2OEF))/100</f>
        <v>2.0000000000000001E-4</v>
      </c>
      <c r="AD60" s="26">
        <f>(('Mitigation drivers'!Y86*LagoonN2O)+('Mitigation drivers'!Y87*LiquidN2O)+('Mitigation drivers'!Y88*DrylotN2O)+('Mitigation drivers'!Y89*SolidStorageN2O)+('Mitigation drivers'!Y90*DailyspreadN2O)+('Mitigation drivers'!Y91*CompostN2O)+('Mitigation drivers'!Y92*ManwithbedN2O)+('Mitigation drivers'!Y93*PMwithoutlitterN2O)+('Mitigation drivers'!Y94*PMwithlitterN2O)+('Mitigation drivers'!Y96*DigesterN2OEF))/100</f>
        <v>2.0000000000000001E-4</v>
      </c>
      <c r="AE60" s="26">
        <f>(('Mitigation drivers'!Z86*LagoonN2O)+('Mitigation drivers'!Z87*LiquidN2O)+('Mitigation drivers'!Z88*DrylotN2O)+('Mitigation drivers'!Z89*SolidStorageN2O)+('Mitigation drivers'!Z90*DailyspreadN2O)+('Mitigation drivers'!Z91*CompostN2O)+('Mitigation drivers'!Z92*ManwithbedN2O)+('Mitigation drivers'!Z93*PMwithoutlitterN2O)+('Mitigation drivers'!Z94*PMwithlitterN2O)+('Mitigation drivers'!Z96*DigesterN2OEF))/100</f>
        <v>2.0000000000000001E-4</v>
      </c>
      <c r="AF60" s="26">
        <f>(('Mitigation drivers'!AA86*LagoonN2O)+('Mitigation drivers'!AA87*LiquidN2O)+('Mitigation drivers'!AA88*DrylotN2O)+('Mitigation drivers'!AA89*SolidStorageN2O)+('Mitigation drivers'!AA90*DailyspreadN2O)+('Mitigation drivers'!AA91*CompostN2O)+('Mitigation drivers'!AA92*ManwithbedN2O)+('Mitigation drivers'!AA93*PMwithoutlitterN2O)+('Mitigation drivers'!AA94*PMwithlitterN2O)+('Mitigation drivers'!AA96*DigesterN2OEF))/100</f>
        <v>2.0000000000000001E-4</v>
      </c>
      <c r="AG60" s="26">
        <f>(('Mitigation drivers'!AB86*LagoonN2O)+('Mitigation drivers'!AB87*LiquidN2O)+('Mitigation drivers'!AB88*DrylotN2O)+('Mitigation drivers'!AB89*SolidStorageN2O)+('Mitigation drivers'!AB90*DailyspreadN2O)+('Mitigation drivers'!AB91*CompostN2O)+('Mitigation drivers'!AB92*ManwithbedN2O)+('Mitigation drivers'!AB93*PMwithoutlitterN2O)+('Mitigation drivers'!AB94*PMwithlitterN2O)+('Mitigation drivers'!AB96*DigesterN2OEF))/100</f>
        <v>2.0000000000000001E-4</v>
      </c>
      <c r="AH60" s="26">
        <f>(('Mitigation drivers'!AC86*LagoonN2O)+('Mitigation drivers'!AC87*LiquidN2O)+('Mitigation drivers'!AC88*DrylotN2O)+('Mitigation drivers'!AC89*SolidStorageN2O)+('Mitigation drivers'!AC90*DailyspreadN2O)+('Mitigation drivers'!AC91*CompostN2O)+('Mitigation drivers'!AC92*ManwithbedN2O)+('Mitigation drivers'!AC93*PMwithoutlitterN2O)+('Mitigation drivers'!AC94*PMwithlitterN2O)+('Mitigation drivers'!AC96*DigesterN2OEF))/100</f>
        <v>2.0000000000000001E-4</v>
      </c>
      <c r="AI60" s="26">
        <f>(('Mitigation drivers'!AD86*LagoonN2O)+('Mitigation drivers'!AD87*LiquidN2O)+('Mitigation drivers'!AD88*DrylotN2O)+('Mitigation drivers'!AD89*SolidStorageN2O)+('Mitigation drivers'!AD90*DailyspreadN2O)+('Mitigation drivers'!AD91*CompostN2O)+('Mitigation drivers'!AD92*ManwithbedN2O)+('Mitigation drivers'!AD93*PMwithoutlitterN2O)+('Mitigation drivers'!AD94*PMwithlitterN2O)+('Mitigation drivers'!AD96*DigesterN2OEF))/100</f>
        <v>2.0000000000000001E-4</v>
      </c>
      <c r="AJ60" s="26">
        <f>(('Mitigation drivers'!AE86*LagoonN2O)+('Mitigation drivers'!AE87*LiquidN2O)+('Mitigation drivers'!AE88*DrylotN2O)+('Mitigation drivers'!AE89*SolidStorageN2O)+('Mitigation drivers'!AE90*DailyspreadN2O)+('Mitigation drivers'!AE91*CompostN2O)+('Mitigation drivers'!AE92*ManwithbedN2O)+('Mitigation drivers'!AE93*PMwithoutlitterN2O)+('Mitigation drivers'!AE94*PMwithlitterN2O)+('Mitigation drivers'!AE96*DigesterN2OEF))/100</f>
        <v>2.0000000000000001E-4</v>
      </c>
      <c r="AK60" s="26">
        <f>(('Mitigation drivers'!AF86*LagoonN2O)+('Mitigation drivers'!AF87*LiquidN2O)+('Mitigation drivers'!AF88*DrylotN2O)+('Mitigation drivers'!AF89*SolidStorageN2O)+('Mitigation drivers'!AF90*DailyspreadN2O)+('Mitigation drivers'!AF91*CompostN2O)+('Mitigation drivers'!AF92*ManwithbedN2O)+('Mitigation drivers'!AF93*PMwithoutlitterN2O)+('Mitigation drivers'!AF94*PMwithlitterN2O)+('Mitigation drivers'!AF96*DigesterN2OEF))/100</f>
        <v>2.0000000000000001E-4</v>
      </c>
      <c r="AL60" s="26">
        <f>(('Mitigation drivers'!AG86*LagoonN2O)+('Mitigation drivers'!AG87*LiquidN2O)+('Mitigation drivers'!AG88*DrylotN2O)+('Mitigation drivers'!AG89*SolidStorageN2O)+('Mitigation drivers'!AG90*DailyspreadN2O)+('Mitigation drivers'!AG91*CompostN2O)+('Mitigation drivers'!AG92*ManwithbedN2O)+('Mitigation drivers'!AG93*PMwithoutlitterN2O)+('Mitigation drivers'!AG94*PMwithlitterN2O)+('Mitigation drivers'!AG96*DigesterN2OEF))/100</f>
        <v>2.0000000000000001E-4</v>
      </c>
      <c r="AM60" s="26">
        <f>(('Mitigation drivers'!AH86*LagoonN2O)+('Mitigation drivers'!AH87*LiquidN2O)+('Mitigation drivers'!AH88*DrylotN2O)+('Mitigation drivers'!AH89*SolidStorageN2O)+('Mitigation drivers'!AH90*DailyspreadN2O)+('Mitigation drivers'!AH91*CompostN2O)+('Mitigation drivers'!AH92*ManwithbedN2O)+('Mitigation drivers'!AH93*PMwithoutlitterN2O)+('Mitigation drivers'!AH94*PMwithlitterN2O)+('Mitigation drivers'!AH96*DigesterN2OEF))/100</f>
        <v>2.0000000000000001E-4</v>
      </c>
      <c r="AN60" s="26">
        <f>(('Mitigation drivers'!AI86*LagoonN2O)+('Mitigation drivers'!AI87*LiquidN2O)+('Mitigation drivers'!AI88*DrylotN2O)+('Mitigation drivers'!AI89*SolidStorageN2O)+('Mitigation drivers'!AI90*DailyspreadN2O)+('Mitigation drivers'!AI91*CompostN2O)+('Mitigation drivers'!AI92*ManwithbedN2O)+('Mitigation drivers'!AI93*PMwithoutlitterN2O)+('Mitigation drivers'!AI94*PMwithlitterN2O)+('Mitigation drivers'!AI96*DigesterN2OEF))/100</f>
        <v>2.0000000000000001E-4</v>
      </c>
      <c r="AO60" s="26">
        <f>(('Mitigation drivers'!AJ86*LagoonN2O)+('Mitigation drivers'!AJ87*LiquidN2O)+('Mitigation drivers'!AJ88*DrylotN2O)+('Mitigation drivers'!AJ89*SolidStorageN2O)+('Mitigation drivers'!AJ90*DailyspreadN2O)+('Mitigation drivers'!AJ91*CompostN2O)+('Mitigation drivers'!AJ92*ManwithbedN2O)+('Mitigation drivers'!AJ93*PMwithoutlitterN2O)+('Mitigation drivers'!AJ94*PMwithlitterN2O)+('Mitigation drivers'!AJ96*DigesterN2OEF))/100</f>
        <v>2.0000000000000001E-4</v>
      </c>
    </row>
    <row r="61" spans="1:41" x14ac:dyDescent="0.25">
      <c r="A61" t="str">
        <f t="shared" si="1"/>
        <v>3A Livestock</v>
      </c>
      <c r="B61" t="str">
        <f t="shared" si="8"/>
        <v>3A2 Manure management (N2O)</v>
      </c>
      <c r="C61" t="str">
        <f>'Activity data'!C12</f>
        <v>3A1c Sheep</v>
      </c>
      <c r="D61" t="str">
        <f>'Activity data'!D12</f>
        <v>Subsistence</v>
      </c>
      <c r="E61" t="str">
        <f t="shared" si="27"/>
        <v>Manure management EF</v>
      </c>
      <c r="F61" t="str">
        <f t="shared" si="28"/>
        <v>N2O</v>
      </c>
      <c r="G61" t="str">
        <f t="shared" si="29"/>
        <v>kg N2O-N/kg Nex</v>
      </c>
      <c r="H61" s="26">
        <f>(('Mitigation drivers'!C97*LagoonN2O)+('Mitigation drivers'!C98*LiquidN2O)+('Mitigation drivers'!C99*DrylotN2O)+('Mitigation drivers'!C100*SolidStorageN2O)+('Mitigation drivers'!C101*DailyspreadN2O)+('Mitigation drivers'!C102*CompostN2O)+('Mitigation drivers'!C103*ManwithbedN2O)+('Mitigation drivers'!C104*PMwithoutlitterN2O)+('Mitigation drivers'!C105*PMwithlitterN2O)+('Mitigation drivers'!C107*DigesterN2OEF))/100</f>
        <v>8.9999999999999998E-4</v>
      </c>
      <c r="I61" s="26">
        <f>(('Mitigation drivers'!D97*LagoonN2O)+('Mitigation drivers'!D98*LiquidN2O)+('Mitigation drivers'!D99*DrylotN2O)+('Mitigation drivers'!D100*SolidStorageN2O)+('Mitigation drivers'!D101*DailyspreadN2O)+('Mitigation drivers'!D102*CompostN2O)+('Mitigation drivers'!D103*ManwithbedN2O)+('Mitigation drivers'!D104*PMwithoutlitterN2O)+('Mitigation drivers'!D105*PMwithlitterN2O)+('Mitigation drivers'!D107*DigesterN2OEF))/100</f>
        <v>8.9999999999999998E-4</v>
      </c>
      <c r="J61" s="26">
        <f>(('Mitigation drivers'!E97*LagoonN2O)+('Mitigation drivers'!E98*LiquidN2O)+('Mitigation drivers'!E99*DrylotN2O)+('Mitigation drivers'!E100*SolidStorageN2O)+('Mitigation drivers'!E101*DailyspreadN2O)+('Mitigation drivers'!E102*CompostN2O)+('Mitigation drivers'!E103*ManwithbedN2O)+('Mitigation drivers'!E104*PMwithoutlitterN2O)+('Mitigation drivers'!E105*PMwithlitterN2O)+('Mitigation drivers'!E107*DigesterN2OEF))/100</f>
        <v>8.9999999999999998E-4</v>
      </c>
      <c r="K61" s="26">
        <f>(('Mitigation drivers'!F97*LagoonN2O)+('Mitigation drivers'!F98*LiquidN2O)+('Mitigation drivers'!F99*DrylotN2O)+('Mitigation drivers'!F100*SolidStorageN2O)+('Mitigation drivers'!F101*DailyspreadN2O)+('Mitigation drivers'!F102*CompostN2O)+('Mitigation drivers'!F103*ManwithbedN2O)+('Mitigation drivers'!F104*PMwithoutlitterN2O)+('Mitigation drivers'!F105*PMwithlitterN2O)+('Mitigation drivers'!F107*DigesterN2OEF))/100</f>
        <v>8.9999999999999998E-4</v>
      </c>
      <c r="L61" s="26">
        <f>(('Mitigation drivers'!G97*LagoonN2O)+('Mitigation drivers'!G98*LiquidN2O)+('Mitigation drivers'!G99*DrylotN2O)+('Mitigation drivers'!G100*SolidStorageN2O)+('Mitigation drivers'!G101*DailyspreadN2O)+('Mitigation drivers'!G102*CompostN2O)+('Mitigation drivers'!G103*ManwithbedN2O)+('Mitigation drivers'!G104*PMwithoutlitterN2O)+('Mitigation drivers'!G105*PMwithlitterN2O)+('Mitigation drivers'!G107*DigesterN2OEF))/100</f>
        <v>8.9999999999999998E-4</v>
      </c>
      <c r="M61" s="26">
        <f>(('Mitigation drivers'!H97*LagoonN2O)+('Mitigation drivers'!H98*LiquidN2O)+('Mitigation drivers'!H99*DrylotN2O)+('Mitigation drivers'!H100*SolidStorageN2O)+('Mitigation drivers'!H101*DailyspreadN2O)+('Mitigation drivers'!H102*CompostN2O)+('Mitigation drivers'!H103*ManwithbedN2O)+('Mitigation drivers'!H104*PMwithoutlitterN2O)+('Mitigation drivers'!H105*PMwithlitterN2O)+('Mitigation drivers'!H107*DigesterN2OEF))/100</f>
        <v>8.9999999999999998E-4</v>
      </c>
      <c r="N61" s="26">
        <f>(('Mitigation drivers'!I97*LagoonN2O)+('Mitigation drivers'!I98*LiquidN2O)+('Mitigation drivers'!I99*DrylotN2O)+('Mitigation drivers'!I100*SolidStorageN2O)+('Mitigation drivers'!I101*DailyspreadN2O)+('Mitigation drivers'!I102*CompostN2O)+('Mitigation drivers'!I103*ManwithbedN2O)+('Mitigation drivers'!I104*PMwithoutlitterN2O)+('Mitigation drivers'!I105*PMwithlitterN2O)+('Mitigation drivers'!I107*DigesterN2OEF))/100</f>
        <v>8.9999999999999998E-4</v>
      </c>
      <c r="O61" s="26">
        <f>(('Mitigation drivers'!J97*LagoonN2O)+('Mitigation drivers'!J98*LiquidN2O)+('Mitigation drivers'!J99*DrylotN2O)+('Mitigation drivers'!J100*SolidStorageN2O)+('Mitigation drivers'!J101*DailyspreadN2O)+('Mitigation drivers'!J102*CompostN2O)+('Mitigation drivers'!J103*ManwithbedN2O)+('Mitigation drivers'!J104*PMwithoutlitterN2O)+('Mitigation drivers'!J105*PMwithlitterN2O)+('Mitigation drivers'!J107*DigesterN2OEF))/100</f>
        <v>8.9999999999999998E-4</v>
      </c>
      <c r="P61" s="26">
        <f>(('Mitigation drivers'!K97*LagoonN2O)+('Mitigation drivers'!K98*LiquidN2O)+('Mitigation drivers'!K99*DrylotN2O)+('Mitigation drivers'!K100*SolidStorageN2O)+('Mitigation drivers'!K101*DailyspreadN2O)+('Mitigation drivers'!K102*CompostN2O)+('Mitigation drivers'!K103*ManwithbedN2O)+('Mitigation drivers'!K104*PMwithoutlitterN2O)+('Mitigation drivers'!K105*PMwithlitterN2O)+('Mitigation drivers'!K107*DigesterN2OEF))/100</f>
        <v>8.9999999999999998E-4</v>
      </c>
      <c r="Q61" s="26">
        <f>(('Mitigation drivers'!L97*LagoonN2O)+('Mitigation drivers'!L98*LiquidN2O)+('Mitigation drivers'!L99*DrylotN2O)+('Mitigation drivers'!L100*SolidStorageN2O)+('Mitigation drivers'!L101*DailyspreadN2O)+('Mitigation drivers'!L102*CompostN2O)+('Mitigation drivers'!L103*ManwithbedN2O)+('Mitigation drivers'!L104*PMwithoutlitterN2O)+('Mitigation drivers'!L105*PMwithlitterN2O)+('Mitigation drivers'!L107*DigesterN2OEF))/100</f>
        <v>8.9999999999999998E-4</v>
      </c>
      <c r="R61" s="26">
        <f>(('Mitigation drivers'!M97*LagoonN2O)+('Mitigation drivers'!M98*LiquidN2O)+('Mitigation drivers'!M99*DrylotN2O)+('Mitigation drivers'!M100*SolidStorageN2O)+('Mitigation drivers'!M101*DailyspreadN2O)+('Mitigation drivers'!M102*CompostN2O)+('Mitigation drivers'!M103*ManwithbedN2O)+('Mitigation drivers'!M104*PMwithoutlitterN2O)+('Mitigation drivers'!M105*PMwithlitterN2O)+('Mitigation drivers'!M107*DigesterN2OEF))/100</f>
        <v>8.9999999999999998E-4</v>
      </c>
      <c r="S61" s="26">
        <f>(('Mitigation drivers'!N97*LagoonN2O)+('Mitigation drivers'!N98*LiquidN2O)+('Mitigation drivers'!N99*DrylotN2O)+('Mitigation drivers'!N100*SolidStorageN2O)+('Mitigation drivers'!N101*DailyspreadN2O)+('Mitigation drivers'!N102*CompostN2O)+('Mitigation drivers'!N103*ManwithbedN2O)+('Mitigation drivers'!N104*PMwithoutlitterN2O)+('Mitigation drivers'!N105*PMwithlitterN2O)+('Mitigation drivers'!N107*DigesterN2OEF))/100</f>
        <v>8.9999999999999998E-4</v>
      </c>
      <c r="T61" s="26">
        <f>(('Mitigation drivers'!O97*LagoonN2O)+('Mitigation drivers'!O98*LiquidN2O)+('Mitigation drivers'!O99*DrylotN2O)+('Mitigation drivers'!O100*SolidStorageN2O)+('Mitigation drivers'!O101*DailyspreadN2O)+('Mitigation drivers'!O102*CompostN2O)+('Mitigation drivers'!O103*ManwithbedN2O)+('Mitigation drivers'!O104*PMwithoutlitterN2O)+('Mitigation drivers'!O105*PMwithlitterN2O)+('Mitigation drivers'!O107*DigesterN2OEF))/100</f>
        <v>8.9999999999999998E-4</v>
      </c>
      <c r="U61" s="26">
        <f>(('Mitigation drivers'!P97*LagoonN2O)+('Mitigation drivers'!P98*LiquidN2O)+('Mitigation drivers'!P99*DrylotN2O)+('Mitigation drivers'!P100*SolidStorageN2O)+('Mitigation drivers'!P101*DailyspreadN2O)+('Mitigation drivers'!P102*CompostN2O)+('Mitigation drivers'!P103*ManwithbedN2O)+('Mitigation drivers'!P104*PMwithoutlitterN2O)+('Mitigation drivers'!P105*PMwithlitterN2O)+('Mitigation drivers'!P107*DigesterN2OEF))/100</f>
        <v>8.9999999999999998E-4</v>
      </c>
      <c r="V61" s="26">
        <f>(('Mitigation drivers'!Q97*LagoonN2O)+('Mitigation drivers'!Q98*LiquidN2O)+('Mitigation drivers'!Q99*DrylotN2O)+('Mitigation drivers'!Q100*SolidStorageN2O)+('Mitigation drivers'!Q101*DailyspreadN2O)+('Mitigation drivers'!Q102*CompostN2O)+('Mitigation drivers'!Q103*ManwithbedN2O)+('Mitigation drivers'!Q104*PMwithoutlitterN2O)+('Mitigation drivers'!Q105*PMwithlitterN2O)+('Mitigation drivers'!Q107*DigesterN2OEF))/100</f>
        <v>8.9999999999999998E-4</v>
      </c>
      <c r="W61" s="26">
        <f>(('Mitigation drivers'!R97*LagoonN2O)+('Mitigation drivers'!R98*LiquidN2O)+('Mitigation drivers'!R99*DrylotN2O)+('Mitigation drivers'!R100*SolidStorageN2O)+('Mitigation drivers'!R101*DailyspreadN2O)+('Mitigation drivers'!R102*CompostN2O)+('Mitigation drivers'!R103*ManwithbedN2O)+('Mitigation drivers'!R104*PMwithoutlitterN2O)+('Mitigation drivers'!R105*PMwithlitterN2O)+('Mitigation drivers'!R107*DigesterN2OEF))/100</f>
        <v>8.9999999999999998E-4</v>
      </c>
      <c r="X61" s="26">
        <f>(('Mitigation drivers'!S97*LagoonN2O)+('Mitigation drivers'!S98*LiquidN2O)+('Mitigation drivers'!S99*DrylotN2O)+('Mitigation drivers'!S100*SolidStorageN2O)+('Mitigation drivers'!S101*DailyspreadN2O)+('Mitigation drivers'!S102*CompostN2O)+('Mitigation drivers'!S103*ManwithbedN2O)+('Mitigation drivers'!S104*PMwithoutlitterN2O)+('Mitigation drivers'!S105*PMwithlitterN2O)+('Mitigation drivers'!S107*DigesterN2OEF))/100</f>
        <v>8.9999999999999998E-4</v>
      </c>
      <c r="Y61" s="26">
        <f>(('Mitigation drivers'!T97*LagoonN2O)+('Mitigation drivers'!T98*LiquidN2O)+('Mitigation drivers'!T99*DrylotN2O)+('Mitigation drivers'!T100*SolidStorageN2O)+('Mitigation drivers'!T101*DailyspreadN2O)+('Mitigation drivers'!T102*CompostN2O)+('Mitigation drivers'!T103*ManwithbedN2O)+('Mitigation drivers'!T104*PMwithoutlitterN2O)+('Mitigation drivers'!T105*PMwithlitterN2O)+('Mitigation drivers'!T107*DigesterN2OEF))/100</f>
        <v>8.9999999999999998E-4</v>
      </c>
      <c r="Z61" s="26">
        <f>(('Mitigation drivers'!U97*LagoonN2O)+('Mitigation drivers'!U98*LiquidN2O)+('Mitigation drivers'!U99*DrylotN2O)+('Mitigation drivers'!U100*SolidStorageN2O)+('Mitigation drivers'!U101*DailyspreadN2O)+('Mitigation drivers'!U102*CompostN2O)+('Mitigation drivers'!U103*ManwithbedN2O)+('Mitigation drivers'!U104*PMwithoutlitterN2O)+('Mitigation drivers'!U105*PMwithlitterN2O)+('Mitigation drivers'!U107*DigesterN2OEF))/100</f>
        <v>8.9999999999999998E-4</v>
      </c>
      <c r="AA61" s="26">
        <f>(('Mitigation drivers'!V97*LagoonN2O)+('Mitigation drivers'!V98*LiquidN2O)+('Mitigation drivers'!V99*DrylotN2O)+('Mitigation drivers'!V100*SolidStorageN2O)+('Mitigation drivers'!V101*DailyspreadN2O)+('Mitigation drivers'!V102*CompostN2O)+('Mitigation drivers'!V103*ManwithbedN2O)+('Mitigation drivers'!V104*PMwithoutlitterN2O)+('Mitigation drivers'!V105*PMwithlitterN2O)+('Mitigation drivers'!V107*DigesterN2OEF))/100</f>
        <v>8.9999999999999998E-4</v>
      </c>
      <c r="AB61" s="26">
        <f>(('Mitigation drivers'!W97*LagoonN2O)+('Mitigation drivers'!W98*LiquidN2O)+('Mitigation drivers'!W99*DrylotN2O)+('Mitigation drivers'!W100*SolidStorageN2O)+('Mitigation drivers'!W101*DailyspreadN2O)+('Mitigation drivers'!W102*CompostN2O)+('Mitigation drivers'!W103*ManwithbedN2O)+('Mitigation drivers'!W104*PMwithoutlitterN2O)+('Mitigation drivers'!W105*PMwithlitterN2O)+('Mitigation drivers'!W107*DigesterN2OEF))/100</f>
        <v>8.9999999999999998E-4</v>
      </c>
      <c r="AC61" s="26">
        <f>(('Mitigation drivers'!X97*LagoonN2O)+('Mitigation drivers'!X98*LiquidN2O)+('Mitigation drivers'!X99*DrylotN2O)+('Mitigation drivers'!X100*SolidStorageN2O)+('Mitigation drivers'!X101*DailyspreadN2O)+('Mitigation drivers'!X102*CompostN2O)+('Mitigation drivers'!X103*ManwithbedN2O)+('Mitigation drivers'!X104*PMwithoutlitterN2O)+('Mitigation drivers'!X105*PMwithlitterN2O)+('Mitigation drivers'!X107*DigesterN2OEF))/100</f>
        <v>8.9999999999999998E-4</v>
      </c>
      <c r="AD61" s="26">
        <f>(('Mitigation drivers'!Y97*LagoonN2O)+('Mitigation drivers'!Y98*LiquidN2O)+('Mitigation drivers'!Y99*DrylotN2O)+('Mitigation drivers'!Y100*SolidStorageN2O)+('Mitigation drivers'!Y101*DailyspreadN2O)+('Mitigation drivers'!Y102*CompostN2O)+('Mitigation drivers'!Y103*ManwithbedN2O)+('Mitigation drivers'!Y104*PMwithoutlitterN2O)+('Mitigation drivers'!Y105*PMwithlitterN2O)+('Mitigation drivers'!Y107*DigesterN2OEF))/100</f>
        <v>8.9999999999999998E-4</v>
      </c>
      <c r="AE61" s="26">
        <f>(('Mitigation drivers'!Z97*LagoonN2O)+('Mitigation drivers'!Z98*LiquidN2O)+('Mitigation drivers'!Z99*DrylotN2O)+('Mitigation drivers'!Z100*SolidStorageN2O)+('Mitigation drivers'!Z101*DailyspreadN2O)+('Mitigation drivers'!Z102*CompostN2O)+('Mitigation drivers'!Z103*ManwithbedN2O)+('Mitigation drivers'!Z104*PMwithoutlitterN2O)+('Mitigation drivers'!Z105*PMwithlitterN2O)+('Mitigation drivers'!Z107*DigesterN2OEF))/100</f>
        <v>8.9999999999999998E-4</v>
      </c>
      <c r="AF61" s="26">
        <f>(('Mitigation drivers'!AA97*LagoonN2O)+('Mitigation drivers'!AA98*LiquidN2O)+('Mitigation drivers'!AA99*DrylotN2O)+('Mitigation drivers'!AA100*SolidStorageN2O)+('Mitigation drivers'!AA101*DailyspreadN2O)+('Mitigation drivers'!AA102*CompostN2O)+('Mitigation drivers'!AA103*ManwithbedN2O)+('Mitigation drivers'!AA104*PMwithoutlitterN2O)+('Mitigation drivers'!AA105*PMwithlitterN2O)+('Mitigation drivers'!AA107*DigesterN2OEF))/100</f>
        <v>8.9999999999999998E-4</v>
      </c>
      <c r="AG61" s="26">
        <f>(('Mitigation drivers'!AB97*LagoonN2O)+('Mitigation drivers'!AB98*LiquidN2O)+('Mitigation drivers'!AB99*DrylotN2O)+('Mitigation drivers'!AB100*SolidStorageN2O)+('Mitigation drivers'!AB101*DailyspreadN2O)+('Mitigation drivers'!AB102*CompostN2O)+('Mitigation drivers'!AB103*ManwithbedN2O)+('Mitigation drivers'!AB104*PMwithoutlitterN2O)+('Mitigation drivers'!AB105*PMwithlitterN2O)+('Mitigation drivers'!AB107*DigesterN2OEF))/100</f>
        <v>8.9999999999999998E-4</v>
      </c>
      <c r="AH61" s="26">
        <f>(('Mitigation drivers'!AC97*LagoonN2O)+('Mitigation drivers'!AC98*LiquidN2O)+('Mitigation drivers'!AC99*DrylotN2O)+('Mitigation drivers'!AC100*SolidStorageN2O)+('Mitigation drivers'!AC101*DailyspreadN2O)+('Mitigation drivers'!AC102*CompostN2O)+('Mitigation drivers'!AC103*ManwithbedN2O)+('Mitigation drivers'!AC104*PMwithoutlitterN2O)+('Mitigation drivers'!AC105*PMwithlitterN2O)+('Mitigation drivers'!AC107*DigesterN2OEF))/100</f>
        <v>8.9999999999999998E-4</v>
      </c>
      <c r="AI61" s="26">
        <f>(('Mitigation drivers'!AD97*LagoonN2O)+('Mitigation drivers'!AD98*LiquidN2O)+('Mitigation drivers'!AD99*DrylotN2O)+('Mitigation drivers'!AD100*SolidStorageN2O)+('Mitigation drivers'!AD101*DailyspreadN2O)+('Mitigation drivers'!AD102*CompostN2O)+('Mitigation drivers'!AD103*ManwithbedN2O)+('Mitigation drivers'!AD104*PMwithoutlitterN2O)+('Mitigation drivers'!AD105*PMwithlitterN2O)+('Mitigation drivers'!AD107*DigesterN2OEF))/100</f>
        <v>8.9999999999999998E-4</v>
      </c>
      <c r="AJ61" s="26">
        <f>(('Mitigation drivers'!AE97*LagoonN2O)+('Mitigation drivers'!AE98*LiquidN2O)+('Mitigation drivers'!AE99*DrylotN2O)+('Mitigation drivers'!AE100*SolidStorageN2O)+('Mitigation drivers'!AE101*DailyspreadN2O)+('Mitigation drivers'!AE102*CompostN2O)+('Mitigation drivers'!AE103*ManwithbedN2O)+('Mitigation drivers'!AE104*PMwithoutlitterN2O)+('Mitigation drivers'!AE105*PMwithlitterN2O)+('Mitigation drivers'!AE107*DigesterN2OEF))/100</f>
        <v>8.9999999999999998E-4</v>
      </c>
      <c r="AK61" s="26">
        <f>(('Mitigation drivers'!AF97*LagoonN2O)+('Mitigation drivers'!AF98*LiquidN2O)+('Mitigation drivers'!AF99*DrylotN2O)+('Mitigation drivers'!AF100*SolidStorageN2O)+('Mitigation drivers'!AF101*DailyspreadN2O)+('Mitigation drivers'!AF102*CompostN2O)+('Mitigation drivers'!AF103*ManwithbedN2O)+('Mitigation drivers'!AF104*PMwithoutlitterN2O)+('Mitigation drivers'!AF105*PMwithlitterN2O)+('Mitigation drivers'!AF107*DigesterN2OEF))/100</f>
        <v>8.9999999999999998E-4</v>
      </c>
      <c r="AL61" s="26">
        <f>(('Mitigation drivers'!AG97*LagoonN2O)+('Mitigation drivers'!AG98*LiquidN2O)+('Mitigation drivers'!AG99*DrylotN2O)+('Mitigation drivers'!AG100*SolidStorageN2O)+('Mitigation drivers'!AG101*DailyspreadN2O)+('Mitigation drivers'!AG102*CompostN2O)+('Mitigation drivers'!AG103*ManwithbedN2O)+('Mitigation drivers'!AG104*PMwithoutlitterN2O)+('Mitigation drivers'!AG105*PMwithlitterN2O)+('Mitigation drivers'!AG107*DigesterN2OEF))/100</f>
        <v>8.9999999999999998E-4</v>
      </c>
      <c r="AM61" s="26">
        <f>(('Mitigation drivers'!AH97*LagoonN2O)+('Mitigation drivers'!AH98*LiquidN2O)+('Mitigation drivers'!AH99*DrylotN2O)+('Mitigation drivers'!AH100*SolidStorageN2O)+('Mitigation drivers'!AH101*DailyspreadN2O)+('Mitigation drivers'!AH102*CompostN2O)+('Mitigation drivers'!AH103*ManwithbedN2O)+('Mitigation drivers'!AH104*PMwithoutlitterN2O)+('Mitigation drivers'!AH105*PMwithlitterN2O)+('Mitigation drivers'!AH107*DigesterN2OEF))/100</f>
        <v>8.9999999999999998E-4</v>
      </c>
      <c r="AN61" s="26">
        <f>(('Mitigation drivers'!AI97*LagoonN2O)+('Mitigation drivers'!AI98*LiquidN2O)+('Mitigation drivers'!AI99*DrylotN2O)+('Mitigation drivers'!AI100*SolidStorageN2O)+('Mitigation drivers'!AI101*DailyspreadN2O)+('Mitigation drivers'!AI102*CompostN2O)+('Mitigation drivers'!AI103*ManwithbedN2O)+('Mitigation drivers'!AI104*PMwithoutlitterN2O)+('Mitigation drivers'!AI105*PMwithlitterN2O)+('Mitigation drivers'!AI107*DigesterN2OEF))/100</f>
        <v>8.9999999999999998E-4</v>
      </c>
      <c r="AO61" s="26">
        <f>(('Mitigation drivers'!AJ97*LagoonN2O)+('Mitigation drivers'!AJ98*LiquidN2O)+('Mitigation drivers'!AJ99*DrylotN2O)+('Mitigation drivers'!AJ100*SolidStorageN2O)+('Mitigation drivers'!AJ101*DailyspreadN2O)+('Mitigation drivers'!AJ102*CompostN2O)+('Mitigation drivers'!AJ103*ManwithbedN2O)+('Mitigation drivers'!AJ104*PMwithoutlitterN2O)+('Mitigation drivers'!AJ105*PMwithlitterN2O)+('Mitigation drivers'!AJ107*DigesterN2OEF))/100</f>
        <v>8.9999999999999998E-4</v>
      </c>
    </row>
    <row r="62" spans="1:41" x14ac:dyDescent="0.25">
      <c r="A62" t="str">
        <f t="shared" si="1"/>
        <v>3A Livestock</v>
      </c>
      <c r="B62" t="str">
        <f t="shared" si="8"/>
        <v>3A2 Manure management (N2O)</v>
      </c>
      <c r="C62" t="str">
        <f>'Activity data'!C13</f>
        <v>3A1d Goats</v>
      </c>
      <c r="D62" t="str">
        <f>'Activity data'!D13</f>
        <v>Commercial</v>
      </c>
      <c r="E62" t="str">
        <f t="shared" si="27"/>
        <v>Manure management EF</v>
      </c>
      <c r="F62" t="str">
        <f t="shared" si="28"/>
        <v>N2O</v>
      </c>
      <c r="G62" t="str">
        <f t="shared" si="29"/>
        <v>kg N2O-N/kg Nex</v>
      </c>
      <c r="H62" s="26">
        <f>(('Mitigation drivers'!C110*LagoonN2O)+('Mitigation drivers'!C111*LiquidN2O)+('Mitigation drivers'!C112*DrylotN2O)+('Mitigation drivers'!C113*SolidStorageN2O)+('Mitigation drivers'!C114*DailyspreadN2O)+('Mitigation drivers'!C115*CompostN2O)+('Mitigation drivers'!C116*ManwithbedN2O)+('Mitigation drivers'!C117*PMwithoutlitterN2O)+('Mitigation drivers'!C118*PMwithlitterN2O)+('Mitigation drivers'!C120*DigesterN2OEF))/100</f>
        <v>2.0000000000000001E-4</v>
      </c>
      <c r="I62" s="26">
        <f>(('Mitigation drivers'!D110*LagoonN2O)+('Mitigation drivers'!D111*LiquidN2O)+('Mitigation drivers'!D112*DrylotN2O)+('Mitigation drivers'!D113*SolidStorageN2O)+('Mitigation drivers'!D114*DailyspreadN2O)+('Mitigation drivers'!D115*CompostN2O)+('Mitigation drivers'!D116*ManwithbedN2O)+('Mitigation drivers'!D117*PMwithoutlitterN2O)+('Mitigation drivers'!D118*PMwithlitterN2O)+('Mitigation drivers'!D120*DigesterN2OEF))/100</f>
        <v>2.0000000000000001E-4</v>
      </c>
      <c r="J62" s="26">
        <f>(('Mitigation drivers'!E110*LagoonN2O)+('Mitigation drivers'!E111*LiquidN2O)+('Mitigation drivers'!E112*DrylotN2O)+('Mitigation drivers'!E113*SolidStorageN2O)+('Mitigation drivers'!E114*DailyspreadN2O)+('Mitigation drivers'!E115*CompostN2O)+('Mitigation drivers'!E116*ManwithbedN2O)+('Mitigation drivers'!E117*PMwithoutlitterN2O)+('Mitigation drivers'!E118*PMwithlitterN2O)+('Mitigation drivers'!E120*DigesterN2OEF))/100</f>
        <v>2.0000000000000001E-4</v>
      </c>
      <c r="K62" s="26">
        <f>(('Mitigation drivers'!F110*LagoonN2O)+('Mitigation drivers'!F111*LiquidN2O)+('Mitigation drivers'!F112*DrylotN2O)+('Mitigation drivers'!F113*SolidStorageN2O)+('Mitigation drivers'!F114*DailyspreadN2O)+('Mitigation drivers'!F115*CompostN2O)+('Mitigation drivers'!F116*ManwithbedN2O)+('Mitigation drivers'!F117*PMwithoutlitterN2O)+('Mitigation drivers'!F118*PMwithlitterN2O)+('Mitigation drivers'!F120*DigesterN2OEF))/100</f>
        <v>2.0000000000000001E-4</v>
      </c>
      <c r="L62" s="26">
        <f>(('Mitigation drivers'!G110*LagoonN2O)+('Mitigation drivers'!G111*LiquidN2O)+('Mitigation drivers'!G112*DrylotN2O)+('Mitigation drivers'!G113*SolidStorageN2O)+('Mitigation drivers'!G114*DailyspreadN2O)+('Mitigation drivers'!G115*CompostN2O)+('Mitigation drivers'!G116*ManwithbedN2O)+('Mitigation drivers'!G117*PMwithoutlitterN2O)+('Mitigation drivers'!G118*PMwithlitterN2O)+('Mitigation drivers'!G120*DigesterN2OEF))/100</f>
        <v>2.0000000000000001E-4</v>
      </c>
      <c r="M62" s="26">
        <f>(('Mitigation drivers'!H110*LagoonN2O)+('Mitigation drivers'!H111*LiquidN2O)+('Mitigation drivers'!H112*DrylotN2O)+('Mitigation drivers'!H113*SolidStorageN2O)+('Mitigation drivers'!H114*DailyspreadN2O)+('Mitigation drivers'!H115*CompostN2O)+('Mitigation drivers'!H116*ManwithbedN2O)+('Mitigation drivers'!H117*PMwithoutlitterN2O)+('Mitigation drivers'!H118*PMwithlitterN2O)+('Mitigation drivers'!H120*DigesterN2OEF))/100</f>
        <v>2.0000000000000001E-4</v>
      </c>
      <c r="N62" s="26">
        <f>(('Mitigation drivers'!I110*LagoonN2O)+('Mitigation drivers'!I111*LiquidN2O)+('Mitigation drivers'!I112*DrylotN2O)+('Mitigation drivers'!I113*SolidStorageN2O)+('Mitigation drivers'!I114*DailyspreadN2O)+('Mitigation drivers'!I115*CompostN2O)+('Mitigation drivers'!I116*ManwithbedN2O)+('Mitigation drivers'!I117*PMwithoutlitterN2O)+('Mitigation drivers'!I118*PMwithlitterN2O)+('Mitigation drivers'!I120*DigesterN2OEF))/100</f>
        <v>2.0000000000000001E-4</v>
      </c>
      <c r="O62" s="26">
        <f>(('Mitigation drivers'!J110*LagoonN2O)+('Mitigation drivers'!J111*LiquidN2O)+('Mitigation drivers'!J112*DrylotN2O)+('Mitigation drivers'!J113*SolidStorageN2O)+('Mitigation drivers'!J114*DailyspreadN2O)+('Mitigation drivers'!J115*CompostN2O)+('Mitigation drivers'!J116*ManwithbedN2O)+('Mitigation drivers'!J117*PMwithoutlitterN2O)+('Mitigation drivers'!J118*PMwithlitterN2O)+('Mitigation drivers'!J120*DigesterN2OEF))/100</f>
        <v>2.0000000000000001E-4</v>
      </c>
      <c r="P62" s="26">
        <f>(('Mitigation drivers'!K110*LagoonN2O)+('Mitigation drivers'!K111*LiquidN2O)+('Mitigation drivers'!K112*DrylotN2O)+('Mitigation drivers'!K113*SolidStorageN2O)+('Mitigation drivers'!K114*DailyspreadN2O)+('Mitigation drivers'!K115*CompostN2O)+('Mitigation drivers'!K116*ManwithbedN2O)+('Mitigation drivers'!K117*PMwithoutlitterN2O)+('Mitigation drivers'!K118*PMwithlitterN2O)+('Mitigation drivers'!K120*DigesterN2OEF))/100</f>
        <v>2.0000000000000001E-4</v>
      </c>
      <c r="Q62" s="26">
        <f>(('Mitigation drivers'!L110*LagoonN2O)+('Mitigation drivers'!L111*LiquidN2O)+('Mitigation drivers'!L112*DrylotN2O)+('Mitigation drivers'!L113*SolidStorageN2O)+('Mitigation drivers'!L114*DailyspreadN2O)+('Mitigation drivers'!L115*CompostN2O)+('Mitigation drivers'!L116*ManwithbedN2O)+('Mitigation drivers'!L117*PMwithoutlitterN2O)+('Mitigation drivers'!L118*PMwithlitterN2O)+('Mitigation drivers'!L120*DigesterN2OEF))/100</f>
        <v>2.0000000000000001E-4</v>
      </c>
      <c r="R62" s="26">
        <f>(('Mitigation drivers'!M110*LagoonN2O)+('Mitigation drivers'!M111*LiquidN2O)+('Mitigation drivers'!M112*DrylotN2O)+('Mitigation drivers'!M113*SolidStorageN2O)+('Mitigation drivers'!M114*DailyspreadN2O)+('Mitigation drivers'!M115*CompostN2O)+('Mitigation drivers'!M116*ManwithbedN2O)+('Mitigation drivers'!M117*PMwithoutlitterN2O)+('Mitigation drivers'!M118*PMwithlitterN2O)+('Mitigation drivers'!M120*DigesterN2OEF))/100</f>
        <v>2.0000000000000001E-4</v>
      </c>
      <c r="S62" s="26">
        <f>(('Mitigation drivers'!N110*LagoonN2O)+('Mitigation drivers'!N111*LiquidN2O)+('Mitigation drivers'!N112*DrylotN2O)+('Mitigation drivers'!N113*SolidStorageN2O)+('Mitigation drivers'!N114*DailyspreadN2O)+('Mitigation drivers'!N115*CompostN2O)+('Mitigation drivers'!N116*ManwithbedN2O)+('Mitigation drivers'!N117*PMwithoutlitterN2O)+('Mitigation drivers'!N118*PMwithlitterN2O)+('Mitigation drivers'!N120*DigesterN2OEF))/100</f>
        <v>2.0000000000000001E-4</v>
      </c>
      <c r="T62" s="26">
        <f>(('Mitigation drivers'!O110*LagoonN2O)+('Mitigation drivers'!O111*LiquidN2O)+('Mitigation drivers'!O112*DrylotN2O)+('Mitigation drivers'!O113*SolidStorageN2O)+('Mitigation drivers'!O114*DailyspreadN2O)+('Mitigation drivers'!O115*CompostN2O)+('Mitigation drivers'!O116*ManwithbedN2O)+('Mitigation drivers'!O117*PMwithoutlitterN2O)+('Mitigation drivers'!O118*PMwithlitterN2O)+('Mitigation drivers'!O120*DigesterN2OEF))/100</f>
        <v>2.0000000000000001E-4</v>
      </c>
      <c r="U62" s="26">
        <f>(('Mitigation drivers'!P110*LagoonN2O)+('Mitigation drivers'!P111*LiquidN2O)+('Mitigation drivers'!P112*DrylotN2O)+('Mitigation drivers'!P113*SolidStorageN2O)+('Mitigation drivers'!P114*DailyspreadN2O)+('Mitigation drivers'!P115*CompostN2O)+('Mitigation drivers'!P116*ManwithbedN2O)+('Mitigation drivers'!P117*PMwithoutlitterN2O)+('Mitigation drivers'!P118*PMwithlitterN2O)+('Mitigation drivers'!P120*DigesterN2OEF))/100</f>
        <v>2.0000000000000001E-4</v>
      </c>
      <c r="V62" s="26">
        <f>(('Mitigation drivers'!Q110*LagoonN2O)+('Mitigation drivers'!Q111*LiquidN2O)+('Mitigation drivers'!Q112*DrylotN2O)+('Mitigation drivers'!Q113*SolidStorageN2O)+('Mitigation drivers'!Q114*DailyspreadN2O)+('Mitigation drivers'!Q115*CompostN2O)+('Mitigation drivers'!Q116*ManwithbedN2O)+('Mitigation drivers'!Q117*PMwithoutlitterN2O)+('Mitigation drivers'!Q118*PMwithlitterN2O)+('Mitigation drivers'!Q120*DigesterN2OEF))/100</f>
        <v>2.0000000000000001E-4</v>
      </c>
      <c r="W62" s="26">
        <f>(('Mitigation drivers'!R110*LagoonN2O)+('Mitigation drivers'!R111*LiquidN2O)+('Mitigation drivers'!R112*DrylotN2O)+('Mitigation drivers'!R113*SolidStorageN2O)+('Mitigation drivers'!R114*DailyspreadN2O)+('Mitigation drivers'!R115*CompostN2O)+('Mitigation drivers'!R116*ManwithbedN2O)+('Mitigation drivers'!R117*PMwithoutlitterN2O)+('Mitigation drivers'!R118*PMwithlitterN2O)+('Mitigation drivers'!R120*DigesterN2OEF))/100</f>
        <v>2.0000000000000001E-4</v>
      </c>
      <c r="X62" s="26">
        <f>(('Mitigation drivers'!S110*LagoonN2O)+('Mitigation drivers'!S111*LiquidN2O)+('Mitigation drivers'!S112*DrylotN2O)+('Mitigation drivers'!S113*SolidStorageN2O)+('Mitigation drivers'!S114*DailyspreadN2O)+('Mitigation drivers'!S115*CompostN2O)+('Mitigation drivers'!S116*ManwithbedN2O)+('Mitigation drivers'!S117*PMwithoutlitterN2O)+('Mitigation drivers'!S118*PMwithlitterN2O)+('Mitigation drivers'!S120*DigesterN2OEF))/100</f>
        <v>2.0000000000000001E-4</v>
      </c>
      <c r="Y62" s="26">
        <f>(('Mitigation drivers'!T110*LagoonN2O)+('Mitigation drivers'!T111*LiquidN2O)+('Mitigation drivers'!T112*DrylotN2O)+('Mitigation drivers'!T113*SolidStorageN2O)+('Mitigation drivers'!T114*DailyspreadN2O)+('Mitigation drivers'!T115*CompostN2O)+('Mitigation drivers'!T116*ManwithbedN2O)+('Mitigation drivers'!T117*PMwithoutlitterN2O)+('Mitigation drivers'!T118*PMwithlitterN2O)+('Mitigation drivers'!T120*DigesterN2OEF))/100</f>
        <v>2.0000000000000001E-4</v>
      </c>
      <c r="Z62" s="26">
        <f>(('Mitigation drivers'!U110*LagoonN2O)+('Mitigation drivers'!U111*LiquidN2O)+('Mitigation drivers'!U112*DrylotN2O)+('Mitigation drivers'!U113*SolidStorageN2O)+('Mitigation drivers'!U114*DailyspreadN2O)+('Mitigation drivers'!U115*CompostN2O)+('Mitigation drivers'!U116*ManwithbedN2O)+('Mitigation drivers'!U117*PMwithoutlitterN2O)+('Mitigation drivers'!U118*PMwithlitterN2O)+('Mitigation drivers'!U120*DigesterN2OEF))/100</f>
        <v>2.0000000000000001E-4</v>
      </c>
      <c r="AA62" s="26">
        <f>(('Mitigation drivers'!V110*LagoonN2O)+('Mitigation drivers'!V111*LiquidN2O)+('Mitigation drivers'!V112*DrylotN2O)+('Mitigation drivers'!V113*SolidStorageN2O)+('Mitigation drivers'!V114*DailyspreadN2O)+('Mitigation drivers'!V115*CompostN2O)+('Mitigation drivers'!V116*ManwithbedN2O)+('Mitigation drivers'!V117*PMwithoutlitterN2O)+('Mitigation drivers'!V118*PMwithlitterN2O)+('Mitigation drivers'!V120*DigesterN2OEF))/100</f>
        <v>2.0000000000000001E-4</v>
      </c>
      <c r="AB62" s="26">
        <f>(('Mitigation drivers'!W110*LagoonN2O)+('Mitigation drivers'!W111*LiquidN2O)+('Mitigation drivers'!W112*DrylotN2O)+('Mitigation drivers'!W113*SolidStorageN2O)+('Mitigation drivers'!W114*DailyspreadN2O)+('Mitigation drivers'!W115*CompostN2O)+('Mitigation drivers'!W116*ManwithbedN2O)+('Mitigation drivers'!W117*PMwithoutlitterN2O)+('Mitigation drivers'!W118*PMwithlitterN2O)+('Mitigation drivers'!W120*DigesterN2OEF))/100</f>
        <v>2.0000000000000001E-4</v>
      </c>
      <c r="AC62" s="26">
        <f>(('Mitigation drivers'!X110*LagoonN2O)+('Mitigation drivers'!X111*LiquidN2O)+('Mitigation drivers'!X112*DrylotN2O)+('Mitigation drivers'!X113*SolidStorageN2O)+('Mitigation drivers'!X114*DailyspreadN2O)+('Mitigation drivers'!X115*CompostN2O)+('Mitigation drivers'!X116*ManwithbedN2O)+('Mitigation drivers'!X117*PMwithoutlitterN2O)+('Mitigation drivers'!X118*PMwithlitterN2O)+('Mitigation drivers'!X120*DigesterN2OEF))/100</f>
        <v>2.0000000000000001E-4</v>
      </c>
      <c r="AD62" s="26">
        <f>(('Mitigation drivers'!Y110*LagoonN2O)+('Mitigation drivers'!Y111*LiquidN2O)+('Mitigation drivers'!Y112*DrylotN2O)+('Mitigation drivers'!Y113*SolidStorageN2O)+('Mitigation drivers'!Y114*DailyspreadN2O)+('Mitigation drivers'!Y115*CompostN2O)+('Mitigation drivers'!Y116*ManwithbedN2O)+('Mitigation drivers'!Y117*PMwithoutlitterN2O)+('Mitigation drivers'!Y118*PMwithlitterN2O)+('Mitigation drivers'!Y120*DigesterN2OEF))/100</f>
        <v>2.0000000000000001E-4</v>
      </c>
      <c r="AE62" s="26">
        <f>(('Mitigation drivers'!Z110*LagoonN2O)+('Mitigation drivers'!Z111*LiquidN2O)+('Mitigation drivers'!Z112*DrylotN2O)+('Mitigation drivers'!Z113*SolidStorageN2O)+('Mitigation drivers'!Z114*DailyspreadN2O)+('Mitigation drivers'!Z115*CompostN2O)+('Mitigation drivers'!Z116*ManwithbedN2O)+('Mitigation drivers'!Z117*PMwithoutlitterN2O)+('Mitigation drivers'!Z118*PMwithlitterN2O)+('Mitigation drivers'!Z120*DigesterN2OEF))/100</f>
        <v>2.0000000000000001E-4</v>
      </c>
      <c r="AF62" s="26">
        <f>(('Mitigation drivers'!AA110*LagoonN2O)+('Mitigation drivers'!AA111*LiquidN2O)+('Mitigation drivers'!AA112*DrylotN2O)+('Mitigation drivers'!AA113*SolidStorageN2O)+('Mitigation drivers'!AA114*DailyspreadN2O)+('Mitigation drivers'!AA115*CompostN2O)+('Mitigation drivers'!AA116*ManwithbedN2O)+('Mitigation drivers'!AA117*PMwithoutlitterN2O)+('Mitigation drivers'!AA118*PMwithlitterN2O)+('Mitigation drivers'!AA120*DigesterN2OEF))/100</f>
        <v>2.0000000000000001E-4</v>
      </c>
      <c r="AG62" s="26">
        <f>(('Mitigation drivers'!AB110*LagoonN2O)+('Mitigation drivers'!AB111*LiquidN2O)+('Mitigation drivers'!AB112*DrylotN2O)+('Mitigation drivers'!AB113*SolidStorageN2O)+('Mitigation drivers'!AB114*DailyspreadN2O)+('Mitigation drivers'!AB115*CompostN2O)+('Mitigation drivers'!AB116*ManwithbedN2O)+('Mitigation drivers'!AB117*PMwithoutlitterN2O)+('Mitigation drivers'!AB118*PMwithlitterN2O)+('Mitigation drivers'!AB120*DigesterN2OEF))/100</f>
        <v>2.0000000000000001E-4</v>
      </c>
      <c r="AH62" s="26">
        <f>(('Mitigation drivers'!AC110*LagoonN2O)+('Mitigation drivers'!AC111*LiquidN2O)+('Mitigation drivers'!AC112*DrylotN2O)+('Mitigation drivers'!AC113*SolidStorageN2O)+('Mitigation drivers'!AC114*DailyspreadN2O)+('Mitigation drivers'!AC115*CompostN2O)+('Mitigation drivers'!AC116*ManwithbedN2O)+('Mitigation drivers'!AC117*PMwithoutlitterN2O)+('Mitigation drivers'!AC118*PMwithlitterN2O)+('Mitigation drivers'!AC120*DigesterN2OEF))/100</f>
        <v>2.0000000000000001E-4</v>
      </c>
      <c r="AI62" s="26">
        <f>(('Mitigation drivers'!AD110*LagoonN2O)+('Mitigation drivers'!AD111*LiquidN2O)+('Mitigation drivers'!AD112*DrylotN2O)+('Mitigation drivers'!AD113*SolidStorageN2O)+('Mitigation drivers'!AD114*DailyspreadN2O)+('Mitigation drivers'!AD115*CompostN2O)+('Mitigation drivers'!AD116*ManwithbedN2O)+('Mitigation drivers'!AD117*PMwithoutlitterN2O)+('Mitigation drivers'!AD118*PMwithlitterN2O)+('Mitigation drivers'!AD120*DigesterN2OEF))/100</f>
        <v>2.0000000000000001E-4</v>
      </c>
      <c r="AJ62" s="26">
        <f>(('Mitigation drivers'!AE110*LagoonN2O)+('Mitigation drivers'!AE111*LiquidN2O)+('Mitigation drivers'!AE112*DrylotN2O)+('Mitigation drivers'!AE113*SolidStorageN2O)+('Mitigation drivers'!AE114*DailyspreadN2O)+('Mitigation drivers'!AE115*CompostN2O)+('Mitigation drivers'!AE116*ManwithbedN2O)+('Mitigation drivers'!AE117*PMwithoutlitterN2O)+('Mitigation drivers'!AE118*PMwithlitterN2O)+('Mitigation drivers'!AE120*DigesterN2OEF))/100</f>
        <v>2.0000000000000001E-4</v>
      </c>
      <c r="AK62" s="26">
        <f>(('Mitigation drivers'!AF110*LagoonN2O)+('Mitigation drivers'!AF111*LiquidN2O)+('Mitigation drivers'!AF112*DrylotN2O)+('Mitigation drivers'!AF113*SolidStorageN2O)+('Mitigation drivers'!AF114*DailyspreadN2O)+('Mitigation drivers'!AF115*CompostN2O)+('Mitigation drivers'!AF116*ManwithbedN2O)+('Mitigation drivers'!AF117*PMwithoutlitterN2O)+('Mitigation drivers'!AF118*PMwithlitterN2O)+('Mitigation drivers'!AF120*DigesterN2OEF))/100</f>
        <v>2.0000000000000001E-4</v>
      </c>
      <c r="AL62" s="26">
        <f>(('Mitigation drivers'!AG110*LagoonN2O)+('Mitigation drivers'!AG111*LiquidN2O)+('Mitigation drivers'!AG112*DrylotN2O)+('Mitigation drivers'!AG113*SolidStorageN2O)+('Mitigation drivers'!AG114*DailyspreadN2O)+('Mitigation drivers'!AG115*CompostN2O)+('Mitigation drivers'!AG116*ManwithbedN2O)+('Mitigation drivers'!AG117*PMwithoutlitterN2O)+('Mitigation drivers'!AG118*PMwithlitterN2O)+('Mitigation drivers'!AG120*DigesterN2OEF))/100</f>
        <v>2.0000000000000001E-4</v>
      </c>
      <c r="AM62" s="26">
        <f>(('Mitigation drivers'!AH110*LagoonN2O)+('Mitigation drivers'!AH111*LiquidN2O)+('Mitigation drivers'!AH112*DrylotN2O)+('Mitigation drivers'!AH113*SolidStorageN2O)+('Mitigation drivers'!AH114*DailyspreadN2O)+('Mitigation drivers'!AH115*CompostN2O)+('Mitigation drivers'!AH116*ManwithbedN2O)+('Mitigation drivers'!AH117*PMwithoutlitterN2O)+('Mitigation drivers'!AH118*PMwithlitterN2O)+('Mitigation drivers'!AH120*DigesterN2OEF))/100</f>
        <v>2.0000000000000001E-4</v>
      </c>
      <c r="AN62" s="26">
        <f>(('Mitigation drivers'!AI110*LagoonN2O)+('Mitigation drivers'!AI111*LiquidN2O)+('Mitigation drivers'!AI112*DrylotN2O)+('Mitigation drivers'!AI113*SolidStorageN2O)+('Mitigation drivers'!AI114*DailyspreadN2O)+('Mitigation drivers'!AI115*CompostN2O)+('Mitigation drivers'!AI116*ManwithbedN2O)+('Mitigation drivers'!AI117*PMwithoutlitterN2O)+('Mitigation drivers'!AI118*PMwithlitterN2O)+('Mitigation drivers'!AI120*DigesterN2OEF))/100</f>
        <v>2.0000000000000001E-4</v>
      </c>
      <c r="AO62" s="26">
        <f>(('Mitigation drivers'!AJ110*LagoonN2O)+('Mitigation drivers'!AJ111*LiquidN2O)+('Mitigation drivers'!AJ112*DrylotN2O)+('Mitigation drivers'!AJ113*SolidStorageN2O)+('Mitigation drivers'!AJ114*DailyspreadN2O)+('Mitigation drivers'!AJ115*CompostN2O)+('Mitigation drivers'!AJ116*ManwithbedN2O)+('Mitigation drivers'!AJ117*PMwithoutlitterN2O)+('Mitigation drivers'!AJ118*PMwithlitterN2O)+('Mitigation drivers'!AJ120*DigesterN2OEF))/100</f>
        <v>2.0000000000000001E-4</v>
      </c>
    </row>
    <row r="63" spans="1:41" x14ac:dyDescent="0.25">
      <c r="A63" t="str">
        <f t="shared" si="1"/>
        <v>3A Livestock</v>
      </c>
      <c r="B63" t="str">
        <f t="shared" si="8"/>
        <v>3A2 Manure management (N2O)</v>
      </c>
      <c r="C63" t="str">
        <f>'Activity data'!C14</f>
        <v>3A1d Goats</v>
      </c>
      <c r="D63" t="str">
        <f>'Activity data'!D14</f>
        <v>Subsistence</v>
      </c>
      <c r="E63" t="str">
        <f t="shared" si="27"/>
        <v>Manure management EF</v>
      </c>
      <c r="F63" t="str">
        <f t="shared" si="28"/>
        <v>N2O</v>
      </c>
      <c r="G63" t="str">
        <f t="shared" si="29"/>
        <v>kg N2O-N/kg Nex</v>
      </c>
      <c r="H63" s="26">
        <f>(('Mitigation drivers'!C122*LagoonN2O)+('Mitigation drivers'!C123*LiquidN2O)+('Mitigation drivers'!C124*DrylotN2O)+('Mitigation drivers'!C125*SolidStorageN2O)+('Mitigation drivers'!C126*DailyspreadN2O)+('Mitigation drivers'!C127*CompostN2O)+('Mitigation drivers'!C128*ManwithbedN2O)+('Mitigation drivers'!C129*PMwithoutlitterN2O)+('Mitigation drivers'!C130*PMwithlitterN2O)+('Mitigation drivers'!C132*DigesterN2OEF))/100</f>
        <v>8.9999999999999998E-4</v>
      </c>
      <c r="I63" s="26">
        <f>(('Mitigation drivers'!D122*LagoonN2O)+('Mitigation drivers'!D123*LiquidN2O)+('Mitigation drivers'!D124*DrylotN2O)+('Mitigation drivers'!D125*SolidStorageN2O)+('Mitigation drivers'!D126*DailyspreadN2O)+('Mitigation drivers'!D127*CompostN2O)+('Mitigation drivers'!D128*ManwithbedN2O)+('Mitigation drivers'!D129*PMwithoutlitterN2O)+('Mitigation drivers'!D130*PMwithlitterN2O)+('Mitigation drivers'!D132*DigesterN2OEF))/100</f>
        <v>8.9999999999999998E-4</v>
      </c>
      <c r="J63" s="26">
        <f>(('Mitigation drivers'!E122*LagoonN2O)+('Mitigation drivers'!E123*LiquidN2O)+('Mitigation drivers'!E124*DrylotN2O)+('Mitigation drivers'!E125*SolidStorageN2O)+('Mitigation drivers'!E126*DailyspreadN2O)+('Mitigation drivers'!E127*CompostN2O)+('Mitigation drivers'!E128*ManwithbedN2O)+('Mitigation drivers'!E129*PMwithoutlitterN2O)+('Mitigation drivers'!E130*PMwithlitterN2O)+('Mitigation drivers'!E132*DigesterN2OEF))/100</f>
        <v>8.9999999999999998E-4</v>
      </c>
      <c r="K63" s="26">
        <f>(('Mitigation drivers'!F122*LagoonN2O)+('Mitigation drivers'!F123*LiquidN2O)+('Mitigation drivers'!F124*DrylotN2O)+('Mitigation drivers'!F125*SolidStorageN2O)+('Mitigation drivers'!F126*DailyspreadN2O)+('Mitigation drivers'!F127*CompostN2O)+('Mitigation drivers'!F128*ManwithbedN2O)+('Mitigation drivers'!F129*PMwithoutlitterN2O)+('Mitigation drivers'!F130*PMwithlitterN2O)+('Mitigation drivers'!F132*DigesterN2OEF))/100</f>
        <v>8.9999999999999998E-4</v>
      </c>
      <c r="L63" s="26">
        <f>(('Mitigation drivers'!G122*LagoonN2O)+('Mitigation drivers'!G123*LiquidN2O)+('Mitigation drivers'!G124*DrylotN2O)+('Mitigation drivers'!G125*SolidStorageN2O)+('Mitigation drivers'!G126*DailyspreadN2O)+('Mitigation drivers'!G127*CompostN2O)+('Mitigation drivers'!G128*ManwithbedN2O)+('Mitigation drivers'!G129*PMwithoutlitterN2O)+('Mitigation drivers'!G130*PMwithlitterN2O)+('Mitigation drivers'!G132*DigesterN2OEF))/100</f>
        <v>8.9999999999999998E-4</v>
      </c>
      <c r="M63" s="26">
        <f>(('Mitigation drivers'!H122*LagoonN2O)+('Mitigation drivers'!H123*LiquidN2O)+('Mitigation drivers'!H124*DrylotN2O)+('Mitigation drivers'!H125*SolidStorageN2O)+('Mitigation drivers'!H126*DailyspreadN2O)+('Mitigation drivers'!H127*CompostN2O)+('Mitigation drivers'!H128*ManwithbedN2O)+('Mitigation drivers'!H129*PMwithoutlitterN2O)+('Mitigation drivers'!H130*PMwithlitterN2O)+('Mitigation drivers'!H132*DigesterN2OEF))/100</f>
        <v>8.9999999999999998E-4</v>
      </c>
      <c r="N63" s="26">
        <f>(('Mitigation drivers'!I122*LagoonN2O)+('Mitigation drivers'!I123*LiquidN2O)+('Mitigation drivers'!I124*DrylotN2O)+('Mitigation drivers'!I125*SolidStorageN2O)+('Mitigation drivers'!I126*DailyspreadN2O)+('Mitigation drivers'!I127*CompostN2O)+('Mitigation drivers'!I128*ManwithbedN2O)+('Mitigation drivers'!I129*PMwithoutlitterN2O)+('Mitigation drivers'!I130*PMwithlitterN2O)+('Mitigation drivers'!I132*DigesterN2OEF))/100</f>
        <v>8.9999999999999998E-4</v>
      </c>
      <c r="O63" s="26">
        <f>(('Mitigation drivers'!J122*LagoonN2O)+('Mitigation drivers'!J123*LiquidN2O)+('Mitigation drivers'!J124*DrylotN2O)+('Mitigation drivers'!J125*SolidStorageN2O)+('Mitigation drivers'!J126*DailyspreadN2O)+('Mitigation drivers'!J127*CompostN2O)+('Mitigation drivers'!J128*ManwithbedN2O)+('Mitigation drivers'!J129*PMwithoutlitterN2O)+('Mitigation drivers'!J130*PMwithlitterN2O)+('Mitigation drivers'!J132*DigesterN2OEF))/100</f>
        <v>8.9999999999999998E-4</v>
      </c>
      <c r="P63" s="26">
        <f>(('Mitigation drivers'!K122*LagoonN2O)+('Mitigation drivers'!K123*LiquidN2O)+('Mitigation drivers'!K124*DrylotN2O)+('Mitigation drivers'!K125*SolidStorageN2O)+('Mitigation drivers'!K126*DailyspreadN2O)+('Mitigation drivers'!K127*CompostN2O)+('Mitigation drivers'!K128*ManwithbedN2O)+('Mitigation drivers'!K129*PMwithoutlitterN2O)+('Mitigation drivers'!K130*PMwithlitterN2O)+('Mitigation drivers'!K132*DigesterN2OEF))/100</f>
        <v>8.9999999999999998E-4</v>
      </c>
      <c r="Q63" s="26">
        <f>(('Mitigation drivers'!L122*LagoonN2O)+('Mitigation drivers'!L123*LiquidN2O)+('Mitigation drivers'!L124*DrylotN2O)+('Mitigation drivers'!L125*SolidStorageN2O)+('Mitigation drivers'!L126*DailyspreadN2O)+('Mitigation drivers'!L127*CompostN2O)+('Mitigation drivers'!L128*ManwithbedN2O)+('Mitigation drivers'!L129*PMwithoutlitterN2O)+('Mitigation drivers'!L130*PMwithlitterN2O)+('Mitigation drivers'!L132*DigesterN2OEF))/100</f>
        <v>8.9999999999999998E-4</v>
      </c>
      <c r="R63" s="26">
        <f>(('Mitigation drivers'!M122*LagoonN2O)+('Mitigation drivers'!M123*LiquidN2O)+('Mitigation drivers'!M124*DrylotN2O)+('Mitigation drivers'!M125*SolidStorageN2O)+('Mitigation drivers'!M126*DailyspreadN2O)+('Mitigation drivers'!M127*CompostN2O)+('Mitigation drivers'!M128*ManwithbedN2O)+('Mitigation drivers'!M129*PMwithoutlitterN2O)+('Mitigation drivers'!M130*PMwithlitterN2O)+('Mitigation drivers'!M132*DigesterN2OEF))/100</f>
        <v>8.9999999999999998E-4</v>
      </c>
      <c r="S63" s="26">
        <f>(('Mitigation drivers'!N122*LagoonN2O)+('Mitigation drivers'!N123*LiquidN2O)+('Mitigation drivers'!N124*DrylotN2O)+('Mitigation drivers'!N125*SolidStorageN2O)+('Mitigation drivers'!N126*DailyspreadN2O)+('Mitigation drivers'!N127*CompostN2O)+('Mitigation drivers'!N128*ManwithbedN2O)+('Mitigation drivers'!N129*PMwithoutlitterN2O)+('Mitigation drivers'!N130*PMwithlitterN2O)+('Mitigation drivers'!N132*DigesterN2OEF))/100</f>
        <v>8.9999999999999998E-4</v>
      </c>
      <c r="T63" s="26">
        <f>(('Mitigation drivers'!O122*LagoonN2O)+('Mitigation drivers'!O123*LiquidN2O)+('Mitigation drivers'!O124*DrylotN2O)+('Mitigation drivers'!O125*SolidStorageN2O)+('Mitigation drivers'!O126*DailyspreadN2O)+('Mitigation drivers'!O127*CompostN2O)+('Mitigation drivers'!O128*ManwithbedN2O)+('Mitigation drivers'!O129*PMwithoutlitterN2O)+('Mitigation drivers'!O130*PMwithlitterN2O)+('Mitigation drivers'!O132*DigesterN2OEF))/100</f>
        <v>8.9999999999999998E-4</v>
      </c>
      <c r="U63" s="26">
        <f>(('Mitigation drivers'!P122*LagoonN2O)+('Mitigation drivers'!P123*LiquidN2O)+('Mitigation drivers'!P124*DrylotN2O)+('Mitigation drivers'!P125*SolidStorageN2O)+('Mitigation drivers'!P126*DailyspreadN2O)+('Mitigation drivers'!P127*CompostN2O)+('Mitigation drivers'!P128*ManwithbedN2O)+('Mitigation drivers'!P129*PMwithoutlitterN2O)+('Mitigation drivers'!P130*PMwithlitterN2O)+('Mitigation drivers'!P132*DigesterN2OEF))/100</f>
        <v>8.9999999999999998E-4</v>
      </c>
      <c r="V63" s="26">
        <f>(('Mitigation drivers'!Q122*LagoonN2O)+('Mitigation drivers'!Q123*LiquidN2O)+('Mitigation drivers'!Q124*DrylotN2O)+('Mitigation drivers'!Q125*SolidStorageN2O)+('Mitigation drivers'!Q126*DailyspreadN2O)+('Mitigation drivers'!Q127*CompostN2O)+('Mitigation drivers'!Q128*ManwithbedN2O)+('Mitigation drivers'!Q129*PMwithoutlitterN2O)+('Mitigation drivers'!Q130*PMwithlitterN2O)+('Mitigation drivers'!Q132*DigesterN2OEF))/100</f>
        <v>8.9999999999999998E-4</v>
      </c>
      <c r="W63" s="26">
        <f>(('Mitigation drivers'!R122*LagoonN2O)+('Mitigation drivers'!R123*LiquidN2O)+('Mitigation drivers'!R124*DrylotN2O)+('Mitigation drivers'!R125*SolidStorageN2O)+('Mitigation drivers'!R126*DailyspreadN2O)+('Mitigation drivers'!R127*CompostN2O)+('Mitigation drivers'!R128*ManwithbedN2O)+('Mitigation drivers'!R129*PMwithoutlitterN2O)+('Mitigation drivers'!R130*PMwithlitterN2O)+('Mitigation drivers'!R132*DigesterN2OEF))/100</f>
        <v>8.9999999999999998E-4</v>
      </c>
      <c r="X63" s="26">
        <f>(('Mitigation drivers'!S122*LagoonN2O)+('Mitigation drivers'!S123*LiquidN2O)+('Mitigation drivers'!S124*DrylotN2O)+('Mitigation drivers'!S125*SolidStorageN2O)+('Mitigation drivers'!S126*DailyspreadN2O)+('Mitigation drivers'!S127*CompostN2O)+('Mitigation drivers'!S128*ManwithbedN2O)+('Mitigation drivers'!S129*PMwithoutlitterN2O)+('Mitigation drivers'!S130*PMwithlitterN2O)+('Mitigation drivers'!S132*DigesterN2OEF))/100</f>
        <v>8.9999999999999998E-4</v>
      </c>
      <c r="Y63" s="26">
        <f>(('Mitigation drivers'!T122*LagoonN2O)+('Mitigation drivers'!T123*LiquidN2O)+('Mitigation drivers'!T124*DrylotN2O)+('Mitigation drivers'!T125*SolidStorageN2O)+('Mitigation drivers'!T126*DailyspreadN2O)+('Mitigation drivers'!T127*CompostN2O)+('Mitigation drivers'!T128*ManwithbedN2O)+('Mitigation drivers'!T129*PMwithoutlitterN2O)+('Mitigation drivers'!T130*PMwithlitterN2O)+('Mitigation drivers'!T132*DigesterN2OEF))/100</f>
        <v>8.9999999999999998E-4</v>
      </c>
      <c r="Z63" s="26">
        <f>(('Mitigation drivers'!U122*LagoonN2O)+('Mitigation drivers'!U123*LiquidN2O)+('Mitigation drivers'!U124*DrylotN2O)+('Mitigation drivers'!U125*SolidStorageN2O)+('Mitigation drivers'!U126*DailyspreadN2O)+('Mitigation drivers'!U127*CompostN2O)+('Mitigation drivers'!U128*ManwithbedN2O)+('Mitigation drivers'!U129*PMwithoutlitterN2O)+('Mitigation drivers'!U130*PMwithlitterN2O)+('Mitigation drivers'!U132*DigesterN2OEF))/100</f>
        <v>8.9999999999999998E-4</v>
      </c>
      <c r="AA63" s="26">
        <f>(('Mitigation drivers'!V122*LagoonN2O)+('Mitigation drivers'!V123*LiquidN2O)+('Mitigation drivers'!V124*DrylotN2O)+('Mitigation drivers'!V125*SolidStorageN2O)+('Mitigation drivers'!V126*DailyspreadN2O)+('Mitigation drivers'!V127*CompostN2O)+('Mitigation drivers'!V128*ManwithbedN2O)+('Mitigation drivers'!V129*PMwithoutlitterN2O)+('Mitigation drivers'!V130*PMwithlitterN2O)+('Mitigation drivers'!V132*DigesterN2OEF))/100</f>
        <v>8.9999999999999998E-4</v>
      </c>
      <c r="AB63" s="26">
        <f>(('Mitigation drivers'!W122*LagoonN2O)+('Mitigation drivers'!W123*LiquidN2O)+('Mitigation drivers'!W124*DrylotN2O)+('Mitigation drivers'!W125*SolidStorageN2O)+('Mitigation drivers'!W126*DailyspreadN2O)+('Mitigation drivers'!W127*CompostN2O)+('Mitigation drivers'!W128*ManwithbedN2O)+('Mitigation drivers'!W129*PMwithoutlitterN2O)+('Mitigation drivers'!W130*PMwithlitterN2O)+('Mitigation drivers'!W132*DigesterN2OEF))/100</f>
        <v>8.9999999999999998E-4</v>
      </c>
      <c r="AC63" s="26">
        <f>(('Mitigation drivers'!X122*LagoonN2O)+('Mitigation drivers'!X123*LiquidN2O)+('Mitigation drivers'!X124*DrylotN2O)+('Mitigation drivers'!X125*SolidStorageN2O)+('Mitigation drivers'!X126*DailyspreadN2O)+('Mitigation drivers'!X127*CompostN2O)+('Mitigation drivers'!X128*ManwithbedN2O)+('Mitigation drivers'!X129*PMwithoutlitterN2O)+('Mitigation drivers'!X130*PMwithlitterN2O)+('Mitigation drivers'!X132*DigesterN2OEF))/100</f>
        <v>8.9999999999999998E-4</v>
      </c>
      <c r="AD63" s="26">
        <f>(('Mitigation drivers'!Y122*LagoonN2O)+('Mitigation drivers'!Y123*LiquidN2O)+('Mitigation drivers'!Y124*DrylotN2O)+('Mitigation drivers'!Y125*SolidStorageN2O)+('Mitigation drivers'!Y126*DailyspreadN2O)+('Mitigation drivers'!Y127*CompostN2O)+('Mitigation drivers'!Y128*ManwithbedN2O)+('Mitigation drivers'!Y129*PMwithoutlitterN2O)+('Mitigation drivers'!Y130*PMwithlitterN2O)+('Mitigation drivers'!Y132*DigesterN2OEF))/100</f>
        <v>8.9999999999999998E-4</v>
      </c>
      <c r="AE63" s="26">
        <f>(('Mitigation drivers'!Z122*LagoonN2O)+('Mitigation drivers'!Z123*LiquidN2O)+('Mitigation drivers'!Z124*DrylotN2O)+('Mitigation drivers'!Z125*SolidStorageN2O)+('Mitigation drivers'!Z126*DailyspreadN2O)+('Mitigation drivers'!Z127*CompostN2O)+('Mitigation drivers'!Z128*ManwithbedN2O)+('Mitigation drivers'!Z129*PMwithoutlitterN2O)+('Mitigation drivers'!Z130*PMwithlitterN2O)+('Mitigation drivers'!Z132*DigesterN2OEF))/100</f>
        <v>8.9999999999999998E-4</v>
      </c>
      <c r="AF63" s="26">
        <f>(('Mitigation drivers'!AA122*LagoonN2O)+('Mitigation drivers'!AA123*LiquidN2O)+('Mitigation drivers'!AA124*DrylotN2O)+('Mitigation drivers'!AA125*SolidStorageN2O)+('Mitigation drivers'!AA126*DailyspreadN2O)+('Mitigation drivers'!AA127*CompostN2O)+('Mitigation drivers'!AA128*ManwithbedN2O)+('Mitigation drivers'!AA129*PMwithoutlitterN2O)+('Mitigation drivers'!AA130*PMwithlitterN2O)+('Mitigation drivers'!AA132*DigesterN2OEF))/100</f>
        <v>8.9999999999999998E-4</v>
      </c>
      <c r="AG63" s="26">
        <f>(('Mitigation drivers'!AB122*LagoonN2O)+('Mitigation drivers'!AB123*LiquidN2O)+('Mitigation drivers'!AB124*DrylotN2O)+('Mitigation drivers'!AB125*SolidStorageN2O)+('Mitigation drivers'!AB126*DailyspreadN2O)+('Mitigation drivers'!AB127*CompostN2O)+('Mitigation drivers'!AB128*ManwithbedN2O)+('Mitigation drivers'!AB129*PMwithoutlitterN2O)+('Mitigation drivers'!AB130*PMwithlitterN2O)+('Mitigation drivers'!AB132*DigesterN2OEF))/100</f>
        <v>8.9999999999999998E-4</v>
      </c>
      <c r="AH63" s="26">
        <f>(('Mitigation drivers'!AC122*LagoonN2O)+('Mitigation drivers'!AC123*LiquidN2O)+('Mitigation drivers'!AC124*DrylotN2O)+('Mitigation drivers'!AC125*SolidStorageN2O)+('Mitigation drivers'!AC126*DailyspreadN2O)+('Mitigation drivers'!AC127*CompostN2O)+('Mitigation drivers'!AC128*ManwithbedN2O)+('Mitigation drivers'!AC129*PMwithoutlitterN2O)+('Mitigation drivers'!AC130*PMwithlitterN2O)+('Mitigation drivers'!AC132*DigesterN2OEF))/100</f>
        <v>8.9999999999999998E-4</v>
      </c>
      <c r="AI63" s="26">
        <f>(('Mitigation drivers'!AD122*LagoonN2O)+('Mitigation drivers'!AD123*LiquidN2O)+('Mitigation drivers'!AD124*DrylotN2O)+('Mitigation drivers'!AD125*SolidStorageN2O)+('Mitigation drivers'!AD126*DailyspreadN2O)+('Mitigation drivers'!AD127*CompostN2O)+('Mitigation drivers'!AD128*ManwithbedN2O)+('Mitigation drivers'!AD129*PMwithoutlitterN2O)+('Mitigation drivers'!AD130*PMwithlitterN2O)+('Mitigation drivers'!AD132*DigesterN2OEF))/100</f>
        <v>8.9999999999999998E-4</v>
      </c>
      <c r="AJ63" s="26">
        <f>(('Mitigation drivers'!AE122*LagoonN2O)+('Mitigation drivers'!AE123*LiquidN2O)+('Mitigation drivers'!AE124*DrylotN2O)+('Mitigation drivers'!AE125*SolidStorageN2O)+('Mitigation drivers'!AE126*DailyspreadN2O)+('Mitigation drivers'!AE127*CompostN2O)+('Mitigation drivers'!AE128*ManwithbedN2O)+('Mitigation drivers'!AE129*PMwithoutlitterN2O)+('Mitigation drivers'!AE130*PMwithlitterN2O)+('Mitigation drivers'!AE132*DigesterN2OEF))/100</f>
        <v>8.9999999999999998E-4</v>
      </c>
      <c r="AK63" s="26">
        <f>(('Mitigation drivers'!AF122*LagoonN2O)+('Mitigation drivers'!AF123*LiquidN2O)+('Mitigation drivers'!AF124*DrylotN2O)+('Mitigation drivers'!AF125*SolidStorageN2O)+('Mitigation drivers'!AF126*DailyspreadN2O)+('Mitigation drivers'!AF127*CompostN2O)+('Mitigation drivers'!AF128*ManwithbedN2O)+('Mitigation drivers'!AF129*PMwithoutlitterN2O)+('Mitigation drivers'!AF130*PMwithlitterN2O)+('Mitigation drivers'!AF132*DigesterN2OEF))/100</f>
        <v>8.9999999999999998E-4</v>
      </c>
      <c r="AL63" s="26">
        <f>(('Mitigation drivers'!AG122*LagoonN2O)+('Mitigation drivers'!AG123*LiquidN2O)+('Mitigation drivers'!AG124*DrylotN2O)+('Mitigation drivers'!AG125*SolidStorageN2O)+('Mitigation drivers'!AG126*DailyspreadN2O)+('Mitigation drivers'!AG127*CompostN2O)+('Mitigation drivers'!AG128*ManwithbedN2O)+('Mitigation drivers'!AG129*PMwithoutlitterN2O)+('Mitigation drivers'!AG130*PMwithlitterN2O)+('Mitigation drivers'!AG132*DigesterN2OEF))/100</f>
        <v>8.9999999999999998E-4</v>
      </c>
      <c r="AM63" s="26">
        <f>(('Mitigation drivers'!AH122*LagoonN2O)+('Mitigation drivers'!AH123*LiquidN2O)+('Mitigation drivers'!AH124*DrylotN2O)+('Mitigation drivers'!AH125*SolidStorageN2O)+('Mitigation drivers'!AH126*DailyspreadN2O)+('Mitigation drivers'!AH127*CompostN2O)+('Mitigation drivers'!AH128*ManwithbedN2O)+('Mitigation drivers'!AH129*PMwithoutlitterN2O)+('Mitigation drivers'!AH130*PMwithlitterN2O)+('Mitigation drivers'!AH132*DigesterN2OEF))/100</f>
        <v>8.9999999999999998E-4</v>
      </c>
      <c r="AN63" s="26">
        <f>(('Mitigation drivers'!AI122*LagoonN2O)+('Mitigation drivers'!AI123*LiquidN2O)+('Mitigation drivers'!AI124*DrylotN2O)+('Mitigation drivers'!AI125*SolidStorageN2O)+('Mitigation drivers'!AI126*DailyspreadN2O)+('Mitigation drivers'!AI127*CompostN2O)+('Mitigation drivers'!AI128*ManwithbedN2O)+('Mitigation drivers'!AI129*PMwithoutlitterN2O)+('Mitigation drivers'!AI130*PMwithlitterN2O)+('Mitigation drivers'!AI132*DigesterN2OEF))/100</f>
        <v>8.9999999999999998E-4</v>
      </c>
      <c r="AO63" s="26">
        <f>(('Mitigation drivers'!AJ122*LagoonN2O)+('Mitigation drivers'!AJ123*LiquidN2O)+('Mitigation drivers'!AJ124*DrylotN2O)+('Mitigation drivers'!AJ125*SolidStorageN2O)+('Mitigation drivers'!AJ126*DailyspreadN2O)+('Mitigation drivers'!AJ127*CompostN2O)+('Mitigation drivers'!AJ128*ManwithbedN2O)+('Mitigation drivers'!AJ129*PMwithoutlitterN2O)+('Mitigation drivers'!AJ130*PMwithlitterN2O)+('Mitigation drivers'!AJ132*DigesterN2OEF))/100</f>
        <v>8.9999999999999998E-4</v>
      </c>
    </row>
    <row r="64" spans="1:41" x14ac:dyDescent="0.25">
      <c r="A64" t="str">
        <f t="shared" si="1"/>
        <v>3A Livestock</v>
      </c>
      <c r="B64" t="str">
        <f t="shared" si="8"/>
        <v>3A2 Manure management (N2O)</v>
      </c>
      <c r="C64" t="str">
        <f>'Activity data'!C15</f>
        <v>3A1f Horses</v>
      </c>
      <c r="D64" t="str">
        <f>'Activity data'!D15</f>
        <v>Horses</v>
      </c>
      <c r="E64" t="str">
        <f t="shared" si="27"/>
        <v>Manure management EF</v>
      </c>
      <c r="F64" t="str">
        <f t="shared" si="28"/>
        <v>N2O</v>
      </c>
      <c r="G64" t="str">
        <f t="shared" si="29"/>
        <v>kg N2O-N/kg Nex</v>
      </c>
      <c r="H64" s="26">
        <f>IFERROR((('Mitigation drivers'!C135*LagoonN2O)+('Mitigation drivers'!C136*LiquidN2O)+('Mitigation drivers'!C137*DrylotN2O)+('Mitigation drivers'!C138*SolidStorageN2O)+('Mitigation drivers'!C139*DailyspreadN2O)+('Mitigation drivers'!C140*CompostN2O)+('Mitigation drivers'!C141*ManwithbedN2O)+('Mitigation drivers'!C142*PMwithoutlitterN2O)+('Mitigation drivers'!C143*PMwithlitterN2O+('Mitigation drivers'!C145*DigesterN2OEF)))/100,0)</f>
        <v>0</v>
      </c>
      <c r="I64" s="26">
        <f>IFERROR((('Mitigation drivers'!D135*LagoonN2O)+('Mitigation drivers'!D136*LiquidN2O)+('Mitigation drivers'!D137*DrylotN2O)+('Mitigation drivers'!D138*SolidStorageN2O)+('Mitigation drivers'!D139*DailyspreadN2O)+('Mitigation drivers'!D140*CompostN2O)+('Mitigation drivers'!D141*ManwithbedN2O)+('Mitigation drivers'!D142*PMwithoutlitterN2O)+('Mitigation drivers'!D143*PMwithlitterN2O+('Mitigation drivers'!D145*DigesterN2OEF)))/100,0)</f>
        <v>0</v>
      </c>
      <c r="J64" s="26">
        <f>IFERROR((('Mitigation drivers'!E135*LagoonN2O)+('Mitigation drivers'!E136*LiquidN2O)+('Mitigation drivers'!E137*DrylotN2O)+('Mitigation drivers'!E138*SolidStorageN2O)+('Mitigation drivers'!E139*DailyspreadN2O)+('Mitigation drivers'!E140*CompostN2O)+('Mitigation drivers'!E141*ManwithbedN2O)+('Mitigation drivers'!E142*PMwithoutlitterN2O)+('Mitigation drivers'!E143*PMwithlitterN2O+('Mitigation drivers'!E145*DigesterN2OEF)))/100,0)</f>
        <v>0</v>
      </c>
      <c r="K64" s="26">
        <f>IFERROR((('Mitigation drivers'!F135*LagoonN2O)+('Mitigation drivers'!F136*LiquidN2O)+('Mitigation drivers'!F137*DrylotN2O)+('Mitigation drivers'!F138*SolidStorageN2O)+('Mitigation drivers'!F139*DailyspreadN2O)+('Mitigation drivers'!F140*CompostN2O)+('Mitigation drivers'!F141*ManwithbedN2O)+('Mitigation drivers'!F142*PMwithoutlitterN2O)+('Mitigation drivers'!F143*PMwithlitterN2O+('Mitigation drivers'!F145*DigesterN2OEF)))/100,0)</f>
        <v>0</v>
      </c>
      <c r="L64" s="26">
        <f>IFERROR((('Mitigation drivers'!G135*LagoonN2O)+('Mitigation drivers'!G136*LiquidN2O)+('Mitigation drivers'!G137*DrylotN2O)+('Mitigation drivers'!G138*SolidStorageN2O)+('Mitigation drivers'!G139*DailyspreadN2O)+('Mitigation drivers'!G140*CompostN2O)+('Mitigation drivers'!G141*ManwithbedN2O)+('Mitigation drivers'!G142*PMwithoutlitterN2O)+('Mitigation drivers'!G143*PMwithlitterN2O+('Mitigation drivers'!G145*DigesterN2OEF)))/100,0)</f>
        <v>0</v>
      </c>
      <c r="M64" s="26">
        <f>IFERROR((('Mitigation drivers'!H135*LagoonN2O)+('Mitigation drivers'!H136*LiquidN2O)+('Mitigation drivers'!H137*DrylotN2O)+('Mitigation drivers'!H138*SolidStorageN2O)+('Mitigation drivers'!H139*DailyspreadN2O)+('Mitigation drivers'!H140*CompostN2O)+('Mitigation drivers'!H141*ManwithbedN2O)+('Mitigation drivers'!H142*PMwithoutlitterN2O)+('Mitigation drivers'!H143*PMwithlitterN2O+('Mitigation drivers'!H145*DigesterN2OEF)))/100,0)</f>
        <v>0</v>
      </c>
      <c r="N64" s="26">
        <f>IFERROR((('Mitigation drivers'!I135*LagoonN2O)+('Mitigation drivers'!I136*LiquidN2O)+('Mitigation drivers'!I137*DrylotN2O)+('Mitigation drivers'!I138*SolidStorageN2O)+('Mitigation drivers'!I139*DailyspreadN2O)+('Mitigation drivers'!I140*CompostN2O)+('Mitigation drivers'!I141*ManwithbedN2O)+('Mitigation drivers'!I142*PMwithoutlitterN2O)+('Mitigation drivers'!I143*PMwithlitterN2O+('Mitigation drivers'!I145*DigesterN2OEF)))/100,0)</f>
        <v>0</v>
      </c>
      <c r="O64" s="26">
        <f>IFERROR((('Mitigation drivers'!J135*LagoonN2O)+('Mitigation drivers'!J136*LiquidN2O)+('Mitigation drivers'!J137*DrylotN2O)+('Mitigation drivers'!J138*SolidStorageN2O)+('Mitigation drivers'!J139*DailyspreadN2O)+('Mitigation drivers'!J140*CompostN2O)+('Mitigation drivers'!J141*ManwithbedN2O)+('Mitigation drivers'!J142*PMwithoutlitterN2O)+('Mitigation drivers'!J143*PMwithlitterN2O+('Mitigation drivers'!J145*DigesterN2OEF)))/100,0)</f>
        <v>0</v>
      </c>
      <c r="P64" s="26">
        <f>IFERROR((('Mitigation drivers'!K135*LagoonN2O)+('Mitigation drivers'!K136*LiquidN2O)+('Mitigation drivers'!K137*DrylotN2O)+('Mitigation drivers'!K138*SolidStorageN2O)+('Mitigation drivers'!K139*DailyspreadN2O)+('Mitigation drivers'!K140*CompostN2O)+('Mitigation drivers'!K141*ManwithbedN2O)+('Mitigation drivers'!K142*PMwithoutlitterN2O)+('Mitigation drivers'!K143*PMwithlitterN2O+('Mitigation drivers'!K145*DigesterN2OEF)))/100,0)</f>
        <v>0</v>
      </c>
      <c r="Q64" s="26">
        <f>IFERROR((('Mitigation drivers'!L135*LagoonN2O)+('Mitigation drivers'!L136*LiquidN2O)+('Mitigation drivers'!L137*DrylotN2O)+('Mitigation drivers'!L138*SolidStorageN2O)+('Mitigation drivers'!L139*DailyspreadN2O)+('Mitigation drivers'!L140*CompostN2O)+('Mitigation drivers'!L141*ManwithbedN2O)+('Mitigation drivers'!L142*PMwithoutlitterN2O)+('Mitigation drivers'!L143*PMwithlitterN2O+('Mitigation drivers'!L145*DigesterN2OEF)))/100,0)</f>
        <v>0</v>
      </c>
      <c r="R64" s="26">
        <f>IFERROR((('Mitigation drivers'!M135*LagoonN2O)+('Mitigation drivers'!M136*LiquidN2O)+('Mitigation drivers'!M137*DrylotN2O)+('Mitigation drivers'!M138*SolidStorageN2O)+('Mitigation drivers'!M139*DailyspreadN2O)+('Mitigation drivers'!M140*CompostN2O)+('Mitigation drivers'!M141*ManwithbedN2O)+('Mitigation drivers'!M142*PMwithoutlitterN2O)+('Mitigation drivers'!M143*PMwithlitterN2O+('Mitigation drivers'!M145*DigesterN2OEF)))/100,0)</f>
        <v>0</v>
      </c>
      <c r="S64" s="26">
        <f>IFERROR((('Mitigation drivers'!N135*LagoonN2O)+('Mitigation drivers'!N136*LiquidN2O)+('Mitigation drivers'!N137*DrylotN2O)+('Mitigation drivers'!N138*SolidStorageN2O)+('Mitigation drivers'!N139*DailyspreadN2O)+('Mitigation drivers'!N140*CompostN2O)+('Mitigation drivers'!N141*ManwithbedN2O)+('Mitigation drivers'!N142*PMwithoutlitterN2O)+('Mitigation drivers'!N143*PMwithlitterN2O+('Mitigation drivers'!N145*DigesterN2OEF)))/100,0)</f>
        <v>0</v>
      </c>
      <c r="T64" s="26">
        <f>IFERROR((('Mitigation drivers'!O135*LagoonN2O)+('Mitigation drivers'!O136*LiquidN2O)+('Mitigation drivers'!O137*DrylotN2O)+('Mitigation drivers'!O138*SolidStorageN2O)+('Mitigation drivers'!O139*DailyspreadN2O)+('Mitigation drivers'!O140*CompostN2O)+('Mitigation drivers'!O141*ManwithbedN2O)+('Mitigation drivers'!O142*PMwithoutlitterN2O)+('Mitigation drivers'!O143*PMwithlitterN2O+('Mitigation drivers'!O145*DigesterN2OEF)))/100,0)</f>
        <v>0</v>
      </c>
      <c r="U64" s="26">
        <f>IFERROR((('Mitigation drivers'!P135*LagoonN2O)+('Mitigation drivers'!P136*LiquidN2O)+('Mitigation drivers'!P137*DrylotN2O)+('Mitigation drivers'!P138*SolidStorageN2O)+('Mitigation drivers'!P139*DailyspreadN2O)+('Mitigation drivers'!P140*CompostN2O)+('Mitigation drivers'!P141*ManwithbedN2O)+('Mitigation drivers'!P142*PMwithoutlitterN2O)+('Mitigation drivers'!P143*PMwithlitterN2O+('Mitigation drivers'!P145*DigesterN2OEF)))/100,0)</f>
        <v>0</v>
      </c>
      <c r="V64" s="26">
        <f>IFERROR((('Mitigation drivers'!Q135*LagoonN2O)+('Mitigation drivers'!Q136*LiquidN2O)+('Mitigation drivers'!Q137*DrylotN2O)+('Mitigation drivers'!Q138*SolidStorageN2O)+('Mitigation drivers'!Q139*DailyspreadN2O)+('Mitigation drivers'!Q140*CompostN2O)+('Mitigation drivers'!Q141*ManwithbedN2O)+('Mitigation drivers'!Q142*PMwithoutlitterN2O)+('Mitigation drivers'!Q143*PMwithlitterN2O+('Mitigation drivers'!Q145*DigesterN2OEF)))/100,0)</f>
        <v>0</v>
      </c>
      <c r="W64" s="26">
        <f>IFERROR((('Mitigation drivers'!R135*LagoonN2O)+('Mitigation drivers'!R136*LiquidN2O)+('Mitigation drivers'!R137*DrylotN2O)+('Mitigation drivers'!R138*SolidStorageN2O)+('Mitigation drivers'!R139*DailyspreadN2O)+('Mitigation drivers'!R140*CompostN2O)+('Mitigation drivers'!R141*ManwithbedN2O)+('Mitigation drivers'!R142*PMwithoutlitterN2O)+('Mitigation drivers'!R143*PMwithlitterN2O+('Mitigation drivers'!R145*DigesterN2OEF)))/100,0)</f>
        <v>0</v>
      </c>
      <c r="X64" s="26">
        <f>IFERROR((('Mitigation drivers'!S135*LagoonN2O)+('Mitigation drivers'!S136*LiquidN2O)+('Mitigation drivers'!S137*DrylotN2O)+('Mitigation drivers'!S138*SolidStorageN2O)+('Mitigation drivers'!S139*DailyspreadN2O)+('Mitigation drivers'!S140*CompostN2O)+('Mitigation drivers'!S141*ManwithbedN2O)+('Mitigation drivers'!S142*PMwithoutlitterN2O)+('Mitigation drivers'!S143*PMwithlitterN2O+('Mitigation drivers'!S145*DigesterN2OEF)))/100,0)</f>
        <v>0</v>
      </c>
      <c r="Y64" s="26">
        <f>IFERROR((('Mitigation drivers'!T135*LagoonN2O)+('Mitigation drivers'!T136*LiquidN2O)+('Mitigation drivers'!T137*DrylotN2O)+('Mitigation drivers'!T138*SolidStorageN2O)+('Mitigation drivers'!T139*DailyspreadN2O)+('Mitigation drivers'!T140*CompostN2O)+('Mitigation drivers'!T141*ManwithbedN2O)+('Mitigation drivers'!T142*PMwithoutlitterN2O)+('Mitigation drivers'!T143*PMwithlitterN2O+('Mitigation drivers'!T145*DigesterN2OEF)))/100,0)</f>
        <v>0</v>
      </c>
      <c r="Z64" s="26">
        <f>IFERROR((('Mitigation drivers'!U135*LagoonN2O)+('Mitigation drivers'!U136*LiquidN2O)+('Mitigation drivers'!U137*DrylotN2O)+('Mitigation drivers'!U138*SolidStorageN2O)+('Mitigation drivers'!U139*DailyspreadN2O)+('Mitigation drivers'!U140*CompostN2O)+('Mitigation drivers'!U141*ManwithbedN2O)+('Mitigation drivers'!U142*PMwithoutlitterN2O)+('Mitigation drivers'!U143*PMwithlitterN2O+('Mitigation drivers'!U145*DigesterN2OEF)))/100,0)</f>
        <v>0</v>
      </c>
      <c r="AA64" s="26">
        <f>IFERROR((('Mitigation drivers'!V135*LagoonN2O)+('Mitigation drivers'!V136*LiquidN2O)+('Mitigation drivers'!V137*DrylotN2O)+('Mitigation drivers'!V138*SolidStorageN2O)+('Mitigation drivers'!V139*DailyspreadN2O)+('Mitigation drivers'!V140*CompostN2O)+('Mitigation drivers'!V141*ManwithbedN2O)+('Mitigation drivers'!V142*PMwithoutlitterN2O)+('Mitigation drivers'!V143*PMwithlitterN2O+('Mitigation drivers'!V145*DigesterN2OEF)))/100,0)</f>
        <v>0</v>
      </c>
      <c r="AB64" s="26">
        <f>IFERROR((('Mitigation drivers'!W135*LagoonN2O)+('Mitigation drivers'!W136*LiquidN2O)+('Mitigation drivers'!W137*DrylotN2O)+('Mitigation drivers'!W138*SolidStorageN2O)+('Mitigation drivers'!W139*DailyspreadN2O)+('Mitigation drivers'!W140*CompostN2O)+('Mitigation drivers'!W141*ManwithbedN2O)+('Mitigation drivers'!W142*PMwithoutlitterN2O)+('Mitigation drivers'!W143*PMwithlitterN2O+('Mitigation drivers'!W145*DigesterN2OEF)))/100,0)</f>
        <v>0</v>
      </c>
      <c r="AC64" s="26">
        <f>IFERROR((('Mitigation drivers'!X135*LagoonN2O)+('Mitigation drivers'!X136*LiquidN2O)+('Mitigation drivers'!X137*DrylotN2O)+('Mitigation drivers'!X138*SolidStorageN2O)+('Mitigation drivers'!X139*DailyspreadN2O)+('Mitigation drivers'!X140*CompostN2O)+('Mitigation drivers'!X141*ManwithbedN2O)+('Mitigation drivers'!X142*PMwithoutlitterN2O)+('Mitigation drivers'!X143*PMwithlitterN2O+('Mitigation drivers'!X145*DigesterN2OEF)))/100,0)</f>
        <v>0</v>
      </c>
      <c r="AD64" s="26">
        <f>IFERROR((('Mitigation drivers'!Y135*LagoonN2O)+('Mitigation drivers'!Y136*LiquidN2O)+('Mitigation drivers'!Y137*DrylotN2O)+('Mitigation drivers'!Y138*SolidStorageN2O)+('Mitigation drivers'!Y139*DailyspreadN2O)+('Mitigation drivers'!Y140*CompostN2O)+('Mitigation drivers'!Y141*ManwithbedN2O)+('Mitigation drivers'!Y142*PMwithoutlitterN2O)+('Mitigation drivers'!Y143*PMwithlitterN2O+('Mitigation drivers'!Y145*DigesterN2OEF)))/100,0)</f>
        <v>0</v>
      </c>
      <c r="AE64" s="26">
        <f>IFERROR((('Mitigation drivers'!Z135*LagoonN2O)+('Mitigation drivers'!Z136*LiquidN2O)+('Mitigation drivers'!Z137*DrylotN2O)+('Mitigation drivers'!Z138*SolidStorageN2O)+('Mitigation drivers'!Z139*DailyspreadN2O)+('Mitigation drivers'!Z140*CompostN2O)+('Mitigation drivers'!Z141*ManwithbedN2O)+('Mitigation drivers'!Z142*PMwithoutlitterN2O)+('Mitigation drivers'!Z143*PMwithlitterN2O+('Mitigation drivers'!Z145*DigesterN2OEF)))/100,0)</f>
        <v>0</v>
      </c>
      <c r="AF64" s="26">
        <f>IFERROR((('Mitigation drivers'!AA135*LagoonN2O)+('Mitigation drivers'!AA136*LiquidN2O)+('Mitigation drivers'!AA137*DrylotN2O)+('Mitigation drivers'!AA138*SolidStorageN2O)+('Mitigation drivers'!AA139*DailyspreadN2O)+('Mitigation drivers'!AA140*CompostN2O)+('Mitigation drivers'!AA141*ManwithbedN2O)+('Mitigation drivers'!AA142*PMwithoutlitterN2O)+('Mitigation drivers'!AA143*PMwithlitterN2O+('Mitigation drivers'!AA145*DigesterN2OEF)))/100,0)</f>
        <v>0</v>
      </c>
      <c r="AG64" s="26">
        <f>IFERROR((('Mitigation drivers'!AB135*LagoonN2O)+('Mitigation drivers'!AB136*LiquidN2O)+('Mitigation drivers'!AB137*DrylotN2O)+('Mitigation drivers'!AB138*SolidStorageN2O)+('Mitigation drivers'!AB139*DailyspreadN2O)+('Mitigation drivers'!AB140*CompostN2O)+('Mitigation drivers'!AB141*ManwithbedN2O)+('Mitigation drivers'!AB142*PMwithoutlitterN2O)+('Mitigation drivers'!AB143*PMwithlitterN2O+('Mitigation drivers'!AB145*DigesterN2OEF)))/100,0)</f>
        <v>0</v>
      </c>
      <c r="AH64" s="26">
        <f>IFERROR((('Mitigation drivers'!AC135*LagoonN2O)+('Mitigation drivers'!AC136*LiquidN2O)+('Mitigation drivers'!AC137*DrylotN2O)+('Mitigation drivers'!AC138*SolidStorageN2O)+('Mitigation drivers'!AC139*DailyspreadN2O)+('Mitigation drivers'!AC140*CompostN2O)+('Mitigation drivers'!AC141*ManwithbedN2O)+('Mitigation drivers'!AC142*PMwithoutlitterN2O)+('Mitigation drivers'!AC143*PMwithlitterN2O+('Mitigation drivers'!AC145*DigesterN2OEF)))/100,0)</f>
        <v>0</v>
      </c>
      <c r="AI64" s="26">
        <f>IFERROR((('Mitigation drivers'!AD135*LagoonN2O)+('Mitigation drivers'!AD136*LiquidN2O)+('Mitigation drivers'!AD137*DrylotN2O)+('Mitigation drivers'!AD138*SolidStorageN2O)+('Mitigation drivers'!AD139*DailyspreadN2O)+('Mitigation drivers'!AD140*CompostN2O)+('Mitigation drivers'!AD141*ManwithbedN2O)+('Mitigation drivers'!AD142*PMwithoutlitterN2O)+('Mitigation drivers'!AD143*PMwithlitterN2O+('Mitigation drivers'!AD145*DigesterN2OEF)))/100,0)</f>
        <v>0</v>
      </c>
      <c r="AJ64" s="26">
        <f>IFERROR((('Mitigation drivers'!AE135*LagoonN2O)+('Mitigation drivers'!AE136*LiquidN2O)+('Mitigation drivers'!AE137*DrylotN2O)+('Mitigation drivers'!AE138*SolidStorageN2O)+('Mitigation drivers'!AE139*DailyspreadN2O)+('Mitigation drivers'!AE140*CompostN2O)+('Mitigation drivers'!AE141*ManwithbedN2O)+('Mitigation drivers'!AE142*PMwithoutlitterN2O)+('Mitigation drivers'!AE143*PMwithlitterN2O+('Mitigation drivers'!AE145*DigesterN2OEF)))/100,0)</f>
        <v>0</v>
      </c>
      <c r="AK64" s="26">
        <f>IFERROR((('Mitigation drivers'!AF135*LagoonN2O)+('Mitigation drivers'!AF136*LiquidN2O)+('Mitigation drivers'!AF137*DrylotN2O)+('Mitigation drivers'!AF138*SolidStorageN2O)+('Mitigation drivers'!AF139*DailyspreadN2O)+('Mitigation drivers'!AF140*CompostN2O)+('Mitigation drivers'!AF141*ManwithbedN2O)+('Mitigation drivers'!AF142*PMwithoutlitterN2O)+('Mitigation drivers'!AF143*PMwithlitterN2O+('Mitigation drivers'!AF145*DigesterN2OEF)))/100,0)</f>
        <v>0</v>
      </c>
      <c r="AL64" s="26">
        <f>IFERROR((('Mitigation drivers'!AG135*LagoonN2O)+('Mitigation drivers'!AG136*LiquidN2O)+('Mitigation drivers'!AG137*DrylotN2O)+('Mitigation drivers'!AG138*SolidStorageN2O)+('Mitigation drivers'!AG139*DailyspreadN2O)+('Mitigation drivers'!AG140*CompostN2O)+('Mitigation drivers'!AG141*ManwithbedN2O)+('Mitigation drivers'!AG142*PMwithoutlitterN2O)+('Mitigation drivers'!AG143*PMwithlitterN2O+('Mitigation drivers'!AG145*DigesterN2OEF)))/100,0)</f>
        <v>0</v>
      </c>
      <c r="AM64" s="26">
        <f>IFERROR((('Mitigation drivers'!AH135*LagoonN2O)+('Mitigation drivers'!AH136*LiquidN2O)+('Mitigation drivers'!AH137*DrylotN2O)+('Mitigation drivers'!AH138*SolidStorageN2O)+('Mitigation drivers'!AH139*DailyspreadN2O)+('Mitigation drivers'!AH140*CompostN2O)+('Mitigation drivers'!AH141*ManwithbedN2O)+('Mitigation drivers'!AH142*PMwithoutlitterN2O)+('Mitigation drivers'!AH143*PMwithlitterN2O+('Mitigation drivers'!AH145*DigesterN2OEF)))/100,0)</f>
        <v>0</v>
      </c>
      <c r="AN64" s="26">
        <f>IFERROR((('Mitigation drivers'!AI135*LagoonN2O)+('Mitigation drivers'!AI136*LiquidN2O)+('Mitigation drivers'!AI137*DrylotN2O)+('Mitigation drivers'!AI138*SolidStorageN2O)+('Mitigation drivers'!AI139*DailyspreadN2O)+('Mitigation drivers'!AI140*CompostN2O)+('Mitigation drivers'!AI141*ManwithbedN2O)+('Mitigation drivers'!AI142*PMwithoutlitterN2O)+('Mitigation drivers'!AI143*PMwithlitterN2O+('Mitigation drivers'!AI145*DigesterN2OEF)))/100,0)</f>
        <v>0</v>
      </c>
      <c r="AO64" s="26">
        <f>IFERROR((('Mitigation drivers'!AJ135*LagoonN2O)+('Mitigation drivers'!AJ136*LiquidN2O)+('Mitigation drivers'!AJ137*DrylotN2O)+('Mitigation drivers'!AJ138*SolidStorageN2O)+('Mitigation drivers'!AJ139*DailyspreadN2O)+('Mitigation drivers'!AJ140*CompostN2O)+('Mitigation drivers'!AJ141*ManwithbedN2O)+('Mitigation drivers'!AJ142*PMwithoutlitterN2O)+('Mitigation drivers'!AJ143*PMwithlitterN2O+('Mitigation drivers'!AJ145*DigesterN2OEF)))/100,0)</f>
        <v>0</v>
      </c>
    </row>
    <row r="65" spans="1:41" x14ac:dyDescent="0.25">
      <c r="A65" t="str">
        <f t="shared" si="1"/>
        <v>3A Livestock</v>
      </c>
      <c r="B65" t="str">
        <f t="shared" si="8"/>
        <v>3A2 Manure management (N2O)</v>
      </c>
      <c r="C65" t="str">
        <f>'Activity data'!C16</f>
        <v>3A1g Mules &amp; asses</v>
      </c>
      <c r="D65" t="str">
        <f>'Activity data'!D16</f>
        <v>Mules &amp; Asses</v>
      </c>
      <c r="E65" t="str">
        <f t="shared" si="27"/>
        <v>Manure management EF</v>
      </c>
      <c r="F65" t="str">
        <f t="shared" si="28"/>
        <v>N2O</v>
      </c>
      <c r="G65" t="str">
        <f t="shared" si="29"/>
        <v>kg N2O-N/kg Nex</v>
      </c>
      <c r="H65" s="26">
        <f>IFERROR((('Mitigation drivers'!C147*LagoonN2O)+('Mitigation drivers'!C148*LiquidN2O)+('Mitigation drivers'!C149*DrylotN2O)+('Mitigation drivers'!C150*SolidStorageN2O)+('Mitigation drivers'!C151*DailyspreadN2O)+('Mitigation drivers'!C152*CompostN2O)+('Mitigation drivers'!C153*ManwithbedN2O)+('Mitigation drivers'!C154*PMwithoutlitterN2O)+('Mitigation drivers'!C155*PMwithlitterN2O)+('Mitigation drivers'!C157*DigesterN2OEF))/100,0)</f>
        <v>0</v>
      </c>
      <c r="I65" s="26">
        <f>IFERROR((('Mitigation drivers'!D147*LagoonN2O)+('Mitigation drivers'!D148*LiquidN2O)+('Mitigation drivers'!D149*DrylotN2O)+('Mitigation drivers'!D150*SolidStorageN2O)+('Mitigation drivers'!D151*DailyspreadN2O)+('Mitigation drivers'!D152*CompostN2O)+('Mitigation drivers'!D153*ManwithbedN2O)+('Mitigation drivers'!D154*PMwithoutlitterN2O)+('Mitigation drivers'!D155*PMwithlitterN2O)+('Mitigation drivers'!D157*DigesterN2OEF))/100,0)</f>
        <v>0</v>
      </c>
      <c r="J65" s="26">
        <f>IFERROR((('Mitigation drivers'!E147*LagoonN2O)+('Mitigation drivers'!E148*LiquidN2O)+('Mitigation drivers'!E149*DrylotN2O)+('Mitigation drivers'!E150*SolidStorageN2O)+('Mitigation drivers'!E151*DailyspreadN2O)+('Mitigation drivers'!E152*CompostN2O)+('Mitigation drivers'!E153*ManwithbedN2O)+('Mitigation drivers'!E154*PMwithoutlitterN2O)+('Mitigation drivers'!E155*PMwithlitterN2O)+('Mitigation drivers'!E157*DigesterN2OEF))/100,0)</f>
        <v>0</v>
      </c>
      <c r="K65" s="26">
        <f>IFERROR((('Mitigation drivers'!F147*LagoonN2O)+('Mitigation drivers'!F148*LiquidN2O)+('Mitigation drivers'!F149*DrylotN2O)+('Mitigation drivers'!F150*SolidStorageN2O)+('Mitigation drivers'!F151*DailyspreadN2O)+('Mitigation drivers'!F152*CompostN2O)+('Mitigation drivers'!F153*ManwithbedN2O)+('Mitigation drivers'!F154*PMwithoutlitterN2O)+('Mitigation drivers'!F155*PMwithlitterN2O)+('Mitigation drivers'!F157*DigesterN2OEF))/100,0)</f>
        <v>0</v>
      </c>
      <c r="L65" s="26">
        <f>IFERROR((('Mitigation drivers'!G147*LagoonN2O)+('Mitigation drivers'!G148*LiquidN2O)+('Mitigation drivers'!G149*DrylotN2O)+('Mitigation drivers'!G150*SolidStorageN2O)+('Mitigation drivers'!G151*DailyspreadN2O)+('Mitigation drivers'!G152*CompostN2O)+('Mitigation drivers'!G153*ManwithbedN2O)+('Mitigation drivers'!G154*PMwithoutlitterN2O)+('Mitigation drivers'!G155*PMwithlitterN2O)+('Mitigation drivers'!G157*DigesterN2OEF))/100,0)</f>
        <v>0</v>
      </c>
      <c r="M65" s="26">
        <f>IFERROR((('Mitigation drivers'!H147*LagoonN2O)+('Mitigation drivers'!H148*LiquidN2O)+('Mitigation drivers'!H149*DrylotN2O)+('Mitigation drivers'!H150*SolidStorageN2O)+('Mitigation drivers'!H151*DailyspreadN2O)+('Mitigation drivers'!H152*CompostN2O)+('Mitigation drivers'!H153*ManwithbedN2O)+('Mitigation drivers'!H154*PMwithoutlitterN2O)+('Mitigation drivers'!H155*PMwithlitterN2O)+('Mitigation drivers'!H157*DigesterN2OEF))/100,0)</f>
        <v>0</v>
      </c>
      <c r="N65" s="26">
        <f>IFERROR((('Mitigation drivers'!I147*LagoonN2O)+('Mitigation drivers'!I148*LiquidN2O)+('Mitigation drivers'!I149*DrylotN2O)+('Mitigation drivers'!I150*SolidStorageN2O)+('Mitigation drivers'!I151*DailyspreadN2O)+('Mitigation drivers'!I152*CompostN2O)+('Mitigation drivers'!I153*ManwithbedN2O)+('Mitigation drivers'!I154*PMwithoutlitterN2O)+('Mitigation drivers'!I155*PMwithlitterN2O)+('Mitigation drivers'!I157*DigesterN2OEF))/100,0)</f>
        <v>0</v>
      </c>
      <c r="O65" s="26">
        <f>IFERROR((('Mitigation drivers'!J147*LagoonN2O)+('Mitigation drivers'!J148*LiquidN2O)+('Mitigation drivers'!J149*DrylotN2O)+('Mitigation drivers'!J150*SolidStorageN2O)+('Mitigation drivers'!J151*DailyspreadN2O)+('Mitigation drivers'!J152*CompostN2O)+('Mitigation drivers'!J153*ManwithbedN2O)+('Mitigation drivers'!J154*PMwithoutlitterN2O)+('Mitigation drivers'!J155*PMwithlitterN2O)+('Mitigation drivers'!J157*DigesterN2OEF))/100,0)</f>
        <v>0</v>
      </c>
      <c r="P65" s="26">
        <f>IFERROR((('Mitigation drivers'!K147*LagoonN2O)+('Mitigation drivers'!K148*LiquidN2O)+('Mitigation drivers'!K149*DrylotN2O)+('Mitigation drivers'!K150*SolidStorageN2O)+('Mitigation drivers'!K151*DailyspreadN2O)+('Mitigation drivers'!K152*CompostN2O)+('Mitigation drivers'!K153*ManwithbedN2O)+('Mitigation drivers'!K154*PMwithoutlitterN2O)+('Mitigation drivers'!K155*PMwithlitterN2O)+('Mitigation drivers'!K157*DigesterN2OEF))/100,0)</f>
        <v>0</v>
      </c>
      <c r="Q65" s="26">
        <f>IFERROR((('Mitigation drivers'!L147*LagoonN2O)+('Mitigation drivers'!L148*LiquidN2O)+('Mitigation drivers'!L149*DrylotN2O)+('Mitigation drivers'!L150*SolidStorageN2O)+('Mitigation drivers'!L151*DailyspreadN2O)+('Mitigation drivers'!L152*CompostN2O)+('Mitigation drivers'!L153*ManwithbedN2O)+('Mitigation drivers'!L154*PMwithoutlitterN2O)+('Mitigation drivers'!L155*PMwithlitterN2O)+('Mitigation drivers'!L157*DigesterN2OEF))/100,0)</f>
        <v>0</v>
      </c>
      <c r="R65" s="26">
        <f>IFERROR((('Mitigation drivers'!M147*LagoonN2O)+('Mitigation drivers'!M148*LiquidN2O)+('Mitigation drivers'!M149*DrylotN2O)+('Mitigation drivers'!M150*SolidStorageN2O)+('Mitigation drivers'!M151*DailyspreadN2O)+('Mitigation drivers'!M152*CompostN2O)+('Mitigation drivers'!M153*ManwithbedN2O)+('Mitigation drivers'!M154*PMwithoutlitterN2O)+('Mitigation drivers'!M155*PMwithlitterN2O)+('Mitigation drivers'!M157*DigesterN2OEF))/100,0)</f>
        <v>0</v>
      </c>
      <c r="S65" s="26">
        <f>IFERROR((('Mitigation drivers'!N147*LagoonN2O)+('Mitigation drivers'!N148*LiquidN2O)+('Mitigation drivers'!N149*DrylotN2O)+('Mitigation drivers'!N150*SolidStorageN2O)+('Mitigation drivers'!N151*DailyspreadN2O)+('Mitigation drivers'!N152*CompostN2O)+('Mitigation drivers'!N153*ManwithbedN2O)+('Mitigation drivers'!N154*PMwithoutlitterN2O)+('Mitigation drivers'!N155*PMwithlitterN2O)+('Mitigation drivers'!N157*DigesterN2OEF))/100,0)</f>
        <v>0</v>
      </c>
      <c r="T65" s="26">
        <f>IFERROR((('Mitigation drivers'!O147*LagoonN2O)+('Mitigation drivers'!O148*LiquidN2O)+('Mitigation drivers'!O149*DrylotN2O)+('Mitigation drivers'!O150*SolidStorageN2O)+('Mitigation drivers'!O151*DailyspreadN2O)+('Mitigation drivers'!O152*CompostN2O)+('Mitigation drivers'!O153*ManwithbedN2O)+('Mitigation drivers'!O154*PMwithoutlitterN2O)+('Mitigation drivers'!O155*PMwithlitterN2O)+('Mitigation drivers'!O157*DigesterN2OEF))/100,0)</f>
        <v>0</v>
      </c>
      <c r="U65" s="26">
        <f>IFERROR((('Mitigation drivers'!P147*LagoonN2O)+('Mitigation drivers'!P148*LiquidN2O)+('Mitigation drivers'!P149*DrylotN2O)+('Mitigation drivers'!P150*SolidStorageN2O)+('Mitigation drivers'!P151*DailyspreadN2O)+('Mitigation drivers'!P152*CompostN2O)+('Mitigation drivers'!P153*ManwithbedN2O)+('Mitigation drivers'!P154*PMwithoutlitterN2O)+('Mitigation drivers'!P155*PMwithlitterN2O)+('Mitigation drivers'!P157*DigesterN2OEF))/100,0)</f>
        <v>0</v>
      </c>
      <c r="V65" s="26">
        <f>IFERROR((('Mitigation drivers'!Q147*LagoonN2O)+('Mitigation drivers'!Q148*LiquidN2O)+('Mitigation drivers'!Q149*DrylotN2O)+('Mitigation drivers'!Q150*SolidStorageN2O)+('Mitigation drivers'!Q151*DailyspreadN2O)+('Mitigation drivers'!Q152*CompostN2O)+('Mitigation drivers'!Q153*ManwithbedN2O)+('Mitigation drivers'!Q154*PMwithoutlitterN2O)+('Mitigation drivers'!Q155*PMwithlitterN2O)+('Mitigation drivers'!Q157*DigesterN2OEF))/100,0)</f>
        <v>0</v>
      </c>
      <c r="W65" s="26">
        <f>IFERROR((('Mitigation drivers'!R147*LagoonN2O)+('Mitigation drivers'!R148*LiquidN2O)+('Mitigation drivers'!R149*DrylotN2O)+('Mitigation drivers'!R150*SolidStorageN2O)+('Mitigation drivers'!R151*DailyspreadN2O)+('Mitigation drivers'!R152*CompostN2O)+('Mitigation drivers'!R153*ManwithbedN2O)+('Mitigation drivers'!R154*PMwithoutlitterN2O)+('Mitigation drivers'!R155*PMwithlitterN2O)+('Mitigation drivers'!R157*DigesterN2OEF))/100,0)</f>
        <v>0</v>
      </c>
      <c r="X65" s="26">
        <f>IFERROR((('Mitigation drivers'!S147*LagoonN2O)+('Mitigation drivers'!S148*LiquidN2O)+('Mitigation drivers'!S149*DrylotN2O)+('Mitigation drivers'!S150*SolidStorageN2O)+('Mitigation drivers'!S151*DailyspreadN2O)+('Mitigation drivers'!S152*CompostN2O)+('Mitigation drivers'!S153*ManwithbedN2O)+('Mitigation drivers'!S154*PMwithoutlitterN2O)+('Mitigation drivers'!S155*PMwithlitterN2O)+('Mitigation drivers'!S157*DigesterN2OEF))/100,0)</f>
        <v>0</v>
      </c>
      <c r="Y65" s="26">
        <f>IFERROR((('Mitigation drivers'!T147*LagoonN2O)+('Mitigation drivers'!T148*LiquidN2O)+('Mitigation drivers'!T149*DrylotN2O)+('Mitigation drivers'!T150*SolidStorageN2O)+('Mitigation drivers'!T151*DailyspreadN2O)+('Mitigation drivers'!T152*CompostN2O)+('Mitigation drivers'!T153*ManwithbedN2O)+('Mitigation drivers'!T154*PMwithoutlitterN2O)+('Mitigation drivers'!T155*PMwithlitterN2O)+('Mitigation drivers'!T157*DigesterN2OEF))/100,0)</f>
        <v>0</v>
      </c>
      <c r="Z65" s="26">
        <f>IFERROR((('Mitigation drivers'!U147*LagoonN2O)+('Mitigation drivers'!U148*LiquidN2O)+('Mitigation drivers'!U149*DrylotN2O)+('Mitigation drivers'!U150*SolidStorageN2O)+('Mitigation drivers'!U151*DailyspreadN2O)+('Mitigation drivers'!U152*CompostN2O)+('Mitigation drivers'!U153*ManwithbedN2O)+('Mitigation drivers'!U154*PMwithoutlitterN2O)+('Mitigation drivers'!U155*PMwithlitterN2O)+('Mitigation drivers'!U157*DigesterN2OEF))/100,0)</f>
        <v>0</v>
      </c>
      <c r="AA65" s="26">
        <f>IFERROR((('Mitigation drivers'!V147*LagoonN2O)+('Mitigation drivers'!V148*LiquidN2O)+('Mitigation drivers'!V149*DrylotN2O)+('Mitigation drivers'!V150*SolidStorageN2O)+('Mitigation drivers'!V151*DailyspreadN2O)+('Mitigation drivers'!V152*CompostN2O)+('Mitigation drivers'!V153*ManwithbedN2O)+('Mitigation drivers'!V154*PMwithoutlitterN2O)+('Mitigation drivers'!V155*PMwithlitterN2O)+('Mitigation drivers'!V157*DigesterN2OEF))/100,0)</f>
        <v>0</v>
      </c>
      <c r="AB65" s="26">
        <f>IFERROR((('Mitigation drivers'!W147*LagoonN2O)+('Mitigation drivers'!W148*LiquidN2O)+('Mitigation drivers'!W149*DrylotN2O)+('Mitigation drivers'!W150*SolidStorageN2O)+('Mitigation drivers'!W151*DailyspreadN2O)+('Mitigation drivers'!W152*CompostN2O)+('Mitigation drivers'!W153*ManwithbedN2O)+('Mitigation drivers'!W154*PMwithoutlitterN2O)+('Mitigation drivers'!W155*PMwithlitterN2O)+('Mitigation drivers'!W157*DigesterN2OEF))/100,0)</f>
        <v>0</v>
      </c>
      <c r="AC65" s="26">
        <f>IFERROR((('Mitigation drivers'!X147*LagoonN2O)+('Mitigation drivers'!X148*LiquidN2O)+('Mitigation drivers'!X149*DrylotN2O)+('Mitigation drivers'!X150*SolidStorageN2O)+('Mitigation drivers'!X151*DailyspreadN2O)+('Mitigation drivers'!X152*CompostN2O)+('Mitigation drivers'!X153*ManwithbedN2O)+('Mitigation drivers'!X154*PMwithoutlitterN2O)+('Mitigation drivers'!X155*PMwithlitterN2O)+('Mitigation drivers'!X157*DigesterN2OEF))/100,0)</f>
        <v>0</v>
      </c>
      <c r="AD65" s="26">
        <f>IFERROR((('Mitigation drivers'!Y147*LagoonN2O)+('Mitigation drivers'!Y148*LiquidN2O)+('Mitigation drivers'!Y149*DrylotN2O)+('Mitigation drivers'!Y150*SolidStorageN2O)+('Mitigation drivers'!Y151*DailyspreadN2O)+('Mitigation drivers'!Y152*CompostN2O)+('Mitigation drivers'!Y153*ManwithbedN2O)+('Mitigation drivers'!Y154*PMwithoutlitterN2O)+('Mitigation drivers'!Y155*PMwithlitterN2O)+('Mitigation drivers'!Y157*DigesterN2OEF))/100,0)</f>
        <v>0</v>
      </c>
      <c r="AE65" s="26">
        <f>IFERROR((('Mitigation drivers'!Z147*LagoonN2O)+('Mitigation drivers'!Z148*LiquidN2O)+('Mitigation drivers'!Z149*DrylotN2O)+('Mitigation drivers'!Z150*SolidStorageN2O)+('Mitigation drivers'!Z151*DailyspreadN2O)+('Mitigation drivers'!Z152*CompostN2O)+('Mitigation drivers'!Z153*ManwithbedN2O)+('Mitigation drivers'!Z154*PMwithoutlitterN2O)+('Mitigation drivers'!Z155*PMwithlitterN2O)+('Mitigation drivers'!Z157*DigesterN2OEF))/100,0)</f>
        <v>0</v>
      </c>
      <c r="AF65" s="26">
        <f>IFERROR((('Mitigation drivers'!AA147*LagoonN2O)+('Mitigation drivers'!AA148*LiquidN2O)+('Mitigation drivers'!AA149*DrylotN2O)+('Mitigation drivers'!AA150*SolidStorageN2O)+('Mitigation drivers'!AA151*DailyspreadN2O)+('Mitigation drivers'!AA152*CompostN2O)+('Mitigation drivers'!AA153*ManwithbedN2O)+('Mitigation drivers'!AA154*PMwithoutlitterN2O)+('Mitigation drivers'!AA155*PMwithlitterN2O)+('Mitigation drivers'!AA157*DigesterN2OEF))/100,0)</f>
        <v>0</v>
      </c>
      <c r="AG65" s="26">
        <f>IFERROR((('Mitigation drivers'!AB147*LagoonN2O)+('Mitigation drivers'!AB148*LiquidN2O)+('Mitigation drivers'!AB149*DrylotN2O)+('Mitigation drivers'!AB150*SolidStorageN2O)+('Mitigation drivers'!AB151*DailyspreadN2O)+('Mitigation drivers'!AB152*CompostN2O)+('Mitigation drivers'!AB153*ManwithbedN2O)+('Mitigation drivers'!AB154*PMwithoutlitterN2O)+('Mitigation drivers'!AB155*PMwithlitterN2O)+('Mitigation drivers'!AB157*DigesterN2OEF))/100,0)</f>
        <v>0</v>
      </c>
      <c r="AH65" s="26">
        <f>IFERROR((('Mitigation drivers'!AC147*LagoonN2O)+('Mitigation drivers'!AC148*LiquidN2O)+('Mitigation drivers'!AC149*DrylotN2O)+('Mitigation drivers'!AC150*SolidStorageN2O)+('Mitigation drivers'!AC151*DailyspreadN2O)+('Mitigation drivers'!AC152*CompostN2O)+('Mitigation drivers'!AC153*ManwithbedN2O)+('Mitigation drivers'!AC154*PMwithoutlitterN2O)+('Mitigation drivers'!AC155*PMwithlitterN2O)+('Mitigation drivers'!AC157*DigesterN2OEF))/100,0)</f>
        <v>0</v>
      </c>
      <c r="AI65" s="26">
        <f>IFERROR((('Mitigation drivers'!AD147*LagoonN2O)+('Mitigation drivers'!AD148*LiquidN2O)+('Mitigation drivers'!AD149*DrylotN2O)+('Mitigation drivers'!AD150*SolidStorageN2O)+('Mitigation drivers'!AD151*DailyspreadN2O)+('Mitigation drivers'!AD152*CompostN2O)+('Mitigation drivers'!AD153*ManwithbedN2O)+('Mitigation drivers'!AD154*PMwithoutlitterN2O)+('Mitigation drivers'!AD155*PMwithlitterN2O)+('Mitigation drivers'!AD157*DigesterN2OEF))/100,0)</f>
        <v>0</v>
      </c>
      <c r="AJ65" s="26">
        <f>IFERROR((('Mitigation drivers'!AE147*LagoonN2O)+('Mitigation drivers'!AE148*LiquidN2O)+('Mitigation drivers'!AE149*DrylotN2O)+('Mitigation drivers'!AE150*SolidStorageN2O)+('Mitigation drivers'!AE151*DailyspreadN2O)+('Mitigation drivers'!AE152*CompostN2O)+('Mitigation drivers'!AE153*ManwithbedN2O)+('Mitigation drivers'!AE154*PMwithoutlitterN2O)+('Mitigation drivers'!AE155*PMwithlitterN2O)+('Mitigation drivers'!AE157*DigesterN2OEF))/100,0)</f>
        <v>0</v>
      </c>
      <c r="AK65" s="26">
        <f>IFERROR((('Mitigation drivers'!AF147*LagoonN2O)+('Mitigation drivers'!AF148*LiquidN2O)+('Mitigation drivers'!AF149*DrylotN2O)+('Mitigation drivers'!AF150*SolidStorageN2O)+('Mitigation drivers'!AF151*DailyspreadN2O)+('Mitigation drivers'!AF152*CompostN2O)+('Mitigation drivers'!AF153*ManwithbedN2O)+('Mitigation drivers'!AF154*PMwithoutlitterN2O)+('Mitigation drivers'!AF155*PMwithlitterN2O)+('Mitigation drivers'!AF157*DigesterN2OEF))/100,0)</f>
        <v>0</v>
      </c>
      <c r="AL65" s="26">
        <f>IFERROR((('Mitigation drivers'!AG147*LagoonN2O)+('Mitigation drivers'!AG148*LiquidN2O)+('Mitigation drivers'!AG149*DrylotN2O)+('Mitigation drivers'!AG150*SolidStorageN2O)+('Mitigation drivers'!AG151*DailyspreadN2O)+('Mitigation drivers'!AG152*CompostN2O)+('Mitigation drivers'!AG153*ManwithbedN2O)+('Mitigation drivers'!AG154*PMwithoutlitterN2O)+('Mitigation drivers'!AG155*PMwithlitterN2O)+('Mitigation drivers'!AG157*DigesterN2OEF))/100,0)</f>
        <v>0</v>
      </c>
      <c r="AM65" s="26">
        <f>IFERROR((('Mitigation drivers'!AH147*LagoonN2O)+('Mitigation drivers'!AH148*LiquidN2O)+('Mitigation drivers'!AH149*DrylotN2O)+('Mitigation drivers'!AH150*SolidStorageN2O)+('Mitigation drivers'!AH151*DailyspreadN2O)+('Mitigation drivers'!AH152*CompostN2O)+('Mitigation drivers'!AH153*ManwithbedN2O)+('Mitigation drivers'!AH154*PMwithoutlitterN2O)+('Mitigation drivers'!AH155*PMwithlitterN2O)+('Mitigation drivers'!AH157*DigesterN2OEF))/100,0)</f>
        <v>0</v>
      </c>
      <c r="AN65" s="26">
        <f>IFERROR((('Mitigation drivers'!AI147*LagoonN2O)+('Mitigation drivers'!AI148*LiquidN2O)+('Mitigation drivers'!AI149*DrylotN2O)+('Mitigation drivers'!AI150*SolidStorageN2O)+('Mitigation drivers'!AI151*DailyspreadN2O)+('Mitigation drivers'!AI152*CompostN2O)+('Mitigation drivers'!AI153*ManwithbedN2O)+('Mitigation drivers'!AI154*PMwithoutlitterN2O)+('Mitigation drivers'!AI155*PMwithlitterN2O)+('Mitigation drivers'!AI157*DigesterN2OEF))/100,0)</f>
        <v>0</v>
      </c>
      <c r="AO65" s="26">
        <f>IFERROR((('Mitigation drivers'!AJ147*LagoonN2O)+('Mitigation drivers'!AJ148*LiquidN2O)+('Mitigation drivers'!AJ149*DrylotN2O)+('Mitigation drivers'!AJ150*SolidStorageN2O)+('Mitigation drivers'!AJ151*DailyspreadN2O)+('Mitigation drivers'!AJ152*CompostN2O)+('Mitigation drivers'!AJ153*ManwithbedN2O)+('Mitigation drivers'!AJ154*PMwithoutlitterN2O)+('Mitigation drivers'!AJ155*PMwithlitterN2O)+('Mitigation drivers'!AJ157*DigesterN2OEF))/100,0)</f>
        <v>0</v>
      </c>
    </row>
    <row r="66" spans="1:41" x14ac:dyDescent="0.25">
      <c r="A66" t="str">
        <f t="shared" si="1"/>
        <v>3A Livestock</v>
      </c>
      <c r="B66" t="str">
        <f t="shared" si="8"/>
        <v>3A2 Manure management (N2O)</v>
      </c>
      <c r="C66" t="str">
        <f>'Activity data'!C17</f>
        <v>3A1h Swine</v>
      </c>
      <c r="D66" t="str">
        <f>'Activity data'!D17</f>
        <v>Commercial</v>
      </c>
      <c r="E66" t="str">
        <f t="shared" si="27"/>
        <v>Manure management EF</v>
      </c>
      <c r="F66" t="str">
        <f t="shared" si="28"/>
        <v>N2O</v>
      </c>
      <c r="G66" t="str">
        <f t="shared" si="29"/>
        <v>kg N2O-N/kg Nex</v>
      </c>
      <c r="H66" s="26">
        <f>(('Mitigation drivers'!C160*LagoonN2O)+('Mitigation drivers'!C161*LiquidN2O)+('Mitigation drivers'!C162*DrylotN2O)+('Mitigation drivers'!C163*SolidStorageN2O)+('Mitigation drivers'!C164*DailyspreadN2O)+('Mitigation drivers'!C165*CompostN2O)+('Mitigation drivers'!C166*ManwithbedN2O)+('Mitigation drivers'!C167*PMwithoutlitterN2O)+('Mitigation drivers'!C168*PMwithlitterN2O)+('Mitigation drivers'!C170*DigesterN2OEF))/100</f>
        <v>2.7200000000000002E-3</v>
      </c>
      <c r="I66" s="26">
        <f>(('Mitigation drivers'!D160*LagoonN2O)+('Mitigation drivers'!D161*LiquidN2O)+('Mitigation drivers'!D162*DrylotN2O)+('Mitigation drivers'!D163*SolidStorageN2O)+('Mitigation drivers'!D164*DailyspreadN2O)+('Mitigation drivers'!D165*CompostN2O)+('Mitigation drivers'!D166*ManwithbedN2O)+('Mitigation drivers'!D167*PMwithoutlitterN2O)+('Mitigation drivers'!D168*PMwithlitterN2O)+('Mitigation drivers'!D170*DigesterN2OEF))/100</f>
        <v>2.7200000000000002E-3</v>
      </c>
      <c r="J66" s="26">
        <f>(('Mitigation drivers'!E160*LagoonN2O)+('Mitigation drivers'!E161*LiquidN2O)+('Mitigation drivers'!E162*DrylotN2O)+('Mitigation drivers'!E163*SolidStorageN2O)+('Mitigation drivers'!E164*DailyspreadN2O)+('Mitigation drivers'!E165*CompostN2O)+('Mitigation drivers'!E166*ManwithbedN2O)+('Mitigation drivers'!E167*PMwithoutlitterN2O)+('Mitigation drivers'!E168*PMwithlitterN2O)+('Mitigation drivers'!E170*DigesterN2OEF))/100</f>
        <v>2.7200000000000002E-3</v>
      </c>
      <c r="K66" s="26">
        <f>(('Mitigation drivers'!F160*LagoonN2O)+('Mitigation drivers'!F161*LiquidN2O)+('Mitigation drivers'!F162*DrylotN2O)+('Mitigation drivers'!F163*SolidStorageN2O)+('Mitigation drivers'!F164*DailyspreadN2O)+('Mitigation drivers'!F165*CompostN2O)+('Mitigation drivers'!F166*ManwithbedN2O)+('Mitigation drivers'!F167*PMwithoutlitterN2O)+('Mitigation drivers'!F168*PMwithlitterN2O)+('Mitigation drivers'!F170*DigesterN2OEF))/100</f>
        <v>2.7200000000000002E-3</v>
      </c>
      <c r="L66" s="26">
        <f>(('Mitigation drivers'!G160*LagoonN2O)+('Mitigation drivers'!G161*LiquidN2O)+('Mitigation drivers'!G162*DrylotN2O)+('Mitigation drivers'!G163*SolidStorageN2O)+('Mitigation drivers'!G164*DailyspreadN2O)+('Mitigation drivers'!G165*CompostN2O)+('Mitigation drivers'!G166*ManwithbedN2O)+('Mitigation drivers'!G167*PMwithoutlitterN2O)+('Mitigation drivers'!G168*PMwithlitterN2O)+('Mitigation drivers'!G170*DigesterN2OEF))/100</f>
        <v>2.7200000000000002E-3</v>
      </c>
      <c r="M66" s="26">
        <f>(('Mitigation drivers'!H160*LagoonN2O)+('Mitigation drivers'!H161*LiquidN2O)+('Mitigation drivers'!H162*DrylotN2O)+('Mitigation drivers'!H163*SolidStorageN2O)+('Mitigation drivers'!H164*DailyspreadN2O)+('Mitigation drivers'!H165*CompostN2O)+('Mitigation drivers'!H166*ManwithbedN2O)+('Mitigation drivers'!H167*PMwithoutlitterN2O)+('Mitigation drivers'!H168*PMwithlitterN2O)+('Mitigation drivers'!H170*DigesterN2OEF))/100</f>
        <v>2.7200000000000002E-3</v>
      </c>
      <c r="N66" s="26">
        <f>(('Mitigation drivers'!I160*LagoonN2O)+('Mitigation drivers'!I161*LiquidN2O)+('Mitigation drivers'!I162*DrylotN2O)+('Mitigation drivers'!I163*SolidStorageN2O)+('Mitigation drivers'!I164*DailyspreadN2O)+('Mitigation drivers'!I165*CompostN2O)+('Mitigation drivers'!I166*ManwithbedN2O)+('Mitigation drivers'!I167*PMwithoutlitterN2O)+('Mitigation drivers'!I168*PMwithlitterN2O)+('Mitigation drivers'!I170*DigesterN2OEF))/100</f>
        <v>2.7200000000000002E-3</v>
      </c>
      <c r="O66" s="26">
        <f>(('Mitigation drivers'!J160*LagoonN2O)+('Mitigation drivers'!J161*LiquidN2O)+('Mitigation drivers'!J162*DrylotN2O)+('Mitigation drivers'!J163*SolidStorageN2O)+('Mitigation drivers'!J164*DailyspreadN2O)+('Mitigation drivers'!J165*CompostN2O)+('Mitigation drivers'!J166*ManwithbedN2O)+('Mitigation drivers'!J167*PMwithoutlitterN2O)+('Mitigation drivers'!J168*PMwithlitterN2O)+('Mitigation drivers'!J170*DigesterN2OEF))/100</f>
        <v>2.7200000000000002E-3</v>
      </c>
      <c r="P66" s="26">
        <f>(('Mitigation drivers'!K160*LagoonN2O)+('Mitigation drivers'!K161*LiquidN2O)+('Mitigation drivers'!K162*DrylotN2O)+('Mitigation drivers'!K163*SolidStorageN2O)+('Mitigation drivers'!K164*DailyspreadN2O)+('Mitigation drivers'!K165*CompostN2O)+('Mitigation drivers'!K166*ManwithbedN2O)+('Mitigation drivers'!K167*PMwithoutlitterN2O)+('Mitigation drivers'!K168*PMwithlitterN2O)+('Mitigation drivers'!K170*DigesterN2OEF))/100</f>
        <v>2.7200000000000002E-3</v>
      </c>
      <c r="Q66" s="26">
        <f>(('Mitigation drivers'!L160*LagoonN2O)+('Mitigation drivers'!L161*LiquidN2O)+('Mitigation drivers'!L162*DrylotN2O)+('Mitigation drivers'!L163*SolidStorageN2O)+('Mitigation drivers'!L164*DailyspreadN2O)+('Mitigation drivers'!L165*CompostN2O)+('Mitigation drivers'!L166*ManwithbedN2O)+('Mitigation drivers'!L167*PMwithoutlitterN2O)+('Mitigation drivers'!L168*PMwithlitterN2O)+('Mitigation drivers'!L170*DigesterN2OEF))/100</f>
        <v>2.7200000000000002E-3</v>
      </c>
      <c r="R66" s="26">
        <f>(('Mitigation drivers'!M160*LagoonN2O)+('Mitigation drivers'!M161*LiquidN2O)+('Mitigation drivers'!M162*DrylotN2O)+('Mitigation drivers'!M163*SolidStorageN2O)+('Mitigation drivers'!M164*DailyspreadN2O)+('Mitigation drivers'!M165*CompostN2O)+('Mitigation drivers'!M166*ManwithbedN2O)+('Mitigation drivers'!M167*PMwithoutlitterN2O)+('Mitigation drivers'!M168*PMwithlitterN2O)+('Mitigation drivers'!M170*DigesterN2OEF))/100</f>
        <v>2.7200000000000002E-3</v>
      </c>
      <c r="S66" s="26">
        <f>(('Mitigation drivers'!N160*LagoonN2O)+('Mitigation drivers'!N161*LiquidN2O)+('Mitigation drivers'!N162*DrylotN2O)+('Mitigation drivers'!N163*SolidStorageN2O)+('Mitigation drivers'!N164*DailyspreadN2O)+('Mitigation drivers'!N165*CompostN2O)+('Mitigation drivers'!N166*ManwithbedN2O)+('Mitigation drivers'!N167*PMwithoutlitterN2O)+('Mitigation drivers'!N168*PMwithlitterN2O)+('Mitigation drivers'!N170*DigesterN2OEF))/100</f>
        <v>2.7200000000000002E-3</v>
      </c>
      <c r="T66" s="26">
        <f>(('Mitigation drivers'!O160*LagoonN2O)+('Mitigation drivers'!O161*LiquidN2O)+('Mitigation drivers'!O162*DrylotN2O)+('Mitigation drivers'!O163*SolidStorageN2O)+('Mitigation drivers'!O164*DailyspreadN2O)+('Mitigation drivers'!O165*CompostN2O)+('Mitigation drivers'!O166*ManwithbedN2O)+('Mitigation drivers'!O167*PMwithoutlitterN2O)+('Mitigation drivers'!O168*PMwithlitterN2O)+('Mitigation drivers'!O170*DigesterN2OEF))/100</f>
        <v>2.7200000000000002E-3</v>
      </c>
      <c r="U66" s="26">
        <f>(('Mitigation drivers'!P160*LagoonN2O)+('Mitigation drivers'!P161*LiquidN2O)+('Mitigation drivers'!P162*DrylotN2O)+('Mitigation drivers'!P163*SolidStorageN2O)+('Mitigation drivers'!P164*DailyspreadN2O)+('Mitigation drivers'!P165*CompostN2O)+('Mitigation drivers'!P166*ManwithbedN2O)+('Mitigation drivers'!P167*PMwithoutlitterN2O)+('Mitigation drivers'!P168*PMwithlitterN2O)+('Mitigation drivers'!P170*DigesterN2OEF))/100</f>
        <v>2.7200000000000002E-3</v>
      </c>
      <c r="V66" s="26">
        <f>(('Mitigation drivers'!Q160*LagoonN2O)+('Mitigation drivers'!Q161*LiquidN2O)+('Mitigation drivers'!Q162*DrylotN2O)+('Mitigation drivers'!Q163*SolidStorageN2O)+('Mitigation drivers'!Q164*DailyspreadN2O)+('Mitigation drivers'!Q165*CompostN2O)+('Mitigation drivers'!Q166*ManwithbedN2O)+('Mitigation drivers'!Q167*PMwithoutlitterN2O)+('Mitigation drivers'!Q168*PMwithlitterN2O)+('Mitigation drivers'!Q170*DigesterN2OEF))/100</f>
        <v>2.7200000000000002E-3</v>
      </c>
      <c r="W66" s="26">
        <f>(('Mitigation drivers'!R160*LagoonN2O)+('Mitigation drivers'!R161*LiquidN2O)+('Mitigation drivers'!R162*DrylotN2O)+('Mitigation drivers'!R163*SolidStorageN2O)+('Mitigation drivers'!R164*DailyspreadN2O)+('Mitigation drivers'!R165*CompostN2O)+('Mitigation drivers'!R166*ManwithbedN2O)+('Mitigation drivers'!R167*PMwithoutlitterN2O)+('Mitigation drivers'!R168*PMwithlitterN2O)+('Mitigation drivers'!R170*DigesterN2OEF))/100</f>
        <v>2.7200000000000002E-3</v>
      </c>
      <c r="X66" s="26">
        <f>(('Mitigation drivers'!S160*LagoonN2O)+('Mitigation drivers'!S161*LiquidN2O)+('Mitigation drivers'!S162*DrylotN2O)+('Mitigation drivers'!S163*SolidStorageN2O)+('Mitigation drivers'!S164*DailyspreadN2O)+('Mitigation drivers'!S165*CompostN2O)+('Mitigation drivers'!S166*ManwithbedN2O)+('Mitigation drivers'!S167*PMwithoutlitterN2O)+('Mitigation drivers'!S168*PMwithlitterN2O)+('Mitigation drivers'!S170*DigesterN2OEF))/100</f>
        <v>2.7200000000000002E-3</v>
      </c>
      <c r="Y66" s="26">
        <f>(('Mitigation drivers'!T160*LagoonN2O)+('Mitigation drivers'!T161*LiquidN2O)+('Mitigation drivers'!T162*DrylotN2O)+('Mitigation drivers'!T163*SolidStorageN2O)+('Mitigation drivers'!T164*DailyspreadN2O)+('Mitigation drivers'!T165*CompostN2O)+('Mitigation drivers'!T166*ManwithbedN2O)+('Mitigation drivers'!T167*PMwithoutlitterN2O)+('Mitigation drivers'!T168*PMwithlitterN2O)+('Mitigation drivers'!T170*DigesterN2OEF))/100</f>
        <v>2.7200000000000002E-3</v>
      </c>
      <c r="Z66" s="26">
        <f>(('Mitigation drivers'!U160*LagoonN2O)+('Mitigation drivers'!U161*LiquidN2O)+('Mitigation drivers'!U162*DrylotN2O)+('Mitigation drivers'!U163*SolidStorageN2O)+('Mitigation drivers'!U164*DailyspreadN2O)+('Mitigation drivers'!U165*CompostN2O)+('Mitigation drivers'!U166*ManwithbedN2O)+('Mitigation drivers'!U167*PMwithoutlitterN2O)+('Mitigation drivers'!U168*PMwithlitterN2O)+('Mitigation drivers'!U170*DigesterN2OEF))/100</f>
        <v>2.7200000000000002E-3</v>
      </c>
      <c r="AA66" s="26">
        <f>(('Mitigation drivers'!V160*LagoonN2O)+('Mitigation drivers'!V161*LiquidN2O)+('Mitigation drivers'!V162*DrylotN2O)+('Mitigation drivers'!V163*SolidStorageN2O)+('Mitigation drivers'!V164*DailyspreadN2O)+('Mitigation drivers'!V165*CompostN2O)+('Mitigation drivers'!V166*ManwithbedN2O)+('Mitigation drivers'!V167*PMwithoutlitterN2O)+('Mitigation drivers'!V168*PMwithlitterN2O)+('Mitigation drivers'!V170*DigesterN2OEF))/100</f>
        <v>2.7200000000000002E-3</v>
      </c>
      <c r="AB66" s="26">
        <f>(('Mitigation drivers'!W160*LagoonN2O)+('Mitigation drivers'!W161*LiquidN2O)+('Mitigation drivers'!W162*DrylotN2O)+('Mitigation drivers'!W163*SolidStorageN2O)+('Mitigation drivers'!W164*DailyspreadN2O)+('Mitigation drivers'!W165*CompostN2O)+('Mitigation drivers'!W166*ManwithbedN2O)+('Mitigation drivers'!W167*PMwithoutlitterN2O)+('Mitigation drivers'!W168*PMwithlitterN2O)+('Mitigation drivers'!W170*DigesterN2OEF))/100</f>
        <v>2.7200000000000002E-3</v>
      </c>
      <c r="AC66" s="26">
        <f>(('Mitigation drivers'!X160*LagoonN2O)+('Mitigation drivers'!X161*LiquidN2O)+('Mitigation drivers'!X162*DrylotN2O)+('Mitigation drivers'!X163*SolidStorageN2O)+('Mitigation drivers'!X164*DailyspreadN2O)+('Mitigation drivers'!X165*CompostN2O)+('Mitigation drivers'!X166*ManwithbedN2O)+('Mitigation drivers'!X167*PMwithoutlitterN2O)+('Mitigation drivers'!X168*PMwithlitterN2O)+('Mitigation drivers'!X170*DigesterN2OEF))/100</f>
        <v>2.7200000000000002E-3</v>
      </c>
      <c r="AD66" s="26">
        <f>(('Mitigation drivers'!Y160*LagoonN2O)+('Mitigation drivers'!Y161*LiquidN2O)+('Mitigation drivers'!Y162*DrylotN2O)+('Mitigation drivers'!Y163*SolidStorageN2O)+('Mitigation drivers'!Y164*DailyspreadN2O)+('Mitigation drivers'!Y165*CompostN2O)+('Mitigation drivers'!Y166*ManwithbedN2O)+('Mitigation drivers'!Y167*PMwithoutlitterN2O)+('Mitigation drivers'!Y168*PMwithlitterN2O)+('Mitigation drivers'!Y170*DigesterN2OEF))/100</f>
        <v>2.7200000000000002E-3</v>
      </c>
      <c r="AE66" s="26">
        <f>(('Mitigation drivers'!Z160*LagoonN2O)+('Mitigation drivers'!Z161*LiquidN2O)+('Mitigation drivers'!Z162*DrylotN2O)+('Mitigation drivers'!Z163*SolidStorageN2O)+('Mitigation drivers'!Z164*DailyspreadN2O)+('Mitigation drivers'!Z165*CompostN2O)+('Mitigation drivers'!Z166*ManwithbedN2O)+('Mitigation drivers'!Z167*PMwithoutlitterN2O)+('Mitigation drivers'!Z168*PMwithlitterN2O)+('Mitigation drivers'!Z170*DigesterN2OEF))/100</f>
        <v>2.7200000000000002E-3</v>
      </c>
      <c r="AF66" s="26">
        <f>(('Mitigation drivers'!AA160*LagoonN2O)+('Mitigation drivers'!AA161*LiquidN2O)+('Mitigation drivers'!AA162*DrylotN2O)+('Mitigation drivers'!AA163*SolidStorageN2O)+('Mitigation drivers'!AA164*DailyspreadN2O)+('Mitigation drivers'!AA165*CompostN2O)+('Mitigation drivers'!AA166*ManwithbedN2O)+('Mitigation drivers'!AA167*PMwithoutlitterN2O)+('Mitigation drivers'!AA168*PMwithlitterN2O)+('Mitigation drivers'!AA170*DigesterN2OEF))/100</f>
        <v>2.7200000000000002E-3</v>
      </c>
      <c r="AG66" s="26">
        <f>(('Mitigation drivers'!AB160*LagoonN2O)+('Mitigation drivers'!AB161*LiquidN2O)+('Mitigation drivers'!AB162*DrylotN2O)+('Mitigation drivers'!AB163*SolidStorageN2O)+('Mitigation drivers'!AB164*DailyspreadN2O)+('Mitigation drivers'!AB165*CompostN2O)+('Mitigation drivers'!AB166*ManwithbedN2O)+('Mitigation drivers'!AB167*PMwithoutlitterN2O)+('Mitigation drivers'!AB168*PMwithlitterN2O)+('Mitigation drivers'!AB170*DigesterN2OEF))/100</f>
        <v>2.7200000000000002E-3</v>
      </c>
      <c r="AH66" s="26">
        <f>(('Mitigation drivers'!AC160*LagoonN2O)+('Mitigation drivers'!AC161*LiquidN2O)+('Mitigation drivers'!AC162*DrylotN2O)+('Mitigation drivers'!AC163*SolidStorageN2O)+('Mitigation drivers'!AC164*DailyspreadN2O)+('Mitigation drivers'!AC165*CompostN2O)+('Mitigation drivers'!AC166*ManwithbedN2O)+('Mitigation drivers'!AC167*PMwithoutlitterN2O)+('Mitigation drivers'!AC168*PMwithlitterN2O)+('Mitigation drivers'!AC170*DigesterN2OEF))/100</f>
        <v>2.7200000000000002E-3</v>
      </c>
      <c r="AI66" s="26">
        <f>(('Mitigation drivers'!AD160*LagoonN2O)+('Mitigation drivers'!AD161*LiquidN2O)+('Mitigation drivers'!AD162*DrylotN2O)+('Mitigation drivers'!AD163*SolidStorageN2O)+('Mitigation drivers'!AD164*DailyspreadN2O)+('Mitigation drivers'!AD165*CompostN2O)+('Mitigation drivers'!AD166*ManwithbedN2O)+('Mitigation drivers'!AD167*PMwithoutlitterN2O)+('Mitigation drivers'!AD168*PMwithlitterN2O)+('Mitigation drivers'!AD170*DigesterN2OEF))/100</f>
        <v>2.7200000000000002E-3</v>
      </c>
      <c r="AJ66" s="26">
        <f>(('Mitigation drivers'!AE160*LagoonN2O)+('Mitigation drivers'!AE161*LiquidN2O)+('Mitigation drivers'!AE162*DrylotN2O)+('Mitigation drivers'!AE163*SolidStorageN2O)+('Mitigation drivers'!AE164*DailyspreadN2O)+('Mitigation drivers'!AE165*CompostN2O)+('Mitigation drivers'!AE166*ManwithbedN2O)+('Mitigation drivers'!AE167*PMwithoutlitterN2O)+('Mitigation drivers'!AE168*PMwithlitterN2O)+('Mitigation drivers'!AE170*DigesterN2OEF))/100</f>
        <v>2.7200000000000002E-3</v>
      </c>
      <c r="AK66" s="26">
        <f>(('Mitigation drivers'!AF160*LagoonN2O)+('Mitigation drivers'!AF161*LiquidN2O)+('Mitigation drivers'!AF162*DrylotN2O)+('Mitigation drivers'!AF163*SolidStorageN2O)+('Mitigation drivers'!AF164*DailyspreadN2O)+('Mitigation drivers'!AF165*CompostN2O)+('Mitigation drivers'!AF166*ManwithbedN2O)+('Mitigation drivers'!AF167*PMwithoutlitterN2O)+('Mitigation drivers'!AF168*PMwithlitterN2O)+('Mitigation drivers'!AF170*DigesterN2OEF))/100</f>
        <v>2.7200000000000002E-3</v>
      </c>
      <c r="AL66" s="26">
        <f>(('Mitigation drivers'!AG160*LagoonN2O)+('Mitigation drivers'!AG161*LiquidN2O)+('Mitigation drivers'!AG162*DrylotN2O)+('Mitigation drivers'!AG163*SolidStorageN2O)+('Mitigation drivers'!AG164*DailyspreadN2O)+('Mitigation drivers'!AG165*CompostN2O)+('Mitigation drivers'!AG166*ManwithbedN2O)+('Mitigation drivers'!AG167*PMwithoutlitterN2O)+('Mitigation drivers'!AG168*PMwithlitterN2O)+('Mitigation drivers'!AG170*DigesterN2OEF))/100</f>
        <v>2.7200000000000002E-3</v>
      </c>
      <c r="AM66" s="26">
        <f>(('Mitigation drivers'!AH160*LagoonN2O)+('Mitigation drivers'!AH161*LiquidN2O)+('Mitigation drivers'!AH162*DrylotN2O)+('Mitigation drivers'!AH163*SolidStorageN2O)+('Mitigation drivers'!AH164*DailyspreadN2O)+('Mitigation drivers'!AH165*CompostN2O)+('Mitigation drivers'!AH166*ManwithbedN2O)+('Mitigation drivers'!AH167*PMwithoutlitterN2O)+('Mitigation drivers'!AH168*PMwithlitterN2O)+('Mitigation drivers'!AH170*DigesterN2OEF))/100</f>
        <v>2.7200000000000002E-3</v>
      </c>
      <c r="AN66" s="26">
        <f>(('Mitigation drivers'!AI160*LagoonN2O)+('Mitigation drivers'!AI161*LiquidN2O)+('Mitigation drivers'!AI162*DrylotN2O)+('Mitigation drivers'!AI163*SolidStorageN2O)+('Mitigation drivers'!AI164*DailyspreadN2O)+('Mitigation drivers'!AI165*CompostN2O)+('Mitigation drivers'!AI166*ManwithbedN2O)+('Mitigation drivers'!AI167*PMwithoutlitterN2O)+('Mitigation drivers'!AI168*PMwithlitterN2O)+('Mitigation drivers'!AI170*DigesterN2OEF))/100</f>
        <v>2.7200000000000002E-3</v>
      </c>
      <c r="AO66" s="26">
        <f>(('Mitigation drivers'!AJ160*LagoonN2O)+('Mitigation drivers'!AJ161*LiquidN2O)+('Mitigation drivers'!AJ162*DrylotN2O)+('Mitigation drivers'!AJ163*SolidStorageN2O)+('Mitigation drivers'!AJ164*DailyspreadN2O)+('Mitigation drivers'!AJ165*CompostN2O)+('Mitigation drivers'!AJ166*ManwithbedN2O)+('Mitigation drivers'!AJ167*PMwithoutlitterN2O)+('Mitigation drivers'!AJ168*PMwithlitterN2O)+('Mitigation drivers'!AJ170*DigesterN2OEF))/100</f>
        <v>2.7200000000000002E-3</v>
      </c>
    </row>
    <row r="67" spans="1:41" x14ac:dyDescent="0.25">
      <c r="A67" t="str">
        <f t="shared" si="1"/>
        <v>3A Livestock</v>
      </c>
      <c r="B67" t="str">
        <f t="shared" si="8"/>
        <v>3A2 Manure management (N2O)</v>
      </c>
      <c r="C67" t="str">
        <f>'Activity data'!C18</f>
        <v>3A1h Swine</v>
      </c>
      <c r="D67" t="str">
        <f>'Activity data'!D18</f>
        <v>Subsistence</v>
      </c>
      <c r="E67" t="str">
        <f t="shared" si="27"/>
        <v>Manure management EF</v>
      </c>
      <c r="F67" t="str">
        <f t="shared" si="28"/>
        <v>N2O</v>
      </c>
      <c r="G67" t="str">
        <f t="shared" si="29"/>
        <v>kg N2O-N/kg Nex</v>
      </c>
      <c r="H67" s="26">
        <f>(('Mitigation drivers'!C172*LagoonN2O)+('Mitigation drivers'!C173*LiquidN2O)+('Mitigation drivers'!C174*DrylotN2O)+('Mitigation drivers'!C175*SolidStorageN2O)+('Mitigation drivers'!C176*DailyspreadN2O)+('Mitigation drivers'!C177*CompostN2O)+('Mitigation drivers'!C178*ManwithbedN2O)+('Mitigation drivers'!C179*PMwithoutlitterN2O)+('Mitigation drivers'!C180*PMwithlitterN2O)+('Mitigation drivers'!C182*DigesterN2OEF))/100</f>
        <v>7.1200000000000005E-3</v>
      </c>
      <c r="I67" s="26">
        <f>(('Mitigation drivers'!D172*LagoonN2O)+('Mitigation drivers'!D173*LiquidN2O)+('Mitigation drivers'!D174*DrylotN2O)+('Mitigation drivers'!D175*SolidStorageN2O)+('Mitigation drivers'!D176*DailyspreadN2O)+('Mitigation drivers'!D177*CompostN2O)+('Mitigation drivers'!D178*ManwithbedN2O)+('Mitigation drivers'!D179*PMwithoutlitterN2O)+('Mitigation drivers'!D180*PMwithlitterN2O)+('Mitigation drivers'!D182*DigesterN2OEF))/100</f>
        <v>7.1200000000000005E-3</v>
      </c>
      <c r="J67" s="26">
        <f>(('Mitigation drivers'!E172*LagoonN2O)+('Mitigation drivers'!E173*LiquidN2O)+('Mitigation drivers'!E174*DrylotN2O)+('Mitigation drivers'!E175*SolidStorageN2O)+('Mitigation drivers'!E176*DailyspreadN2O)+('Mitigation drivers'!E177*CompostN2O)+('Mitigation drivers'!E178*ManwithbedN2O)+('Mitigation drivers'!E179*PMwithoutlitterN2O)+('Mitigation drivers'!E180*PMwithlitterN2O)+('Mitigation drivers'!E182*DigesterN2OEF))/100</f>
        <v>7.1200000000000005E-3</v>
      </c>
      <c r="K67" s="26">
        <f>(('Mitigation drivers'!F172*LagoonN2O)+('Mitigation drivers'!F173*LiquidN2O)+('Mitigation drivers'!F174*DrylotN2O)+('Mitigation drivers'!F175*SolidStorageN2O)+('Mitigation drivers'!F176*DailyspreadN2O)+('Mitigation drivers'!F177*CompostN2O)+('Mitigation drivers'!F178*ManwithbedN2O)+('Mitigation drivers'!F179*PMwithoutlitterN2O)+('Mitigation drivers'!F180*PMwithlitterN2O)+('Mitigation drivers'!F182*DigesterN2OEF))/100</f>
        <v>7.1200000000000005E-3</v>
      </c>
      <c r="L67" s="26">
        <f>(('Mitigation drivers'!G172*LagoonN2O)+('Mitigation drivers'!G173*LiquidN2O)+('Mitigation drivers'!G174*DrylotN2O)+('Mitigation drivers'!G175*SolidStorageN2O)+('Mitigation drivers'!G176*DailyspreadN2O)+('Mitigation drivers'!G177*CompostN2O)+('Mitigation drivers'!G178*ManwithbedN2O)+('Mitigation drivers'!G179*PMwithoutlitterN2O)+('Mitigation drivers'!G180*PMwithlitterN2O)+('Mitigation drivers'!G182*DigesterN2OEF))/100</f>
        <v>7.1200000000000005E-3</v>
      </c>
      <c r="M67" s="26">
        <f>(('Mitigation drivers'!H172*LagoonN2O)+('Mitigation drivers'!H173*LiquidN2O)+('Mitigation drivers'!H174*DrylotN2O)+('Mitigation drivers'!H175*SolidStorageN2O)+('Mitigation drivers'!H176*DailyspreadN2O)+('Mitigation drivers'!H177*CompostN2O)+('Mitigation drivers'!H178*ManwithbedN2O)+('Mitigation drivers'!H179*PMwithoutlitterN2O)+('Mitigation drivers'!H180*PMwithlitterN2O)+('Mitigation drivers'!H182*DigesterN2OEF))/100</f>
        <v>7.1200000000000005E-3</v>
      </c>
      <c r="N67" s="26">
        <f>(('Mitigation drivers'!I172*LagoonN2O)+('Mitigation drivers'!I173*LiquidN2O)+('Mitigation drivers'!I174*DrylotN2O)+('Mitigation drivers'!I175*SolidStorageN2O)+('Mitigation drivers'!I176*DailyspreadN2O)+('Mitigation drivers'!I177*CompostN2O)+('Mitigation drivers'!I178*ManwithbedN2O)+('Mitigation drivers'!I179*PMwithoutlitterN2O)+('Mitigation drivers'!I180*PMwithlitterN2O)+('Mitigation drivers'!I182*DigesterN2OEF))/100</f>
        <v>7.1200000000000005E-3</v>
      </c>
      <c r="O67" s="26">
        <f>(('Mitigation drivers'!J172*LagoonN2O)+('Mitigation drivers'!J173*LiquidN2O)+('Mitigation drivers'!J174*DrylotN2O)+('Mitigation drivers'!J175*SolidStorageN2O)+('Mitigation drivers'!J176*DailyspreadN2O)+('Mitigation drivers'!J177*CompostN2O)+('Mitigation drivers'!J178*ManwithbedN2O)+('Mitigation drivers'!J179*PMwithoutlitterN2O)+('Mitigation drivers'!J180*PMwithlitterN2O)+('Mitigation drivers'!J182*DigesterN2OEF))/100</f>
        <v>7.1200000000000005E-3</v>
      </c>
      <c r="P67" s="26">
        <f>(('Mitigation drivers'!K172*LagoonN2O)+('Mitigation drivers'!K173*LiquidN2O)+('Mitigation drivers'!K174*DrylotN2O)+('Mitigation drivers'!K175*SolidStorageN2O)+('Mitigation drivers'!K176*DailyspreadN2O)+('Mitigation drivers'!K177*CompostN2O)+('Mitigation drivers'!K178*ManwithbedN2O)+('Mitigation drivers'!K179*PMwithoutlitterN2O)+('Mitigation drivers'!K180*PMwithlitterN2O)+('Mitigation drivers'!K182*DigesterN2OEF))/100</f>
        <v>7.1200000000000005E-3</v>
      </c>
      <c r="Q67" s="26">
        <f>(('Mitigation drivers'!L172*LagoonN2O)+('Mitigation drivers'!L173*LiquidN2O)+('Mitigation drivers'!L174*DrylotN2O)+('Mitigation drivers'!L175*SolidStorageN2O)+('Mitigation drivers'!L176*DailyspreadN2O)+('Mitigation drivers'!L177*CompostN2O)+('Mitigation drivers'!L178*ManwithbedN2O)+('Mitigation drivers'!L179*PMwithoutlitterN2O)+('Mitigation drivers'!L180*PMwithlitterN2O)+('Mitigation drivers'!L182*DigesterN2OEF))/100</f>
        <v>7.1200000000000005E-3</v>
      </c>
      <c r="R67" s="26">
        <f>(('Mitigation drivers'!M172*LagoonN2O)+('Mitigation drivers'!M173*LiquidN2O)+('Mitigation drivers'!M174*DrylotN2O)+('Mitigation drivers'!M175*SolidStorageN2O)+('Mitigation drivers'!M176*DailyspreadN2O)+('Mitigation drivers'!M177*CompostN2O)+('Mitigation drivers'!M178*ManwithbedN2O)+('Mitigation drivers'!M179*PMwithoutlitterN2O)+('Mitigation drivers'!M180*PMwithlitterN2O)+('Mitigation drivers'!M182*DigesterN2OEF))/100</f>
        <v>7.1200000000000005E-3</v>
      </c>
      <c r="S67" s="26">
        <f>(('Mitigation drivers'!N172*LagoonN2O)+('Mitigation drivers'!N173*LiquidN2O)+('Mitigation drivers'!N174*DrylotN2O)+('Mitigation drivers'!N175*SolidStorageN2O)+('Mitigation drivers'!N176*DailyspreadN2O)+('Mitigation drivers'!N177*CompostN2O)+('Mitigation drivers'!N178*ManwithbedN2O)+('Mitigation drivers'!N179*PMwithoutlitterN2O)+('Mitigation drivers'!N180*PMwithlitterN2O)+('Mitigation drivers'!N182*DigesterN2OEF))/100</f>
        <v>7.1200000000000005E-3</v>
      </c>
      <c r="T67" s="26">
        <f>(('Mitigation drivers'!O172*LagoonN2O)+('Mitigation drivers'!O173*LiquidN2O)+('Mitigation drivers'!O174*DrylotN2O)+('Mitigation drivers'!O175*SolidStorageN2O)+('Mitigation drivers'!O176*DailyspreadN2O)+('Mitigation drivers'!O177*CompostN2O)+('Mitigation drivers'!O178*ManwithbedN2O)+('Mitigation drivers'!O179*PMwithoutlitterN2O)+('Mitigation drivers'!O180*PMwithlitterN2O)+('Mitigation drivers'!O182*DigesterN2OEF))/100</f>
        <v>7.1200000000000005E-3</v>
      </c>
      <c r="U67" s="26">
        <f>(('Mitigation drivers'!P172*LagoonN2O)+('Mitigation drivers'!P173*LiquidN2O)+('Mitigation drivers'!P174*DrylotN2O)+('Mitigation drivers'!P175*SolidStorageN2O)+('Mitigation drivers'!P176*DailyspreadN2O)+('Mitigation drivers'!P177*CompostN2O)+('Mitigation drivers'!P178*ManwithbedN2O)+('Mitigation drivers'!P179*PMwithoutlitterN2O)+('Mitigation drivers'!P180*PMwithlitterN2O)+('Mitigation drivers'!P182*DigesterN2OEF))/100</f>
        <v>7.1200000000000005E-3</v>
      </c>
      <c r="V67" s="26">
        <f>(('Mitigation drivers'!Q172*LagoonN2O)+('Mitigation drivers'!Q173*LiquidN2O)+('Mitigation drivers'!Q174*DrylotN2O)+('Mitigation drivers'!Q175*SolidStorageN2O)+('Mitigation drivers'!Q176*DailyspreadN2O)+('Mitigation drivers'!Q177*CompostN2O)+('Mitigation drivers'!Q178*ManwithbedN2O)+('Mitigation drivers'!Q179*PMwithoutlitterN2O)+('Mitigation drivers'!Q180*PMwithlitterN2O)+('Mitigation drivers'!Q182*DigesterN2OEF))/100</f>
        <v>7.1200000000000005E-3</v>
      </c>
      <c r="W67" s="26">
        <f>(('Mitigation drivers'!R172*LagoonN2O)+('Mitigation drivers'!R173*LiquidN2O)+('Mitigation drivers'!R174*DrylotN2O)+('Mitigation drivers'!R175*SolidStorageN2O)+('Mitigation drivers'!R176*DailyspreadN2O)+('Mitigation drivers'!R177*CompostN2O)+('Mitigation drivers'!R178*ManwithbedN2O)+('Mitigation drivers'!R179*PMwithoutlitterN2O)+('Mitigation drivers'!R180*PMwithlitterN2O)+('Mitigation drivers'!R182*DigesterN2OEF))/100</f>
        <v>7.1200000000000005E-3</v>
      </c>
      <c r="X67" s="26">
        <f>(('Mitigation drivers'!S172*LagoonN2O)+('Mitigation drivers'!S173*LiquidN2O)+('Mitigation drivers'!S174*DrylotN2O)+('Mitigation drivers'!S175*SolidStorageN2O)+('Mitigation drivers'!S176*DailyspreadN2O)+('Mitigation drivers'!S177*CompostN2O)+('Mitigation drivers'!S178*ManwithbedN2O)+('Mitigation drivers'!S179*PMwithoutlitterN2O)+('Mitigation drivers'!S180*PMwithlitterN2O)+('Mitigation drivers'!S182*DigesterN2OEF))/100</f>
        <v>7.1200000000000005E-3</v>
      </c>
      <c r="Y67" s="26">
        <f>(('Mitigation drivers'!T172*LagoonN2O)+('Mitigation drivers'!T173*LiquidN2O)+('Mitigation drivers'!T174*DrylotN2O)+('Mitigation drivers'!T175*SolidStorageN2O)+('Mitigation drivers'!T176*DailyspreadN2O)+('Mitigation drivers'!T177*CompostN2O)+('Mitigation drivers'!T178*ManwithbedN2O)+('Mitigation drivers'!T179*PMwithoutlitterN2O)+('Mitigation drivers'!T180*PMwithlitterN2O)+('Mitigation drivers'!T182*DigesterN2OEF))/100</f>
        <v>7.1200000000000005E-3</v>
      </c>
      <c r="Z67" s="26">
        <f>(('Mitigation drivers'!U172*LagoonN2O)+('Mitigation drivers'!U173*LiquidN2O)+('Mitigation drivers'!U174*DrylotN2O)+('Mitigation drivers'!U175*SolidStorageN2O)+('Mitigation drivers'!U176*DailyspreadN2O)+('Mitigation drivers'!U177*CompostN2O)+('Mitigation drivers'!U178*ManwithbedN2O)+('Mitigation drivers'!U179*PMwithoutlitterN2O)+('Mitigation drivers'!U180*PMwithlitterN2O)+('Mitigation drivers'!U182*DigesterN2OEF))/100</f>
        <v>7.1200000000000005E-3</v>
      </c>
      <c r="AA67" s="26">
        <f>(('Mitigation drivers'!V172*LagoonN2O)+('Mitigation drivers'!V173*LiquidN2O)+('Mitigation drivers'!V174*DrylotN2O)+('Mitigation drivers'!V175*SolidStorageN2O)+('Mitigation drivers'!V176*DailyspreadN2O)+('Mitigation drivers'!V177*CompostN2O)+('Mitigation drivers'!V178*ManwithbedN2O)+('Mitigation drivers'!V179*PMwithoutlitterN2O)+('Mitigation drivers'!V180*PMwithlitterN2O)+('Mitigation drivers'!V182*DigesterN2OEF))/100</f>
        <v>7.1200000000000005E-3</v>
      </c>
      <c r="AB67" s="26">
        <f>(('Mitigation drivers'!W172*LagoonN2O)+('Mitigation drivers'!W173*LiquidN2O)+('Mitigation drivers'!W174*DrylotN2O)+('Mitigation drivers'!W175*SolidStorageN2O)+('Mitigation drivers'!W176*DailyspreadN2O)+('Mitigation drivers'!W177*CompostN2O)+('Mitigation drivers'!W178*ManwithbedN2O)+('Mitigation drivers'!W179*PMwithoutlitterN2O)+('Mitigation drivers'!W180*PMwithlitterN2O)+('Mitigation drivers'!W182*DigesterN2OEF))/100</f>
        <v>7.1200000000000005E-3</v>
      </c>
      <c r="AC67" s="26">
        <f>(('Mitigation drivers'!X172*LagoonN2O)+('Mitigation drivers'!X173*LiquidN2O)+('Mitigation drivers'!X174*DrylotN2O)+('Mitigation drivers'!X175*SolidStorageN2O)+('Mitigation drivers'!X176*DailyspreadN2O)+('Mitigation drivers'!X177*CompostN2O)+('Mitigation drivers'!X178*ManwithbedN2O)+('Mitigation drivers'!X179*PMwithoutlitterN2O)+('Mitigation drivers'!X180*PMwithlitterN2O)+('Mitigation drivers'!X182*DigesterN2OEF))/100</f>
        <v>7.1200000000000005E-3</v>
      </c>
      <c r="AD67" s="26">
        <f>(('Mitigation drivers'!Y172*LagoonN2O)+('Mitigation drivers'!Y173*LiquidN2O)+('Mitigation drivers'!Y174*DrylotN2O)+('Mitigation drivers'!Y175*SolidStorageN2O)+('Mitigation drivers'!Y176*DailyspreadN2O)+('Mitigation drivers'!Y177*CompostN2O)+('Mitigation drivers'!Y178*ManwithbedN2O)+('Mitigation drivers'!Y179*PMwithoutlitterN2O)+('Mitigation drivers'!Y180*PMwithlitterN2O)+('Mitigation drivers'!Y182*DigesterN2OEF))/100</f>
        <v>7.1200000000000005E-3</v>
      </c>
      <c r="AE67" s="26">
        <f>(('Mitigation drivers'!Z172*LagoonN2O)+('Mitigation drivers'!Z173*LiquidN2O)+('Mitigation drivers'!Z174*DrylotN2O)+('Mitigation drivers'!Z175*SolidStorageN2O)+('Mitigation drivers'!Z176*DailyspreadN2O)+('Mitigation drivers'!Z177*CompostN2O)+('Mitigation drivers'!Z178*ManwithbedN2O)+('Mitigation drivers'!Z179*PMwithoutlitterN2O)+('Mitigation drivers'!Z180*PMwithlitterN2O)+('Mitigation drivers'!Z182*DigesterN2OEF))/100</f>
        <v>7.1200000000000005E-3</v>
      </c>
      <c r="AF67" s="26">
        <f>(('Mitigation drivers'!AA172*LagoonN2O)+('Mitigation drivers'!AA173*LiquidN2O)+('Mitigation drivers'!AA174*DrylotN2O)+('Mitigation drivers'!AA175*SolidStorageN2O)+('Mitigation drivers'!AA176*DailyspreadN2O)+('Mitigation drivers'!AA177*CompostN2O)+('Mitigation drivers'!AA178*ManwithbedN2O)+('Mitigation drivers'!AA179*PMwithoutlitterN2O)+('Mitigation drivers'!AA180*PMwithlitterN2O)+('Mitigation drivers'!AA182*DigesterN2OEF))/100</f>
        <v>7.1200000000000005E-3</v>
      </c>
      <c r="AG67" s="26">
        <f>(('Mitigation drivers'!AB172*LagoonN2O)+('Mitigation drivers'!AB173*LiquidN2O)+('Mitigation drivers'!AB174*DrylotN2O)+('Mitigation drivers'!AB175*SolidStorageN2O)+('Mitigation drivers'!AB176*DailyspreadN2O)+('Mitigation drivers'!AB177*CompostN2O)+('Mitigation drivers'!AB178*ManwithbedN2O)+('Mitigation drivers'!AB179*PMwithoutlitterN2O)+('Mitigation drivers'!AB180*PMwithlitterN2O)+('Mitigation drivers'!AB182*DigesterN2OEF))/100</f>
        <v>7.1200000000000005E-3</v>
      </c>
      <c r="AH67" s="26">
        <f>(('Mitigation drivers'!AC172*LagoonN2O)+('Mitigation drivers'!AC173*LiquidN2O)+('Mitigation drivers'!AC174*DrylotN2O)+('Mitigation drivers'!AC175*SolidStorageN2O)+('Mitigation drivers'!AC176*DailyspreadN2O)+('Mitigation drivers'!AC177*CompostN2O)+('Mitigation drivers'!AC178*ManwithbedN2O)+('Mitigation drivers'!AC179*PMwithoutlitterN2O)+('Mitigation drivers'!AC180*PMwithlitterN2O)+('Mitigation drivers'!AC182*DigesterN2OEF))/100</f>
        <v>7.1200000000000005E-3</v>
      </c>
      <c r="AI67" s="26">
        <f>(('Mitigation drivers'!AD172*LagoonN2O)+('Mitigation drivers'!AD173*LiquidN2O)+('Mitigation drivers'!AD174*DrylotN2O)+('Mitigation drivers'!AD175*SolidStorageN2O)+('Mitigation drivers'!AD176*DailyspreadN2O)+('Mitigation drivers'!AD177*CompostN2O)+('Mitigation drivers'!AD178*ManwithbedN2O)+('Mitigation drivers'!AD179*PMwithoutlitterN2O)+('Mitigation drivers'!AD180*PMwithlitterN2O)+('Mitigation drivers'!AD182*DigesterN2OEF))/100</f>
        <v>7.1200000000000005E-3</v>
      </c>
      <c r="AJ67" s="26">
        <f>(('Mitigation drivers'!AE172*LagoonN2O)+('Mitigation drivers'!AE173*LiquidN2O)+('Mitigation drivers'!AE174*DrylotN2O)+('Mitigation drivers'!AE175*SolidStorageN2O)+('Mitigation drivers'!AE176*DailyspreadN2O)+('Mitigation drivers'!AE177*CompostN2O)+('Mitigation drivers'!AE178*ManwithbedN2O)+('Mitigation drivers'!AE179*PMwithoutlitterN2O)+('Mitigation drivers'!AE180*PMwithlitterN2O)+('Mitigation drivers'!AE182*DigesterN2OEF))/100</f>
        <v>7.1200000000000005E-3</v>
      </c>
      <c r="AK67" s="26">
        <f>(('Mitigation drivers'!AF172*LagoonN2O)+('Mitigation drivers'!AF173*LiquidN2O)+('Mitigation drivers'!AF174*DrylotN2O)+('Mitigation drivers'!AF175*SolidStorageN2O)+('Mitigation drivers'!AF176*DailyspreadN2O)+('Mitigation drivers'!AF177*CompostN2O)+('Mitigation drivers'!AF178*ManwithbedN2O)+('Mitigation drivers'!AF179*PMwithoutlitterN2O)+('Mitigation drivers'!AF180*PMwithlitterN2O)+('Mitigation drivers'!AF182*DigesterN2OEF))/100</f>
        <v>7.1200000000000005E-3</v>
      </c>
      <c r="AL67" s="26">
        <f>(('Mitigation drivers'!AG172*LagoonN2O)+('Mitigation drivers'!AG173*LiquidN2O)+('Mitigation drivers'!AG174*DrylotN2O)+('Mitigation drivers'!AG175*SolidStorageN2O)+('Mitigation drivers'!AG176*DailyspreadN2O)+('Mitigation drivers'!AG177*CompostN2O)+('Mitigation drivers'!AG178*ManwithbedN2O)+('Mitigation drivers'!AG179*PMwithoutlitterN2O)+('Mitigation drivers'!AG180*PMwithlitterN2O)+('Mitigation drivers'!AG182*DigesterN2OEF))/100</f>
        <v>7.1200000000000005E-3</v>
      </c>
      <c r="AM67" s="26">
        <f>(('Mitigation drivers'!AH172*LagoonN2O)+('Mitigation drivers'!AH173*LiquidN2O)+('Mitigation drivers'!AH174*DrylotN2O)+('Mitigation drivers'!AH175*SolidStorageN2O)+('Mitigation drivers'!AH176*DailyspreadN2O)+('Mitigation drivers'!AH177*CompostN2O)+('Mitigation drivers'!AH178*ManwithbedN2O)+('Mitigation drivers'!AH179*PMwithoutlitterN2O)+('Mitigation drivers'!AH180*PMwithlitterN2O)+('Mitigation drivers'!AH182*DigesterN2OEF))/100</f>
        <v>7.1200000000000005E-3</v>
      </c>
      <c r="AN67" s="26">
        <f>(('Mitigation drivers'!AI172*LagoonN2O)+('Mitigation drivers'!AI173*LiquidN2O)+('Mitigation drivers'!AI174*DrylotN2O)+('Mitigation drivers'!AI175*SolidStorageN2O)+('Mitigation drivers'!AI176*DailyspreadN2O)+('Mitigation drivers'!AI177*CompostN2O)+('Mitigation drivers'!AI178*ManwithbedN2O)+('Mitigation drivers'!AI179*PMwithoutlitterN2O)+('Mitigation drivers'!AI180*PMwithlitterN2O)+('Mitigation drivers'!AI182*DigesterN2OEF))/100</f>
        <v>7.1200000000000005E-3</v>
      </c>
      <c r="AO67" s="26">
        <f>(('Mitigation drivers'!AJ172*LagoonN2O)+('Mitigation drivers'!AJ173*LiquidN2O)+('Mitigation drivers'!AJ174*DrylotN2O)+('Mitigation drivers'!AJ175*SolidStorageN2O)+('Mitigation drivers'!AJ176*DailyspreadN2O)+('Mitigation drivers'!AJ177*CompostN2O)+('Mitigation drivers'!AJ178*ManwithbedN2O)+('Mitigation drivers'!AJ179*PMwithoutlitterN2O)+('Mitigation drivers'!AJ180*PMwithlitterN2O)+('Mitigation drivers'!AJ182*DigesterN2OEF))/100</f>
        <v>7.1200000000000005E-3</v>
      </c>
    </row>
    <row r="68" spans="1:41" x14ac:dyDescent="0.25">
      <c r="A68" t="str">
        <f t="shared" si="1"/>
        <v>3A Livestock</v>
      </c>
      <c r="B68" t="str">
        <f t="shared" si="8"/>
        <v>3A2 Manure management (N2O)</v>
      </c>
      <c r="C68" t="str">
        <f>'Activity data'!C19</f>
        <v>3A2i Poultry</v>
      </c>
      <c r="D68" t="str">
        <f>'Activity data'!D19</f>
        <v>Commercial layers</v>
      </c>
      <c r="E68" t="str">
        <f t="shared" si="27"/>
        <v>Manure management EF</v>
      </c>
      <c r="F68" t="str">
        <f t="shared" si="28"/>
        <v>N2O</v>
      </c>
      <c r="G68" t="str">
        <f t="shared" si="29"/>
        <v>kg N2O-N/kg Nex</v>
      </c>
      <c r="H68" s="26">
        <f>(('Mitigation drivers'!C185*LagoonN2O)+('Mitigation drivers'!C186*LiquidN2O)+('Mitigation drivers'!C187*DrylotN2O)+('Mitigation drivers'!C188*SolidStorageN2O)+('Mitigation drivers'!C189*DailyspreadN2O)+('Mitigation drivers'!C190*CompostN2O)+('Mitigation drivers'!C191*ManwithbedN2O)+('Mitigation drivers'!C192*PMwithoutlitterN2O)+('Mitigation drivers'!C193*PMwithlitterN2O)+('Mitigation drivers'!C195*DigesterN2OEF))/100</f>
        <v>1.4700000000000001E-2</v>
      </c>
      <c r="I68" s="26">
        <f>(('Mitigation drivers'!D185*LagoonN2O)+('Mitigation drivers'!D186*LiquidN2O)+('Mitigation drivers'!D187*DrylotN2O)+('Mitigation drivers'!D188*SolidStorageN2O)+('Mitigation drivers'!D189*DailyspreadN2O)+('Mitigation drivers'!D190*CompostN2O)+('Mitigation drivers'!D191*ManwithbedN2O)+('Mitigation drivers'!D192*PMwithoutlitterN2O)+('Mitigation drivers'!D193*PMwithlitterN2O)+('Mitigation drivers'!D195*DigesterN2OEF))/100</f>
        <v>1.4700000000000001E-2</v>
      </c>
      <c r="J68" s="26">
        <f>(('Mitigation drivers'!E185*LagoonN2O)+('Mitigation drivers'!E186*LiquidN2O)+('Mitigation drivers'!E187*DrylotN2O)+('Mitigation drivers'!E188*SolidStorageN2O)+('Mitigation drivers'!E189*DailyspreadN2O)+('Mitigation drivers'!E190*CompostN2O)+('Mitigation drivers'!E191*ManwithbedN2O)+('Mitigation drivers'!E192*PMwithoutlitterN2O)+('Mitigation drivers'!E193*PMwithlitterN2O)+('Mitigation drivers'!E195*DigesterN2OEF))/100</f>
        <v>1.4700000000000001E-2</v>
      </c>
      <c r="K68" s="26">
        <f>(('Mitigation drivers'!F185*LagoonN2O)+('Mitigation drivers'!F186*LiquidN2O)+('Mitigation drivers'!F187*DrylotN2O)+('Mitigation drivers'!F188*SolidStorageN2O)+('Mitigation drivers'!F189*DailyspreadN2O)+('Mitigation drivers'!F190*CompostN2O)+('Mitigation drivers'!F191*ManwithbedN2O)+('Mitigation drivers'!F192*PMwithoutlitterN2O)+('Mitigation drivers'!F193*PMwithlitterN2O)+('Mitigation drivers'!F195*DigesterN2OEF))/100</f>
        <v>1.4700000000000001E-2</v>
      </c>
      <c r="L68" s="26">
        <f>(('Mitigation drivers'!G185*LagoonN2O)+('Mitigation drivers'!G186*LiquidN2O)+('Mitigation drivers'!G187*DrylotN2O)+('Mitigation drivers'!G188*SolidStorageN2O)+('Mitigation drivers'!G189*DailyspreadN2O)+('Mitigation drivers'!G190*CompostN2O)+('Mitigation drivers'!G191*ManwithbedN2O)+('Mitigation drivers'!G192*PMwithoutlitterN2O)+('Mitigation drivers'!G193*PMwithlitterN2O)+('Mitigation drivers'!G195*DigesterN2OEF))/100</f>
        <v>1.4700000000000001E-2</v>
      </c>
      <c r="M68" s="26">
        <f>(('Mitigation drivers'!H185*LagoonN2O)+('Mitigation drivers'!H186*LiquidN2O)+('Mitigation drivers'!H187*DrylotN2O)+('Mitigation drivers'!H188*SolidStorageN2O)+('Mitigation drivers'!H189*DailyspreadN2O)+('Mitigation drivers'!H190*CompostN2O)+('Mitigation drivers'!H191*ManwithbedN2O)+('Mitigation drivers'!H192*PMwithoutlitterN2O)+('Mitigation drivers'!H193*PMwithlitterN2O)+('Mitigation drivers'!H195*DigesterN2OEF))/100</f>
        <v>1.4700000000000001E-2</v>
      </c>
      <c r="N68" s="26">
        <f>(('Mitigation drivers'!I185*LagoonN2O)+('Mitigation drivers'!I186*LiquidN2O)+('Mitigation drivers'!I187*DrylotN2O)+('Mitigation drivers'!I188*SolidStorageN2O)+('Mitigation drivers'!I189*DailyspreadN2O)+('Mitigation drivers'!I190*CompostN2O)+('Mitigation drivers'!I191*ManwithbedN2O)+('Mitigation drivers'!I192*PMwithoutlitterN2O)+('Mitigation drivers'!I193*PMwithlitterN2O)+('Mitigation drivers'!I195*DigesterN2OEF))/100</f>
        <v>1.4700000000000001E-2</v>
      </c>
      <c r="O68" s="26">
        <f>(('Mitigation drivers'!J185*LagoonN2O)+('Mitigation drivers'!J186*LiquidN2O)+('Mitigation drivers'!J187*DrylotN2O)+('Mitigation drivers'!J188*SolidStorageN2O)+('Mitigation drivers'!J189*DailyspreadN2O)+('Mitigation drivers'!J190*CompostN2O)+('Mitigation drivers'!J191*ManwithbedN2O)+('Mitigation drivers'!J192*PMwithoutlitterN2O)+('Mitigation drivers'!J193*PMwithlitterN2O)+('Mitigation drivers'!J195*DigesterN2OEF))/100</f>
        <v>1.4700000000000001E-2</v>
      </c>
      <c r="P68" s="26">
        <f>(('Mitigation drivers'!K185*LagoonN2O)+('Mitigation drivers'!K186*LiquidN2O)+('Mitigation drivers'!K187*DrylotN2O)+('Mitigation drivers'!K188*SolidStorageN2O)+('Mitigation drivers'!K189*DailyspreadN2O)+('Mitigation drivers'!K190*CompostN2O)+('Mitigation drivers'!K191*ManwithbedN2O)+('Mitigation drivers'!K192*PMwithoutlitterN2O)+('Mitigation drivers'!K193*PMwithlitterN2O)+('Mitigation drivers'!K195*DigesterN2OEF))/100</f>
        <v>1.4700000000000001E-2</v>
      </c>
      <c r="Q68" s="26">
        <f>(('Mitigation drivers'!L185*LagoonN2O)+('Mitigation drivers'!L186*LiquidN2O)+('Mitigation drivers'!L187*DrylotN2O)+('Mitigation drivers'!L188*SolidStorageN2O)+('Mitigation drivers'!L189*DailyspreadN2O)+('Mitigation drivers'!L190*CompostN2O)+('Mitigation drivers'!L191*ManwithbedN2O)+('Mitigation drivers'!L192*PMwithoutlitterN2O)+('Mitigation drivers'!L193*PMwithlitterN2O)+('Mitigation drivers'!L195*DigesterN2OEF))/100</f>
        <v>1.4700000000000001E-2</v>
      </c>
      <c r="R68" s="26">
        <f>(('Mitigation drivers'!M185*LagoonN2O)+('Mitigation drivers'!M186*LiquidN2O)+('Mitigation drivers'!M187*DrylotN2O)+('Mitigation drivers'!M188*SolidStorageN2O)+('Mitigation drivers'!M189*DailyspreadN2O)+('Mitigation drivers'!M190*CompostN2O)+('Mitigation drivers'!M191*ManwithbedN2O)+('Mitigation drivers'!M192*PMwithoutlitterN2O)+('Mitigation drivers'!M193*PMwithlitterN2O)+('Mitigation drivers'!M195*DigesterN2OEF))/100</f>
        <v>1.4700000000000001E-2</v>
      </c>
      <c r="S68" s="26">
        <f>(('Mitigation drivers'!N185*LagoonN2O)+('Mitigation drivers'!N186*LiquidN2O)+('Mitigation drivers'!N187*DrylotN2O)+('Mitigation drivers'!N188*SolidStorageN2O)+('Mitigation drivers'!N189*DailyspreadN2O)+('Mitigation drivers'!N190*CompostN2O)+('Mitigation drivers'!N191*ManwithbedN2O)+('Mitigation drivers'!N192*PMwithoutlitterN2O)+('Mitigation drivers'!N193*PMwithlitterN2O)+('Mitigation drivers'!N195*DigesterN2OEF))/100</f>
        <v>1.4700000000000001E-2</v>
      </c>
      <c r="T68" s="26">
        <f>(('Mitigation drivers'!O185*LagoonN2O)+('Mitigation drivers'!O186*LiquidN2O)+('Mitigation drivers'!O187*DrylotN2O)+('Mitigation drivers'!O188*SolidStorageN2O)+('Mitigation drivers'!O189*DailyspreadN2O)+('Mitigation drivers'!O190*CompostN2O)+('Mitigation drivers'!O191*ManwithbedN2O)+('Mitigation drivers'!O192*PMwithoutlitterN2O)+('Mitigation drivers'!O193*PMwithlitterN2O)+('Mitigation drivers'!O195*DigesterN2OEF))/100</f>
        <v>1.4700000000000001E-2</v>
      </c>
      <c r="U68" s="26">
        <f>(('Mitigation drivers'!P185*LagoonN2O)+('Mitigation drivers'!P186*LiquidN2O)+('Mitigation drivers'!P187*DrylotN2O)+('Mitigation drivers'!P188*SolidStorageN2O)+('Mitigation drivers'!P189*DailyspreadN2O)+('Mitigation drivers'!P190*CompostN2O)+('Mitigation drivers'!P191*ManwithbedN2O)+('Mitigation drivers'!P192*PMwithoutlitterN2O)+('Mitigation drivers'!P193*PMwithlitterN2O)+('Mitigation drivers'!P195*DigesterN2OEF))/100</f>
        <v>1.4700000000000001E-2</v>
      </c>
      <c r="V68" s="26">
        <f>(('Mitigation drivers'!Q185*LagoonN2O)+('Mitigation drivers'!Q186*LiquidN2O)+('Mitigation drivers'!Q187*DrylotN2O)+('Mitigation drivers'!Q188*SolidStorageN2O)+('Mitigation drivers'!Q189*DailyspreadN2O)+('Mitigation drivers'!Q190*CompostN2O)+('Mitigation drivers'!Q191*ManwithbedN2O)+('Mitigation drivers'!Q192*PMwithoutlitterN2O)+('Mitigation drivers'!Q193*PMwithlitterN2O)+('Mitigation drivers'!Q195*DigesterN2OEF))/100</f>
        <v>1.4700000000000001E-2</v>
      </c>
      <c r="W68" s="26">
        <f>(('Mitigation drivers'!R185*LagoonN2O)+('Mitigation drivers'!R186*LiquidN2O)+('Mitigation drivers'!R187*DrylotN2O)+('Mitigation drivers'!R188*SolidStorageN2O)+('Mitigation drivers'!R189*DailyspreadN2O)+('Mitigation drivers'!R190*CompostN2O)+('Mitigation drivers'!R191*ManwithbedN2O)+('Mitigation drivers'!R192*PMwithoutlitterN2O)+('Mitigation drivers'!R193*PMwithlitterN2O)+('Mitigation drivers'!R195*DigesterN2OEF))/100</f>
        <v>1.4700000000000001E-2</v>
      </c>
      <c r="X68" s="26">
        <f>(('Mitigation drivers'!S185*LagoonN2O)+('Mitigation drivers'!S186*LiquidN2O)+('Mitigation drivers'!S187*DrylotN2O)+('Mitigation drivers'!S188*SolidStorageN2O)+('Mitigation drivers'!S189*DailyspreadN2O)+('Mitigation drivers'!S190*CompostN2O)+('Mitigation drivers'!S191*ManwithbedN2O)+('Mitigation drivers'!S192*PMwithoutlitterN2O)+('Mitigation drivers'!S193*PMwithlitterN2O)+('Mitigation drivers'!S195*DigesterN2OEF))/100</f>
        <v>1.4700000000000001E-2</v>
      </c>
      <c r="Y68" s="26">
        <f>(('Mitigation drivers'!T185*LagoonN2O)+('Mitigation drivers'!T186*LiquidN2O)+('Mitigation drivers'!T187*DrylotN2O)+('Mitigation drivers'!T188*SolidStorageN2O)+('Mitigation drivers'!T189*DailyspreadN2O)+('Mitigation drivers'!T190*CompostN2O)+('Mitigation drivers'!T191*ManwithbedN2O)+('Mitigation drivers'!T192*PMwithoutlitterN2O)+('Mitigation drivers'!T193*PMwithlitterN2O)+('Mitigation drivers'!T195*DigesterN2OEF))/100</f>
        <v>1.4700000000000001E-2</v>
      </c>
      <c r="Z68" s="26">
        <f>(('Mitigation drivers'!U185*LagoonN2O)+('Mitigation drivers'!U186*LiquidN2O)+('Mitigation drivers'!U187*DrylotN2O)+('Mitigation drivers'!U188*SolidStorageN2O)+('Mitigation drivers'!U189*DailyspreadN2O)+('Mitigation drivers'!U190*CompostN2O)+('Mitigation drivers'!U191*ManwithbedN2O)+('Mitigation drivers'!U192*PMwithoutlitterN2O)+('Mitigation drivers'!U193*PMwithlitterN2O)+('Mitigation drivers'!U195*DigesterN2OEF))/100</f>
        <v>1.4700000000000001E-2</v>
      </c>
      <c r="AA68" s="26">
        <f>(('Mitigation drivers'!V185*LagoonN2O)+('Mitigation drivers'!V186*LiquidN2O)+('Mitigation drivers'!V187*DrylotN2O)+('Mitigation drivers'!V188*SolidStorageN2O)+('Mitigation drivers'!V189*DailyspreadN2O)+('Mitigation drivers'!V190*CompostN2O)+('Mitigation drivers'!V191*ManwithbedN2O)+('Mitigation drivers'!V192*PMwithoutlitterN2O)+('Mitigation drivers'!V193*PMwithlitterN2O)+('Mitigation drivers'!V195*DigesterN2OEF))/100</f>
        <v>1.4700000000000001E-2</v>
      </c>
      <c r="AB68" s="26">
        <f>(('Mitigation drivers'!W185*LagoonN2O)+('Mitigation drivers'!W186*LiquidN2O)+('Mitigation drivers'!W187*DrylotN2O)+('Mitigation drivers'!W188*SolidStorageN2O)+('Mitigation drivers'!W189*DailyspreadN2O)+('Mitigation drivers'!W190*CompostN2O)+('Mitigation drivers'!W191*ManwithbedN2O)+('Mitigation drivers'!W192*PMwithoutlitterN2O)+('Mitigation drivers'!W193*PMwithlitterN2O)+('Mitigation drivers'!W195*DigesterN2OEF))/100</f>
        <v>1.4700000000000001E-2</v>
      </c>
      <c r="AC68" s="26">
        <f>(('Mitigation drivers'!X185*LagoonN2O)+('Mitigation drivers'!X186*LiquidN2O)+('Mitigation drivers'!X187*DrylotN2O)+('Mitigation drivers'!X188*SolidStorageN2O)+('Mitigation drivers'!X189*DailyspreadN2O)+('Mitigation drivers'!X190*CompostN2O)+('Mitigation drivers'!X191*ManwithbedN2O)+('Mitigation drivers'!X192*PMwithoutlitterN2O)+('Mitigation drivers'!X193*PMwithlitterN2O)+('Mitigation drivers'!X195*DigesterN2OEF))/100</f>
        <v>1.4700000000000001E-2</v>
      </c>
      <c r="AD68" s="26">
        <f>(('Mitigation drivers'!Y185*LagoonN2O)+('Mitigation drivers'!Y186*LiquidN2O)+('Mitigation drivers'!Y187*DrylotN2O)+('Mitigation drivers'!Y188*SolidStorageN2O)+('Mitigation drivers'!Y189*DailyspreadN2O)+('Mitigation drivers'!Y190*CompostN2O)+('Mitigation drivers'!Y191*ManwithbedN2O)+('Mitigation drivers'!Y192*PMwithoutlitterN2O)+('Mitigation drivers'!Y193*PMwithlitterN2O)+('Mitigation drivers'!Y195*DigesterN2OEF))/100</f>
        <v>1.4700000000000001E-2</v>
      </c>
      <c r="AE68" s="26">
        <f>(('Mitigation drivers'!Z185*LagoonN2O)+('Mitigation drivers'!Z186*LiquidN2O)+('Mitigation drivers'!Z187*DrylotN2O)+('Mitigation drivers'!Z188*SolidStorageN2O)+('Mitigation drivers'!Z189*DailyspreadN2O)+('Mitigation drivers'!Z190*CompostN2O)+('Mitigation drivers'!Z191*ManwithbedN2O)+('Mitigation drivers'!Z192*PMwithoutlitterN2O)+('Mitigation drivers'!Z193*PMwithlitterN2O)+('Mitigation drivers'!Z195*DigesterN2OEF))/100</f>
        <v>1.4700000000000001E-2</v>
      </c>
      <c r="AF68" s="26">
        <f>(('Mitigation drivers'!AA185*LagoonN2O)+('Mitigation drivers'!AA186*LiquidN2O)+('Mitigation drivers'!AA187*DrylotN2O)+('Mitigation drivers'!AA188*SolidStorageN2O)+('Mitigation drivers'!AA189*DailyspreadN2O)+('Mitigation drivers'!AA190*CompostN2O)+('Mitigation drivers'!AA191*ManwithbedN2O)+('Mitigation drivers'!AA192*PMwithoutlitterN2O)+('Mitigation drivers'!AA193*PMwithlitterN2O)+('Mitigation drivers'!AA195*DigesterN2OEF))/100</f>
        <v>1.4700000000000001E-2</v>
      </c>
      <c r="AG68" s="26">
        <f>(('Mitigation drivers'!AB185*LagoonN2O)+('Mitigation drivers'!AB186*LiquidN2O)+('Mitigation drivers'!AB187*DrylotN2O)+('Mitigation drivers'!AB188*SolidStorageN2O)+('Mitigation drivers'!AB189*DailyspreadN2O)+('Mitigation drivers'!AB190*CompostN2O)+('Mitigation drivers'!AB191*ManwithbedN2O)+('Mitigation drivers'!AB192*PMwithoutlitterN2O)+('Mitigation drivers'!AB193*PMwithlitterN2O)+('Mitigation drivers'!AB195*DigesterN2OEF))/100</f>
        <v>1.4700000000000001E-2</v>
      </c>
      <c r="AH68" s="26">
        <f>(('Mitigation drivers'!AC185*LagoonN2O)+('Mitigation drivers'!AC186*LiquidN2O)+('Mitigation drivers'!AC187*DrylotN2O)+('Mitigation drivers'!AC188*SolidStorageN2O)+('Mitigation drivers'!AC189*DailyspreadN2O)+('Mitigation drivers'!AC190*CompostN2O)+('Mitigation drivers'!AC191*ManwithbedN2O)+('Mitigation drivers'!AC192*PMwithoutlitterN2O)+('Mitigation drivers'!AC193*PMwithlitterN2O)+('Mitigation drivers'!AC195*DigesterN2OEF))/100</f>
        <v>1.4700000000000001E-2</v>
      </c>
      <c r="AI68" s="26">
        <f>(('Mitigation drivers'!AD185*LagoonN2O)+('Mitigation drivers'!AD186*LiquidN2O)+('Mitigation drivers'!AD187*DrylotN2O)+('Mitigation drivers'!AD188*SolidStorageN2O)+('Mitigation drivers'!AD189*DailyspreadN2O)+('Mitigation drivers'!AD190*CompostN2O)+('Mitigation drivers'!AD191*ManwithbedN2O)+('Mitigation drivers'!AD192*PMwithoutlitterN2O)+('Mitigation drivers'!AD193*PMwithlitterN2O)+('Mitigation drivers'!AD195*DigesterN2OEF))/100</f>
        <v>1.4700000000000001E-2</v>
      </c>
      <c r="AJ68" s="26">
        <f>(('Mitigation drivers'!AE185*LagoonN2O)+('Mitigation drivers'!AE186*LiquidN2O)+('Mitigation drivers'!AE187*DrylotN2O)+('Mitigation drivers'!AE188*SolidStorageN2O)+('Mitigation drivers'!AE189*DailyspreadN2O)+('Mitigation drivers'!AE190*CompostN2O)+('Mitigation drivers'!AE191*ManwithbedN2O)+('Mitigation drivers'!AE192*PMwithoutlitterN2O)+('Mitigation drivers'!AE193*PMwithlitterN2O)+('Mitigation drivers'!AE195*DigesterN2OEF))/100</f>
        <v>1.4700000000000001E-2</v>
      </c>
      <c r="AK68" s="26">
        <f>(('Mitigation drivers'!AF185*LagoonN2O)+('Mitigation drivers'!AF186*LiquidN2O)+('Mitigation drivers'!AF187*DrylotN2O)+('Mitigation drivers'!AF188*SolidStorageN2O)+('Mitigation drivers'!AF189*DailyspreadN2O)+('Mitigation drivers'!AF190*CompostN2O)+('Mitigation drivers'!AF191*ManwithbedN2O)+('Mitigation drivers'!AF192*PMwithoutlitterN2O)+('Mitigation drivers'!AF193*PMwithlitterN2O)+('Mitigation drivers'!AF195*DigesterN2OEF))/100</f>
        <v>1.4700000000000001E-2</v>
      </c>
      <c r="AL68" s="26">
        <f>(('Mitigation drivers'!AG185*LagoonN2O)+('Mitigation drivers'!AG186*LiquidN2O)+('Mitigation drivers'!AG187*DrylotN2O)+('Mitigation drivers'!AG188*SolidStorageN2O)+('Mitigation drivers'!AG189*DailyspreadN2O)+('Mitigation drivers'!AG190*CompostN2O)+('Mitigation drivers'!AG191*ManwithbedN2O)+('Mitigation drivers'!AG192*PMwithoutlitterN2O)+('Mitigation drivers'!AG193*PMwithlitterN2O)+('Mitigation drivers'!AG195*DigesterN2OEF))/100</f>
        <v>1.4700000000000001E-2</v>
      </c>
      <c r="AM68" s="26">
        <f>(('Mitigation drivers'!AH185*LagoonN2O)+('Mitigation drivers'!AH186*LiquidN2O)+('Mitigation drivers'!AH187*DrylotN2O)+('Mitigation drivers'!AH188*SolidStorageN2O)+('Mitigation drivers'!AH189*DailyspreadN2O)+('Mitigation drivers'!AH190*CompostN2O)+('Mitigation drivers'!AH191*ManwithbedN2O)+('Mitigation drivers'!AH192*PMwithoutlitterN2O)+('Mitigation drivers'!AH193*PMwithlitterN2O)+('Mitigation drivers'!AH195*DigesterN2OEF))/100</f>
        <v>1.4700000000000001E-2</v>
      </c>
      <c r="AN68" s="26">
        <f>(('Mitigation drivers'!AI185*LagoonN2O)+('Mitigation drivers'!AI186*LiquidN2O)+('Mitigation drivers'!AI187*DrylotN2O)+('Mitigation drivers'!AI188*SolidStorageN2O)+('Mitigation drivers'!AI189*DailyspreadN2O)+('Mitigation drivers'!AI190*CompostN2O)+('Mitigation drivers'!AI191*ManwithbedN2O)+('Mitigation drivers'!AI192*PMwithoutlitterN2O)+('Mitigation drivers'!AI193*PMwithlitterN2O)+('Mitigation drivers'!AI195*DigesterN2OEF))/100</f>
        <v>1.4700000000000001E-2</v>
      </c>
      <c r="AO68" s="26">
        <f>(('Mitigation drivers'!AJ185*LagoonN2O)+('Mitigation drivers'!AJ186*LiquidN2O)+('Mitigation drivers'!AJ187*DrylotN2O)+('Mitigation drivers'!AJ188*SolidStorageN2O)+('Mitigation drivers'!AJ189*DailyspreadN2O)+('Mitigation drivers'!AJ190*CompostN2O)+('Mitigation drivers'!AJ191*ManwithbedN2O)+('Mitigation drivers'!AJ192*PMwithoutlitterN2O)+('Mitigation drivers'!AJ193*PMwithlitterN2O)+('Mitigation drivers'!AJ195*DigesterN2OEF))/100</f>
        <v>1.4700000000000001E-2</v>
      </c>
    </row>
    <row r="69" spans="1:41" x14ac:dyDescent="0.25">
      <c r="A69" t="str">
        <f t="shared" si="1"/>
        <v>3A Livestock</v>
      </c>
      <c r="B69" t="str">
        <f t="shared" si="8"/>
        <v>3A2 Manure management (N2O)</v>
      </c>
      <c r="C69" t="str">
        <f>'Activity data'!C20</f>
        <v>3A2i Poultry</v>
      </c>
      <c r="D69" t="str">
        <f>'Activity data'!D20</f>
        <v>Commercial broilers</v>
      </c>
      <c r="E69" t="str">
        <f t="shared" si="27"/>
        <v>Manure management EF</v>
      </c>
      <c r="F69" t="str">
        <f t="shared" si="28"/>
        <v>N2O</v>
      </c>
      <c r="G69" t="str">
        <f t="shared" si="29"/>
        <v>kg N2O-N/kg Nex</v>
      </c>
      <c r="H69" s="26">
        <f>(('Mitigation drivers'!C197*LagoonN2O)+('Mitigation drivers'!C198*LiquidN2O)+('Mitigation drivers'!C199*DrylotN2O)+('Mitigation drivers'!C200*SolidStorageN2O)+('Mitigation drivers'!C201*DailyspreadN2O)+('Mitigation drivers'!C202*CompostN2O)+('Mitigation drivers'!C203*ManwithbedN2O)+('Mitigation drivers'!C204*PMwithoutlitterN2O)+('Mitigation drivers'!C205*PMwithlitterN2O)+('Mitigation drivers'!C207*DigesterN2OEF))/100</f>
        <v>1.6449999999999999E-2</v>
      </c>
      <c r="I69" s="26">
        <f>(('Mitigation drivers'!D197*LagoonN2O)+('Mitigation drivers'!D198*LiquidN2O)+('Mitigation drivers'!D199*DrylotN2O)+('Mitigation drivers'!D200*SolidStorageN2O)+('Mitigation drivers'!D201*DailyspreadN2O)+('Mitigation drivers'!D202*CompostN2O)+('Mitigation drivers'!D203*ManwithbedN2O)+('Mitigation drivers'!D204*PMwithoutlitterN2O)+('Mitigation drivers'!D205*PMwithlitterN2O)+('Mitigation drivers'!D207*DigesterN2OEF))/100</f>
        <v>1.6449999999999999E-2</v>
      </c>
      <c r="J69" s="26">
        <f>(('Mitigation drivers'!E197*LagoonN2O)+('Mitigation drivers'!E198*LiquidN2O)+('Mitigation drivers'!E199*DrylotN2O)+('Mitigation drivers'!E200*SolidStorageN2O)+('Mitigation drivers'!E201*DailyspreadN2O)+('Mitigation drivers'!E202*CompostN2O)+('Mitigation drivers'!E203*ManwithbedN2O)+('Mitigation drivers'!E204*PMwithoutlitterN2O)+('Mitigation drivers'!E205*PMwithlitterN2O)+('Mitigation drivers'!E207*DigesterN2OEF))/100</f>
        <v>1.6449999999999999E-2</v>
      </c>
      <c r="K69" s="26">
        <f>(('Mitigation drivers'!F197*LagoonN2O)+('Mitigation drivers'!F198*LiquidN2O)+('Mitigation drivers'!F199*DrylotN2O)+('Mitigation drivers'!F200*SolidStorageN2O)+('Mitigation drivers'!F201*DailyspreadN2O)+('Mitigation drivers'!F202*CompostN2O)+('Mitigation drivers'!F203*ManwithbedN2O)+('Mitigation drivers'!F204*PMwithoutlitterN2O)+('Mitigation drivers'!F205*PMwithlitterN2O)+('Mitigation drivers'!F207*DigesterN2OEF))/100</f>
        <v>1.6449999999999999E-2</v>
      </c>
      <c r="L69" s="26">
        <f>(('Mitigation drivers'!G197*LagoonN2O)+('Mitigation drivers'!G198*LiquidN2O)+('Mitigation drivers'!G199*DrylotN2O)+('Mitigation drivers'!G200*SolidStorageN2O)+('Mitigation drivers'!G201*DailyspreadN2O)+('Mitigation drivers'!G202*CompostN2O)+('Mitigation drivers'!G203*ManwithbedN2O)+('Mitigation drivers'!G204*PMwithoutlitterN2O)+('Mitigation drivers'!G205*PMwithlitterN2O)+('Mitigation drivers'!G207*DigesterN2OEF))/100</f>
        <v>1.6449999999999999E-2</v>
      </c>
      <c r="M69" s="26">
        <f>(('Mitigation drivers'!H197*LagoonN2O)+('Mitigation drivers'!H198*LiquidN2O)+('Mitigation drivers'!H199*DrylotN2O)+('Mitigation drivers'!H200*SolidStorageN2O)+('Mitigation drivers'!H201*DailyspreadN2O)+('Mitigation drivers'!H202*CompostN2O)+('Mitigation drivers'!H203*ManwithbedN2O)+('Mitigation drivers'!H204*PMwithoutlitterN2O)+('Mitigation drivers'!H205*PMwithlitterN2O)+('Mitigation drivers'!H207*DigesterN2OEF))/100</f>
        <v>1.6449999999999999E-2</v>
      </c>
      <c r="N69" s="26">
        <f>(('Mitigation drivers'!I197*LagoonN2O)+('Mitigation drivers'!I198*LiquidN2O)+('Mitigation drivers'!I199*DrylotN2O)+('Mitigation drivers'!I200*SolidStorageN2O)+('Mitigation drivers'!I201*DailyspreadN2O)+('Mitigation drivers'!I202*CompostN2O)+('Mitigation drivers'!I203*ManwithbedN2O)+('Mitigation drivers'!I204*PMwithoutlitterN2O)+('Mitigation drivers'!I205*PMwithlitterN2O)+('Mitigation drivers'!I207*DigesterN2OEF))/100</f>
        <v>1.6449999999999999E-2</v>
      </c>
      <c r="O69" s="26">
        <f>(('Mitigation drivers'!J197*LagoonN2O)+('Mitigation drivers'!J198*LiquidN2O)+('Mitigation drivers'!J199*DrylotN2O)+('Mitigation drivers'!J200*SolidStorageN2O)+('Mitigation drivers'!J201*DailyspreadN2O)+('Mitigation drivers'!J202*CompostN2O)+('Mitigation drivers'!J203*ManwithbedN2O)+('Mitigation drivers'!J204*PMwithoutlitterN2O)+('Mitigation drivers'!J205*PMwithlitterN2O)+('Mitigation drivers'!J207*DigesterN2OEF))/100</f>
        <v>1.6449999999999999E-2</v>
      </c>
      <c r="P69" s="26">
        <f>(('Mitigation drivers'!K197*LagoonN2O)+('Mitigation drivers'!K198*LiquidN2O)+('Mitigation drivers'!K199*DrylotN2O)+('Mitigation drivers'!K200*SolidStorageN2O)+('Mitigation drivers'!K201*DailyspreadN2O)+('Mitigation drivers'!K202*CompostN2O)+('Mitigation drivers'!K203*ManwithbedN2O)+('Mitigation drivers'!K204*PMwithoutlitterN2O)+('Mitigation drivers'!K205*PMwithlitterN2O)+('Mitigation drivers'!K207*DigesterN2OEF))/100</f>
        <v>1.6449999999999999E-2</v>
      </c>
      <c r="Q69" s="26">
        <f>(('Mitigation drivers'!L197*LagoonN2O)+('Mitigation drivers'!L198*LiquidN2O)+('Mitigation drivers'!L199*DrylotN2O)+('Mitigation drivers'!L200*SolidStorageN2O)+('Mitigation drivers'!L201*DailyspreadN2O)+('Mitigation drivers'!L202*CompostN2O)+('Mitigation drivers'!L203*ManwithbedN2O)+('Mitigation drivers'!L204*PMwithoutlitterN2O)+('Mitigation drivers'!L205*PMwithlitterN2O)+('Mitigation drivers'!L207*DigesterN2OEF))/100</f>
        <v>1.6449999999999999E-2</v>
      </c>
      <c r="R69" s="26">
        <f>(('Mitigation drivers'!M197*LagoonN2O)+('Mitigation drivers'!M198*LiquidN2O)+('Mitigation drivers'!M199*DrylotN2O)+('Mitigation drivers'!M200*SolidStorageN2O)+('Mitigation drivers'!M201*DailyspreadN2O)+('Mitigation drivers'!M202*CompostN2O)+('Mitigation drivers'!M203*ManwithbedN2O)+('Mitigation drivers'!M204*PMwithoutlitterN2O)+('Mitigation drivers'!M205*PMwithlitterN2O)+('Mitigation drivers'!M207*DigesterN2OEF))/100</f>
        <v>1.6449999999999999E-2</v>
      </c>
      <c r="S69" s="26">
        <f>(('Mitigation drivers'!N197*LagoonN2O)+('Mitigation drivers'!N198*LiquidN2O)+('Mitigation drivers'!N199*DrylotN2O)+('Mitigation drivers'!N200*SolidStorageN2O)+('Mitigation drivers'!N201*DailyspreadN2O)+('Mitigation drivers'!N202*CompostN2O)+('Mitigation drivers'!N203*ManwithbedN2O)+('Mitigation drivers'!N204*PMwithoutlitterN2O)+('Mitigation drivers'!N205*PMwithlitterN2O)+('Mitigation drivers'!N207*DigesterN2OEF))/100</f>
        <v>1.6449999999999999E-2</v>
      </c>
      <c r="T69" s="26">
        <f>(('Mitigation drivers'!O197*LagoonN2O)+('Mitigation drivers'!O198*LiquidN2O)+('Mitigation drivers'!O199*DrylotN2O)+('Mitigation drivers'!O200*SolidStorageN2O)+('Mitigation drivers'!O201*DailyspreadN2O)+('Mitigation drivers'!O202*CompostN2O)+('Mitigation drivers'!O203*ManwithbedN2O)+('Mitigation drivers'!O204*PMwithoutlitterN2O)+('Mitigation drivers'!O205*PMwithlitterN2O)+('Mitigation drivers'!O207*DigesterN2OEF))/100</f>
        <v>1.6449999999999999E-2</v>
      </c>
      <c r="U69" s="26">
        <f>(('Mitigation drivers'!P197*LagoonN2O)+('Mitigation drivers'!P198*LiquidN2O)+('Mitigation drivers'!P199*DrylotN2O)+('Mitigation drivers'!P200*SolidStorageN2O)+('Mitigation drivers'!P201*DailyspreadN2O)+('Mitigation drivers'!P202*CompostN2O)+('Mitigation drivers'!P203*ManwithbedN2O)+('Mitigation drivers'!P204*PMwithoutlitterN2O)+('Mitigation drivers'!P205*PMwithlitterN2O)+('Mitigation drivers'!P207*DigesterN2OEF))/100</f>
        <v>1.6449999999999999E-2</v>
      </c>
      <c r="V69" s="26">
        <f>(('Mitigation drivers'!Q197*LagoonN2O)+('Mitigation drivers'!Q198*LiquidN2O)+('Mitigation drivers'!Q199*DrylotN2O)+('Mitigation drivers'!Q200*SolidStorageN2O)+('Mitigation drivers'!Q201*DailyspreadN2O)+('Mitigation drivers'!Q202*CompostN2O)+('Mitigation drivers'!Q203*ManwithbedN2O)+('Mitigation drivers'!Q204*PMwithoutlitterN2O)+('Mitigation drivers'!Q205*PMwithlitterN2O)+('Mitigation drivers'!Q207*DigesterN2OEF))/100</f>
        <v>1.6449999999999999E-2</v>
      </c>
      <c r="W69" s="26">
        <f>(('Mitigation drivers'!R197*LagoonN2O)+('Mitigation drivers'!R198*LiquidN2O)+('Mitigation drivers'!R199*DrylotN2O)+('Mitigation drivers'!R200*SolidStorageN2O)+('Mitigation drivers'!R201*DailyspreadN2O)+('Mitigation drivers'!R202*CompostN2O)+('Mitigation drivers'!R203*ManwithbedN2O)+('Mitigation drivers'!R204*PMwithoutlitterN2O)+('Mitigation drivers'!R205*PMwithlitterN2O)+('Mitigation drivers'!R207*DigesterN2OEF))/100</f>
        <v>1.6449999999999999E-2</v>
      </c>
      <c r="X69" s="26">
        <f>(('Mitigation drivers'!S197*LagoonN2O)+('Mitigation drivers'!S198*LiquidN2O)+('Mitigation drivers'!S199*DrylotN2O)+('Mitigation drivers'!S200*SolidStorageN2O)+('Mitigation drivers'!S201*DailyspreadN2O)+('Mitigation drivers'!S202*CompostN2O)+('Mitigation drivers'!S203*ManwithbedN2O)+('Mitigation drivers'!S204*PMwithoutlitterN2O)+('Mitigation drivers'!S205*PMwithlitterN2O)+('Mitigation drivers'!S207*DigesterN2OEF))/100</f>
        <v>1.6449999999999999E-2</v>
      </c>
      <c r="Y69" s="26">
        <f>(('Mitigation drivers'!T197*LagoonN2O)+('Mitigation drivers'!T198*LiquidN2O)+('Mitigation drivers'!T199*DrylotN2O)+('Mitigation drivers'!T200*SolidStorageN2O)+('Mitigation drivers'!T201*DailyspreadN2O)+('Mitigation drivers'!T202*CompostN2O)+('Mitigation drivers'!T203*ManwithbedN2O)+('Mitigation drivers'!T204*PMwithoutlitterN2O)+('Mitigation drivers'!T205*PMwithlitterN2O)+('Mitigation drivers'!T207*DigesterN2OEF))/100</f>
        <v>1.6449999999999999E-2</v>
      </c>
      <c r="Z69" s="26">
        <f>(('Mitigation drivers'!U197*LagoonN2O)+('Mitigation drivers'!U198*LiquidN2O)+('Mitigation drivers'!U199*DrylotN2O)+('Mitigation drivers'!U200*SolidStorageN2O)+('Mitigation drivers'!U201*DailyspreadN2O)+('Mitigation drivers'!U202*CompostN2O)+('Mitigation drivers'!U203*ManwithbedN2O)+('Mitigation drivers'!U204*PMwithoutlitterN2O)+('Mitigation drivers'!U205*PMwithlitterN2O)+('Mitigation drivers'!U207*DigesterN2OEF))/100</f>
        <v>1.6449999999999999E-2</v>
      </c>
      <c r="AA69" s="26">
        <f>(('Mitigation drivers'!V197*LagoonN2O)+('Mitigation drivers'!V198*LiquidN2O)+('Mitigation drivers'!V199*DrylotN2O)+('Mitigation drivers'!V200*SolidStorageN2O)+('Mitigation drivers'!V201*DailyspreadN2O)+('Mitigation drivers'!V202*CompostN2O)+('Mitigation drivers'!V203*ManwithbedN2O)+('Mitigation drivers'!V204*PMwithoutlitterN2O)+('Mitigation drivers'!V205*PMwithlitterN2O)+('Mitigation drivers'!V207*DigesterN2OEF))/100</f>
        <v>1.6449999999999999E-2</v>
      </c>
      <c r="AB69" s="26">
        <f>(('Mitigation drivers'!W197*LagoonN2O)+('Mitigation drivers'!W198*LiquidN2O)+('Mitigation drivers'!W199*DrylotN2O)+('Mitigation drivers'!W200*SolidStorageN2O)+('Mitigation drivers'!W201*DailyspreadN2O)+('Mitigation drivers'!W202*CompostN2O)+('Mitigation drivers'!W203*ManwithbedN2O)+('Mitigation drivers'!W204*PMwithoutlitterN2O)+('Mitigation drivers'!W205*PMwithlitterN2O)+('Mitigation drivers'!W207*DigesterN2OEF))/100</f>
        <v>1.6449999999999999E-2</v>
      </c>
      <c r="AC69" s="26">
        <f>(('Mitigation drivers'!X197*LagoonN2O)+('Mitigation drivers'!X198*LiquidN2O)+('Mitigation drivers'!X199*DrylotN2O)+('Mitigation drivers'!X200*SolidStorageN2O)+('Mitigation drivers'!X201*DailyspreadN2O)+('Mitigation drivers'!X202*CompostN2O)+('Mitigation drivers'!X203*ManwithbedN2O)+('Mitigation drivers'!X204*PMwithoutlitterN2O)+('Mitigation drivers'!X205*PMwithlitterN2O)+('Mitigation drivers'!X207*DigesterN2OEF))/100</f>
        <v>1.6449999999999999E-2</v>
      </c>
      <c r="AD69" s="26">
        <f>(('Mitigation drivers'!Y197*LagoonN2O)+('Mitigation drivers'!Y198*LiquidN2O)+('Mitigation drivers'!Y199*DrylotN2O)+('Mitigation drivers'!Y200*SolidStorageN2O)+('Mitigation drivers'!Y201*DailyspreadN2O)+('Mitigation drivers'!Y202*CompostN2O)+('Mitigation drivers'!Y203*ManwithbedN2O)+('Mitigation drivers'!Y204*PMwithoutlitterN2O)+('Mitigation drivers'!Y205*PMwithlitterN2O)+('Mitigation drivers'!Y207*DigesterN2OEF))/100</f>
        <v>1.6449999999999999E-2</v>
      </c>
      <c r="AE69" s="26">
        <f>(('Mitigation drivers'!Z197*LagoonN2O)+('Mitigation drivers'!Z198*LiquidN2O)+('Mitigation drivers'!Z199*DrylotN2O)+('Mitigation drivers'!Z200*SolidStorageN2O)+('Mitigation drivers'!Z201*DailyspreadN2O)+('Mitigation drivers'!Z202*CompostN2O)+('Mitigation drivers'!Z203*ManwithbedN2O)+('Mitigation drivers'!Z204*PMwithoutlitterN2O)+('Mitigation drivers'!Z205*PMwithlitterN2O)+('Mitigation drivers'!Z207*DigesterN2OEF))/100</f>
        <v>1.6449999999999999E-2</v>
      </c>
      <c r="AF69" s="26">
        <f>(('Mitigation drivers'!AA197*LagoonN2O)+('Mitigation drivers'!AA198*LiquidN2O)+('Mitigation drivers'!AA199*DrylotN2O)+('Mitigation drivers'!AA200*SolidStorageN2O)+('Mitigation drivers'!AA201*DailyspreadN2O)+('Mitigation drivers'!AA202*CompostN2O)+('Mitigation drivers'!AA203*ManwithbedN2O)+('Mitigation drivers'!AA204*PMwithoutlitterN2O)+('Mitigation drivers'!AA205*PMwithlitterN2O)+('Mitigation drivers'!AA207*DigesterN2OEF))/100</f>
        <v>1.6449999999999999E-2</v>
      </c>
      <c r="AG69" s="26">
        <f>(('Mitigation drivers'!AB197*LagoonN2O)+('Mitigation drivers'!AB198*LiquidN2O)+('Mitigation drivers'!AB199*DrylotN2O)+('Mitigation drivers'!AB200*SolidStorageN2O)+('Mitigation drivers'!AB201*DailyspreadN2O)+('Mitigation drivers'!AB202*CompostN2O)+('Mitigation drivers'!AB203*ManwithbedN2O)+('Mitigation drivers'!AB204*PMwithoutlitterN2O)+('Mitigation drivers'!AB205*PMwithlitterN2O)+('Mitigation drivers'!AB207*DigesterN2OEF))/100</f>
        <v>1.6449999999999999E-2</v>
      </c>
      <c r="AH69" s="26">
        <f>(('Mitigation drivers'!AC197*LagoonN2O)+('Mitigation drivers'!AC198*LiquidN2O)+('Mitigation drivers'!AC199*DrylotN2O)+('Mitigation drivers'!AC200*SolidStorageN2O)+('Mitigation drivers'!AC201*DailyspreadN2O)+('Mitigation drivers'!AC202*CompostN2O)+('Mitigation drivers'!AC203*ManwithbedN2O)+('Mitigation drivers'!AC204*PMwithoutlitterN2O)+('Mitigation drivers'!AC205*PMwithlitterN2O)+('Mitigation drivers'!AC207*DigesterN2OEF))/100</f>
        <v>1.6449999999999999E-2</v>
      </c>
      <c r="AI69" s="26">
        <f>(('Mitigation drivers'!AD197*LagoonN2O)+('Mitigation drivers'!AD198*LiquidN2O)+('Mitigation drivers'!AD199*DrylotN2O)+('Mitigation drivers'!AD200*SolidStorageN2O)+('Mitigation drivers'!AD201*DailyspreadN2O)+('Mitigation drivers'!AD202*CompostN2O)+('Mitigation drivers'!AD203*ManwithbedN2O)+('Mitigation drivers'!AD204*PMwithoutlitterN2O)+('Mitigation drivers'!AD205*PMwithlitterN2O)+('Mitigation drivers'!AD207*DigesterN2OEF))/100</f>
        <v>1.6449999999999999E-2</v>
      </c>
      <c r="AJ69" s="26">
        <f>(('Mitigation drivers'!AE197*LagoonN2O)+('Mitigation drivers'!AE198*LiquidN2O)+('Mitigation drivers'!AE199*DrylotN2O)+('Mitigation drivers'!AE200*SolidStorageN2O)+('Mitigation drivers'!AE201*DailyspreadN2O)+('Mitigation drivers'!AE202*CompostN2O)+('Mitigation drivers'!AE203*ManwithbedN2O)+('Mitigation drivers'!AE204*PMwithoutlitterN2O)+('Mitigation drivers'!AE205*PMwithlitterN2O)+('Mitigation drivers'!AE207*DigesterN2OEF))/100</f>
        <v>1.6449999999999999E-2</v>
      </c>
      <c r="AK69" s="26">
        <f>(('Mitigation drivers'!AF197*LagoonN2O)+('Mitigation drivers'!AF198*LiquidN2O)+('Mitigation drivers'!AF199*DrylotN2O)+('Mitigation drivers'!AF200*SolidStorageN2O)+('Mitigation drivers'!AF201*DailyspreadN2O)+('Mitigation drivers'!AF202*CompostN2O)+('Mitigation drivers'!AF203*ManwithbedN2O)+('Mitigation drivers'!AF204*PMwithoutlitterN2O)+('Mitigation drivers'!AF205*PMwithlitterN2O)+('Mitigation drivers'!AF207*DigesterN2OEF))/100</f>
        <v>1.6449999999999999E-2</v>
      </c>
      <c r="AL69" s="26">
        <f>(('Mitigation drivers'!AG197*LagoonN2O)+('Mitigation drivers'!AG198*LiquidN2O)+('Mitigation drivers'!AG199*DrylotN2O)+('Mitigation drivers'!AG200*SolidStorageN2O)+('Mitigation drivers'!AG201*DailyspreadN2O)+('Mitigation drivers'!AG202*CompostN2O)+('Mitigation drivers'!AG203*ManwithbedN2O)+('Mitigation drivers'!AG204*PMwithoutlitterN2O)+('Mitigation drivers'!AG205*PMwithlitterN2O)+('Mitigation drivers'!AG207*DigesterN2OEF))/100</f>
        <v>1.6449999999999999E-2</v>
      </c>
      <c r="AM69" s="26">
        <f>(('Mitigation drivers'!AH197*LagoonN2O)+('Mitigation drivers'!AH198*LiquidN2O)+('Mitigation drivers'!AH199*DrylotN2O)+('Mitigation drivers'!AH200*SolidStorageN2O)+('Mitigation drivers'!AH201*DailyspreadN2O)+('Mitigation drivers'!AH202*CompostN2O)+('Mitigation drivers'!AH203*ManwithbedN2O)+('Mitigation drivers'!AH204*PMwithoutlitterN2O)+('Mitigation drivers'!AH205*PMwithlitterN2O)+('Mitigation drivers'!AH207*DigesterN2OEF))/100</f>
        <v>1.6449999999999999E-2</v>
      </c>
      <c r="AN69" s="26">
        <f>(('Mitigation drivers'!AI197*LagoonN2O)+('Mitigation drivers'!AI198*LiquidN2O)+('Mitigation drivers'!AI199*DrylotN2O)+('Mitigation drivers'!AI200*SolidStorageN2O)+('Mitigation drivers'!AI201*DailyspreadN2O)+('Mitigation drivers'!AI202*CompostN2O)+('Mitigation drivers'!AI203*ManwithbedN2O)+('Mitigation drivers'!AI204*PMwithoutlitterN2O)+('Mitigation drivers'!AI205*PMwithlitterN2O)+('Mitigation drivers'!AI207*DigesterN2OEF))/100</f>
        <v>1.6449999999999999E-2</v>
      </c>
      <c r="AO69" s="26">
        <f>(('Mitigation drivers'!AJ197*LagoonN2O)+('Mitigation drivers'!AJ198*LiquidN2O)+('Mitigation drivers'!AJ199*DrylotN2O)+('Mitigation drivers'!AJ200*SolidStorageN2O)+('Mitigation drivers'!AJ201*DailyspreadN2O)+('Mitigation drivers'!AJ202*CompostN2O)+('Mitigation drivers'!AJ203*ManwithbedN2O)+('Mitigation drivers'!AJ204*PMwithoutlitterN2O)+('Mitigation drivers'!AJ205*PMwithlitterN2O)+('Mitigation drivers'!AJ207*DigesterN2OEF))/100</f>
        <v>1.6449999999999999E-2</v>
      </c>
    </row>
    <row r="70" spans="1:41" x14ac:dyDescent="0.25">
      <c r="A70" t="str">
        <f t="shared" ref="A70:A71" si="30">A69</f>
        <v>3A Livestock</v>
      </c>
      <c r="B70" t="str">
        <f t="shared" si="8"/>
        <v>3A2 Manure management (N2O)</v>
      </c>
      <c r="C70" t="str">
        <f>'Activity data'!C21</f>
        <v>3A2i Poultry</v>
      </c>
      <c r="D70" t="str">
        <f>'Activity data'!D21</f>
        <v>Subsistence layers</v>
      </c>
      <c r="E70" t="str">
        <f t="shared" si="27"/>
        <v>Manure management EF</v>
      </c>
      <c r="F70" t="str">
        <f t="shared" si="28"/>
        <v>N2O</v>
      </c>
      <c r="G70" t="str">
        <f t="shared" si="29"/>
        <v>kg N2O-N/kg Nex</v>
      </c>
      <c r="H70" s="26">
        <f>(('Mitigation drivers'!C209*LagoonN2O)+('Mitigation drivers'!C210*LiquidN2O)+('Mitigation drivers'!C211*DrylotN2O)+('Mitigation drivers'!C212*SolidStorageN2O)+('Mitigation drivers'!C213*DailyspreadN2O)+('Mitigation drivers'!C214*CompostN2O)+('Mitigation drivers'!C215*ManwithbedN2O)+('Mitigation drivers'!C216*PMwithoutlitterN2O)+('Mitigation drivers'!C217*PMwithlitterN2O)+('Mitigation drivers'!C219*DigesterN2OEF))/100</f>
        <v>1.4700000000000001E-2</v>
      </c>
      <c r="I70" s="26">
        <f>(('Mitigation drivers'!D209*LagoonN2O)+('Mitigation drivers'!D210*LiquidN2O)+('Mitigation drivers'!D211*DrylotN2O)+('Mitigation drivers'!D212*SolidStorageN2O)+('Mitigation drivers'!D213*DailyspreadN2O)+('Mitigation drivers'!D214*CompostN2O)+('Mitigation drivers'!D215*ManwithbedN2O)+('Mitigation drivers'!D216*PMwithoutlitterN2O)+('Mitigation drivers'!D217*PMwithlitterN2O)+('Mitigation drivers'!D219*DigesterN2OEF))/100</f>
        <v>1.4700000000000001E-2</v>
      </c>
      <c r="J70" s="26">
        <f>(('Mitigation drivers'!E209*LagoonN2O)+('Mitigation drivers'!E210*LiquidN2O)+('Mitigation drivers'!E211*DrylotN2O)+('Mitigation drivers'!E212*SolidStorageN2O)+('Mitigation drivers'!E213*DailyspreadN2O)+('Mitigation drivers'!E214*CompostN2O)+('Mitigation drivers'!E215*ManwithbedN2O)+('Mitigation drivers'!E216*PMwithoutlitterN2O)+('Mitigation drivers'!E217*PMwithlitterN2O)+('Mitigation drivers'!E219*DigesterN2OEF))/100</f>
        <v>1.4700000000000001E-2</v>
      </c>
      <c r="K70" s="26">
        <f>(('Mitigation drivers'!F209*LagoonN2O)+('Mitigation drivers'!F210*LiquidN2O)+('Mitigation drivers'!F211*DrylotN2O)+('Mitigation drivers'!F212*SolidStorageN2O)+('Mitigation drivers'!F213*DailyspreadN2O)+('Mitigation drivers'!F214*CompostN2O)+('Mitigation drivers'!F215*ManwithbedN2O)+('Mitigation drivers'!F216*PMwithoutlitterN2O)+('Mitigation drivers'!F217*PMwithlitterN2O)+('Mitigation drivers'!F219*DigesterN2OEF))/100</f>
        <v>1.4700000000000001E-2</v>
      </c>
      <c r="L70" s="26">
        <f>(('Mitigation drivers'!G209*LagoonN2O)+('Mitigation drivers'!G210*LiquidN2O)+('Mitigation drivers'!G211*DrylotN2O)+('Mitigation drivers'!G212*SolidStorageN2O)+('Mitigation drivers'!G213*DailyspreadN2O)+('Mitigation drivers'!G214*CompostN2O)+('Mitigation drivers'!G215*ManwithbedN2O)+('Mitigation drivers'!G216*PMwithoutlitterN2O)+('Mitigation drivers'!G217*PMwithlitterN2O)+('Mitigation drivers'!G219*DigesterN2OEF))/100</f>
        <v>1.4700000000000001E-2</v>
      </c>
      <c r="M70" s="26">
        <f>(('Mitigation drivers'!H209*LagoonN2O)+('Mitigation drivers'!H210*LiquidN2O)+('Mitigation drivers'!H211*DrylotN2O)+('Mitigation drivers'!H212*SolidStorageN2O)+('Mitigation drivers'!H213*DailyspreadN2O)+('Mitigation drivers'!H214*CompostN2O)+('Mitigation drivers'!H215*ManwithbedN2O)+('Mitigation drivers'!H216*PMwithoutlitterN2O)+('Mitigation drivers'!H217*PMwithlitterN2O)+('Mitigation drivers'!H219*DigesterN2OEF))/100</f>
        <v>1.4700000000000001E-2</v>
      </c>
      <c r="N70" s="26">
        <f>(('Mitigation drivers'!I209*LagoonN2O)+('Mitigation drivers'!I210*LiquidN2O)+('Mitigation drivers'!I211*DrylotN2O)+('Mitigation drivers'!I212*SolidStorageN2O)+('Mitigation drivers'!I213*DailyspreadN2O)+('Mitigation drivers'!I214*CompostN2O)+('Mitigation drivers'!I215*ManwithbedN2O)+('Mitigation drivers'!I216*PMwithoutlitterN2O)+('Mitigation drivers'!I217*PMwithlitterN2O)+('Mitigation drivers'!I219*DigesterN2OEF))/100</f>
        <v>1.4700000000000001E-2</v>
      </c>
      <c r="O70" s="26">
        <f>(('Mitigation drivers'!J209*LagoonN2O)+('Mitigation drivers'!J210*LiquidN2O)+('Mitigation drivers'!J211*DrylotN2O)+('Mitigation drivers'!J212*SolidStorageN2O)+('Mitigation drivers'!J213*DailyspreadN2O)+('Mitigation drivers'!J214*CompostN2O)+('Mitigation drivers'!J215*ManwithbedN2O)+('Mitigation drivers'!J216*PMwithoutlitterN2O)+('Mitigation drivers'!J217*PMwithlitterN2O)+('Mitigation drivers'!J219*DigesterN2OEF))/100</f>
        <v>1.4700000000000001E-2</v>
      </c>
      <c r="P70" s="26">
        <f>(('Mitigation drivers'!K209*LagoonN2O)+('Mitigation drivers'!K210*LiquidN2O)+('Mitigation drivers'!K211*DrylotN2O)+('Mitigation drivers'!K212*SolidStorageN2O)+('Mitigation drivers'!K213*DailyspreadN2O)+('Mitigation drivers'!K214*CompostN2O)+('Mitigation drivers'!K215*ManwithbedN2O)+('Mitigation drivers'!K216*PMwithoutlitterN2O)+('Mitigation drivers'!K217*PMwithlitterN2O)+('Mitigation drivers'!K219*DigesterN2OEF))/100</f>
        <v>1.4700000000000001E-2</v>
      </c>
      <c r="Q70" s="26">
        <f>(('Mitigation drivers'!L209*LagoonN2O)+('Mitigation drivers'!L210*LiquidN2O)+('Mitigation drivers'!L211*DrylotN2O)+('Mitigation drivers'!L212*SolidStorageN2O)+('Mitigation drivers'!L213*DailyspreadN2O)+('Mitigation drivers'!L214*CompostN2O)+('Mitigation drivers'!L215*ManwithbedN2O)+('Mitigation drivers'!L216*PMwithoutlitterN2O)+('Mitigation drivers'!L217*PMwithlitterN2O)+('Mitigation drivers'!L219*DigesterN2OEF))/100</f>
        <v>1.4700000000000001E-2</v>
      </c>
      <c r="R70" s="26">
        <f>(('Mitigation drivers'!M209*LagoonN2O)+('Mitigation drivers'!M210*LiquidN2O)+('Mitigation drivers'!M211*DrylotN2O)+('Mitigation drivers'!M212*SolidStorageN2O)+('Mitigation drivers'!M213*DailyspreadN2O)+('Mitigation drivers'!M214*CompostN2O)+('Mitigation drivers'!M215*ManwithbedN2O)+('Mitigation drivers'!M216*PMwithoutlitterN2O)+('Mitigation drivers'!M217*PMwithlitterN2O)+('Mitigation drivers'!M219*DigesterN2OEF))/100</f>
        <v>1.4700000000000001E-2</v>
      </c>
      <c r="S70" s="26">
        <f>(('Mitigation drivers'!N209*LagoonN2O)+('Mitigation drivers'!N210*LiquidN2O)+('Mitigation drivers'!N211*DrylotN2O)+('Mitigation drivers'!N212*SolidStorageN2O)+('Mitigation drivers'!N213*DailyspreadN2O)+('Mitigation drivers'!N214*CompostN2O)+('Mitigation drivers'!N215*ManwithbedN2O)+('Mitigation drivers'!N216*PMwithoutlitterN2O)+('Mitigation drivers'!N217*PMwithlitterN2O)+('Mitigation drivers'!N219*DigesterN2OEF))/100</f>
        <v>1.4700000000000001E-2</v>
      </c>
      <c r="T70" s="26">
        <f>(('Mitigation drivers'!O209*LagoonN2O)+('Mitigation drivers'!O210*LiquidN2O)+('Mitigation drivers'!O211*DrylotN2O)+('Mitigation drivers'!O212*SolidStorageN2O)+('Mitigation drivers'!O213*DailyspreadN2O)+('Mitigation drivers'!O214*CompostN2O)+('Mitigation drivers'!O215*ManwithbedN2O)+('Mitigation drivers'!O216*PMwithoutlitterN2O)+('Mitigation drivers'!O217*PMwithlitterN2O)+('Mitigation drivers'!O219*DigesterN2OEF))/100</f>
        <v>1.4700000000000001E-2</v>
      </c>
      <c r="U70" s="26">
        <f>(('Mitigation drivers'!P209*LagoonN2O)+('Mitigation drivers'!P210*LiquidN2O)+('Mitigation drivers'!P211*DrylotN2O)+('Mitigation drivers'!P212*SolidStorageN2O)+('Mitigation drivers'!P213*DailyspreadN2O)+('Mitigation drivers'!P214*CompostN2O)+('Mitigation drivers'!P215*ManwithbedN2O)+('Mitigation drivers'!P216*PMwithoutlitterN2O)+('Mitigation drivers'!P217*PMwithlitterN2O)+('Mitigation drivers'!P219*DigesterN2OEF))/100</f>
        <v>1.4700000000000001E-2</v>
      </c>
      <c r="V70" s="26">
        <f>(('Mitigation drivers'!Q209*LagoonN2O)+('Mitigation drivers'!Q210*LiquidN2O)+('Mitigation drivers'!Q211*DrylotN2O)+('Mitigation drivers'!Q212*SolidStorageN2O)+('Mitigation drivers'!Q213*DailyspreadN2O)+('Mitigation drivers'!Q214*CompostN2O)+('Mitigation drivers'!Q215*ManwithbedN2O)+('Mitigation drivers'!Q216*PMwithoutlitterN2O)+('Mitigation drivers'!Q217*PMwithlitterN2O)+('Mitigation drivers'!Q219*DigesterN2OEF))/100</f>
        <v>1.4700000000000001E-2</v>
      </c>
      <c r="W70" s="26">
        <f>(('Mitigation drivers'!R209*LagoonN2O)+('Mitigation drivers'!R210*LiquidN2O)+('Mitigation drivers'!R211*DrylotN2O)+('Mitigation drivers'!R212*SolidStorageN2O)+('Mitigation drivers'!R213*DailyspreadN2O)+('Mitigation drivers'!R214*CompostN2O)+('Mitigation drivers'!R215*ManwithbedN2O)+('Mitigation drivers'!R216*PMwithoutlitterN2O)+('Mitigation drivers'!R217*PMwithlitterN2O)+('Mitigation drivers'!R219*DigesterN2OEF))/100</f>
        <v>1.4700000000000001E-2</v>
      </c>
      <c r="X70" s="26">
        <f>(('Mitigation drivers'!S209*LagoonN2O)+('Mitigation drivers'!S210*LiquidN2O)+('Mitigation drivers'!S211*DrylotN2O)+('Mitigation drivers'!S212*SolidStorageN2O)+('Mitigation drivers'!S213*DailyspreadN2O)+('Mitigation drivers'!S214*CompostN2O)+('Mitigation drivers'!S215*ManwithbedN2O)+('Mitigation drivers'!S216*PMwithoutlitterN2O)+('Mitigation drivers'!S217*PMwithlitterN2O)+('Mitigation drivers'!S219*DigesterN2OEF))/100</f>
        <v>1.4700000000000001E-2</v>
      </c>
      <c r="Y70" s="26">
        <f>(('Mitigation drivers'!T209*LagoonN2O)+('Mitigation drivers'!T210*LiquidN2O)+('Mitigation drivers'!T211*DrylotN2O)+('Mitigation drivers'!T212*SolidStorageN2O)+('Mitigation drivers'!T213*DailyspreadN2O)+('Mitigation drivers'!T214*CompostN2O)+('Mitigation drivers'!T215*ManwithbedN2O)+('Mitigation drivers'!T216*PMwithoutlitterN2O)+('Mitigation drivers'!T217*PMwithlitterN2O)+('Mitigation drivers'!T219*DigesterN2OEF))/100</f>
        <v>1.4700000000000001E-2</v>
      </c>
      <c r="Z70" s="26">
        <f>(('Mitigation drivers'!U209*LagoonN2O)+('Mitigation drivers'!U210*LiquidN2O)+('Mitigation drivers'!U211*DrylotN2O)+('Mitigation drivers'!U212*SolidStorageN2O)+('Mitigation drivers'!U213*DailyspreadN2O)+('Mitigation drivers'!U214*CompostN2O)+('Mitigation drivers'!U215*ManwithbedN2O)+('Mitigation drivers'!U216*PMwithoutlitterN2O)+('Mitigation drivers'!U217*PMwithlitterN2O)+('Mitigation drivers'!U219*DigesterN2OEF))/100</f>
        <v>1.4700000000000001E-2</v>
      </c>
      <c r="AA70" s="26">
        <f>(('Mitigation drivers'!V209*LagoonN2O)+('Mitigation drivers'!V210*LiquidN2O)+('Mitigation drivers'!V211*DrylotN2O)+('Mitigation drivers'!V212*SolidStorageN2O)+('Mitigation drivers'!V213*DailyspreadN2O)+('Mitigation drivers'!V214*CompostN2O)+('Mitigation drivers'!V215*ManwithbedN2O)+('Mitigation drivers'!V216*PMwithoutlitterN2O)+('Mitigation drivers'!V217*PMwithlitterN2O)+('Mitigation drivers'!V219*DigesterN2OEF))/100</f>
        <v>1.4700000000000001E-2</v>
      </c>
      <c r="AB70" s="26">
        <f>(('Mitigation drivers'!W209*LagoonN2O)+('Mitigation drivers'!W210*LiquidN2O)+('Mitigation drivers'!W211*DrylotN2O)+('Mitigation drivers'!W212*SolidStorageN2O)+('Mitigation drivers'!W213*DailyspreadN2O)+('Mitigation drivers'!W214*CompostN2O)+('Mitigation drivers'!W215*ManwithbedN2O)+('Mitigation drivers'!W216*PMwithoutlitterN2O)+('Mitigation drivers'!W217*PMwithlitterN2O)+('Mitigation drivers'!W219*DigesterN2OEF))/100</f>
        <v>1.4700000000000001E-2</v>
      </c>
      <c r="AC70" s="26">
        <f>(('Mitigation drivers'!X209*LagoonN2O)+('Mitigation drivers'!X210*LiquidN2O)+('Mitigation drivers'!X211*DrylotN2O)+('Mitigation drivers'!X212*SolidStorageN2O)+('Mitigation drivers'!X213*DailyspreadN2O)+('Mitigation drivers'!X214*CompostN2O)+('Mitigation drivers'!X215*ManwithbedN2O)+('Mitigation drivers'!X216*PMwithoutlitterN2O)+('Mitigation drivers'!X217*PMwithlitterN2O)+('Mitigation drivers'!X219*DigesterN2OEF))/100</f>
        <v>1.4700000000000001E-2</v>
      </c>
      <c r="AD70" s="26">
        <f>(('Mitigation drivers'!Y209*LagoonN2O)+('Mitigation drivers'!Y210*LiquidN2O)+('Mitigation drivers'!Y211*DrylotN2O)+('Mitigation drivers'!Y212*SolidStorageN2O)+('Mitigation drivers'!Y213*DailyspreadN2O)+('Mitigation drivers'!Y214*CompostN2O)+('Mitigation drivers'!Y215*ManwithbedN2O)+('Mitigation drivers'!Y216*PMwithoutlitterN2O)+('Mitigation drivers'!Y217*PMwithlitterN2O)+('Mitigation drivers'!Y219*DigesterN2OEF))/100</f>
        <v>1.4700000000000001E-2</v>
      </c>
      <c r="AE70" s="26">
        <f>(('Mitigation drivers'!Z209*LagoonN2O)+('Mitigation drivers'!Z210*LiquidN2O)+('Mitigation drivers'!Z211*DrylotN2O)+('Mitigation drivers'!Z212*SolidStorageN2O)+('Mitigation drivers'!Z213*DailyspreadN2O)+('Mitigation drivers'!Z214*CompostN2O)+('Mitigation drivers'!Z215*ManwithbedN2O)+('Mitigation drivers'!Z216*PMwithoutlitterN2O)+('Mitigation drivers'!Z217*PMwithlitterN2O)+('Mitigation drivers'!Z219*DigesterN2OEF))/100</f>
        <v>1.4700000000000001E-2</v>
      </c>
      <c r="AF70" s="26">
        <f>(('Mitigation drivers'!AA209*LagoonN2O)+('Mitigation drivers'!AA210*LiquidN2O)+('Mitigation drivers'!AA211*DrylotN2O)+('Mitigation drivers'!AA212*SolidStorageN2O)+('Mitigation drivers'!AA213*DailyspreadN2O)+('Mitigation drivers'!AA214*CompostN2O)+('Mitigation drivers'!AA215*ManwithbedN2O)+('Mitigation drivers'!AA216*PMwithoutlitterN2O)+('Mitigation drivers'!AA217*PMwithlitterN2O)+('Mitigation drivers'!AA219*DigesterN2OEF))/100</f>
        <v>1.4700000000000001E-2</v>
      </c>
      <c r="AG70" s="26">
        <f>(('Mitigation drivers'!AB209*LagoonN2O)+('Mitigation drivers'!AB210*LiquidN2O)+('Mitigation drivers'!AB211*DrylotN2O)+('Mitigation drivers'!AB212*SolidStorageN2O)+('Mitigation drivers'!AB213*DailyspreadN2O)+('Mitigation drivers'!AB214*CompostN2O)+('Mitigation drivers'!AB215*ManwithbedN2O)+('Mitigation drivers'!AB216*PMwithoutlitterN2O)+('Mitigation drivers'!AB217*PMwithlitterN2O)+('Mitigation drivers'!AB219*DigesterN2OEF))/100</f>
        <v>1.4700000000000001E-2</v>
      </c>
      <c r="AH70" s="26">
        <f>(('Mitigation drivers'!AC209*LagoonN2O)+('Mitigation drivers'!AC210*LiquidN2O)+('Mitigation drivers'!AC211*DrylotN2O)+('Mitigation drivers'!AC212*SolidStorageN2O)+('Mitigation drivers'!AC213*DailyspreadN2O)+('Mitigation drivers'!AC214*CompostN2O)+('Mitigation drivers'!AC215*ManwithbedN2O)+('Mitigation drivers'!AC216*PMwithoutlitterN2O)+('Mitigation drivers'!AC217*PMwithlitterN2O)+('Mitigation drivers'!AC219*DigesterN2OEF))/100</f>
        <v>1.4700000000000001E-2</v>
      </c>
      <c r="AI70" s="26">
        <f>(('Mitigation drivers'!AD209*LagoonN2O)+('Mitigation drivers'!AD210*LiquidN2O)+('Mitigation drivers'!AD211*DrylotN2O)+('Mitigation drivers'!AD212*SolidStorageN2O)+('Mitigation drivers'!AD213*DailyspreadN2O)+('Mitigation drivers'!AD214*CompostN2O)+('Mitigation drivers'!AD215*ManwithbedN2O)+('Mitigation drivers'!AD216*PMwithoutlitterN2O)+('Mitigation drivers'!AD217*PMwithlitterN2O)+('Mitigation drivers'!AD219*DigesterN2OEF))/100</f>
        <v>1.4700000000000001E-2</v>
      </c>
      <c r="AJ70" s="26">
        <f>(('Mitigation drivers'!AE209*LagoonN2O)+('Mitigation drivers'!AE210*LiquidN2O)+('Mitigation drivers'!AE211*DrylotN2O)+('Mitigation drivers'!AE212*SolidStorageN2O)+('Mitigation drivers'!AE213*DailyspreadN2O)+('Mitigation drivers'!AE214*CompostN2O)+('Mitigation drivers'!AE215*ManwithbedN2O)+('Mitigation drivers'!AE216*PMwithoutlitterN2O)+('Mitigation drivers'!AE217*PMwithlitterN2O)+('Mitigation drivers'!AE219*DigesterN2OEF))/100</f>
        <v>1.4700000000000001E-2</v>
      </c>
      <c r="AK70" s="26">
        <f>(('Mitigation drivers'!AF209*LagoonN2O)+('Mitigation drivers'!AF210*LiquidN2O)+('Mitigation drivers'!AF211*DrylotN2O)+('Mitigation drivers'!AF212*SolidStorageN2O)+('Mitigation drivers'!AF213*DailyspreadN2O)+('Mitigation drivers'!AF214*CompostN2O)+('Mitigation drivers'!AF215*ManwithbedN2O)+('Mitigation drivers'!AF216*PMwithoutlitterN2O)+('Mitigation drivers'!AF217*PMwithlitterN2O)+('Mitigation drivers'!AF219*DigesterN2OEF))/100</f>
        <v>1.4700000000000001E-2</v>
      </c>
      <c r="AL70" s="26">
        <f>(('Mitigation drivers'!AG209*LagoonN2O)+('Mitigation drivers'!AG210*LiquidN2O)+('Mitigation drivers'!AG211*DrylotN2O)+('Mitigation drivers'!AG212*SolidStorageN2O)+('Mitigation drivers'!AG213*DailyspreadN2O)+('Mitigation drivers'!AG214*CompostN2O)+('Mitigation drivers'!AG215*ManwithbedN2O)+('Mitigation drivers'!AG216*PMwithoutlitterN2O)+('Mitigation drivers'!AG217*PMwithlitterN2O)+('Mitigation drivers'!AG219*DigesterN2OEF))/100</f>
        <v>1.4700000000000001E-2</v>
      </c>
      <c r="AM70" s="26">
        <f>(('Mitigation drivers'!AH209*LagoonN2O)+('Mitigation drivers'!AH210*LiquidN2O)+('Mitigation drivers'!AH211*DrylotN2O)+('Mitigation drivers'!AH212*SolidStorageN2O)+('Mitigation drivers'!AH213*DailyspreadN2O)+('Mitigation drivers'!AH214*CompostN2O)+('Mitigation drivers'!AH215*ManwithbedN2O)+('Mitigation drivers'!AH216*PMwithoutlitterN2O)+('Mitigation drivers'!AH217*PMwithlitterN2O)+('Mitigation drivers'!AH219*DigesterN2OEF))/100</f>
        <v>1.4700000000000001E-2</v>
      </c>
      <c r="AN70" s="26">
        <f>(('Mitigation drivers'!AI209*LagoonN2O)+('Mitigation drivers'!AI210*LiquidN2O)+('Mitigation drivers'!AI211*DrylotN2O)+('Mitigation drivers'!AI212*SolidStorageN2O)+('Mitigation drivers'!AI213*DailyspreadN2O)+('Mitigation drivers'!AI214*CompostN2O)+('Mitigation drivers'!AI215*ManwithbedN2O)+('Mitigation drivers'!AI216*PMwithoutlitterN2O)+('Mitigation drivers'!AI217*PMwithlitterN2O)+('Mitigation drivers'!AI219*DigesterN2OEF))/100</f>
        <v>1.4700000000000001E-2</v>
      </c>
      <c r="AO70" s="26">
        <f>(('Mitigation drivers'!AJ209*LagoonN2O)+('Mitigation drivers'!AJ210*LiquidN2O)+('Mitigation drivers'!AJ211*DrylotN2O)+('Mitigation drivers'!AJ212*SolidStorageN2O)+('Mitigation drivers'!AJ213*DailyspreadN2O)+('Mitigation drivers'!AJ214*CompostN2O)+('Mitigation drivers'!AJ215*ManwithbedN2O)+('Mitigation drivers'!AJ216*PMwithoutlitterN2O)+('Mitigation drivers'!AJ217*PMwithlitterN2O)+('Mitigation drivers'!AJ219*DigesterN2OEF))/100</f>
        <v>1.4700000000000001E-2</v>
      </c>
    </row>
    <row r="71" spans="1:41" x14ac:dyDescent="0.25">
      <c r="A71" t="str">
        <f t="shared" si="30"/>
        <v>3A Livestock</v>
      </c>
      <c r="B71" t="str">
        <f t="shared" si="8"/>
        <v>3A2 Manure management (N2O)</v>
      </c>
      <c r="C71" t="str">
        <f>'Activity data'!C22</f>
        <v>3A2i Poultry</v>
      </c>
      <c r="D71" t="str">
        <f>'Activity data'!D22</f>
        <v>Subsistence broilers</v>
      </c>
      <c r="E71" t="str">
        <f t="shared" si="27"/>
        <v>Manure management EF</v>
      </c>
      <c r="F71" t="str">
        <f t="shared" si="28"/>
        <v>N2O</v>
      </c>
      <c r="G71" t="str">
        <f t="shared" si="29"/>
        <v>kg N2O-N/kg Nex</v>
      </c>
      <c r="H71" s="26">
        <f>(('Mitigation drivers'!C221*LagoonN2O)+('Mitigation drivers'!C222*LiquidN2O)+('Mitigation drivers'!C223*DrylotN2O)+('Mitigation drivers'!C224*SolidStorageN2O)+('Mitigation drivers'!C225*DailyspreadN2O)+('Mitigation drivers'!C226*CompostN2O)+('Mitigation drivers'!C227*ManwithbedN2O)+('Mitigation drivers'!C228*PMwithoutlitterN2O)+('Mitigation drivers'!C229*PMwithlitterN2O)+('Mitigation drivers'!C231*DigesterN2OEF))/100</f>
        <v>1.6449999999999999E-2</v>
      </c>
      <c r="I71" s="26">
        <f>(('Mitigation drivers'!D221*LagoonN2O)+('Mitigation drivers'!D222*LiquidN2O)+('Mitigation drivers'!D223*DrylotN2O)+('Mitigation drivers'!D224*SolidStorageN2O)+('Mitigation drivers'!D225*DailyspreadN2O)+('Mitigation drivers'!D226*CompostN2O)+('Mitigation drivers'!D227*ManwithbedN2O)+('Mitigation drivers'!D228*PMwithoutlitterN2O)+('Mitigation drivers'!D229*PMwithlitterN2O)+('Mitigation drivers'!D231*DigesterN2OEF))/100</f>
        <v>1.6449999999999999E-2</v>
      </c>
      <c r="J71" s="26">
        <f>(('Mitigation drivers'!E221*LagoonN2O)+('Mitigation drivers'!E222*LiquidN2O)+('Mitigation drivers'!E223*DrylotN2O)+('Mitigation drivers'!E224*SolidStorageN2O)+('Mitigation drivers'!E225*DailyspreadN2O)+('Mitigation drivers'!E226*CompostN2O)+('Mitigation drivers'!E227*ManwithbedN2O)+('Mitigation drivers'!E228*PMwithoutlitterN2O)+('Mitigation drivers'!E229*PMwithlitterN2O)+('Mitigation drivers'!E231*DigesterN2OEF))/100</f>
        <v>1.6449999999999999E-2</v>
      </c>
      <c r="K71" s="26">
        <f>(('Mitigation drivers'!F221*LagoonN2O)+('Mitigation drivers'!F222*LiquidN2O)+('Mitigation drivers'!F223*DrylotN2O)+('Mitigation drivers'!F224*SolidStorageN2O)+('Mitigation drivers'!F225*DailyspreadN2O)+('Mitigation drivers'!F226*CompostN2O)+('Mitigation drivers'!F227*ManwithbedN2O)+('Mitigation drivers'!F228*PMwithoutlitterN2O)+('Mitigation drivers'!F229*PMwithlitterN2O)+('Mitigation drivers'!F231*DigesterN2OEF))/100</f>
        <v>1.6449999999999999E-2</v>
      </c>
      <c r="L71" s="26">
        <f>(('Mitigation drivers'!G221*LagoonN2O)+('Mitigation drivers'!G222*LiquidN2O)+('Mitigation drivers'!G223*DrylotN2O)+('Mitigation drivers'!G224*SolidStorageN2O)+('Mitigation drivers'!G225*DailyspreadN2O)+('Mitigation drivers'!G226*CompostN2O)+('Mitigation drivers'!G227*ManwithbedN2O)+('Mitigation drivers'!G228*PMwithoutlitterN2O)+('Mitigation drivers'!G229*PMwithlitterN2O)+('Mitigation drivers'!G231*DigesterN2OEF))/100</f>
        <v>1.6449999999999999E-2</v>
      </c>
      <c r="M71" s="26">
        <f>(('Mitigation drivers'!H221*LagoonN2O)+('Mitigation drivers'!H222*LiquidN2O)+('Mitigation drivers'!H223*DrylotN2O)+('Mitigation drivers'!H224*SolidStorageN2O)+('Mitigation drivers'!H225*DailyspreadN2O)+('Mitigation drivers'!H226*CompostN2O)+('Mitigation drivers'!H227*ManwithbedN2O)+('Mitigation drivers'!H228*PMwithoutlitterN2O)+('Mitigation drivers'!H229*PMwithlitterN2O)+('Mitigation drivers'!H231*DigesterN2OEF))/100</f>
        <v>1.6449999999999999E-2</v>
      </c>
      <c r="N71" s="26">
        <f>(('Mitigation drivers'!I221*LagoonN2O)+('Mitigation drivers'!I222*LiquidN2O)+('Mitigation drivers'!I223*DrylotN2O)+('Mitigation drivers'!I224*SolidStorageN2O)+('Mitigation drivers'!I225*DailyspreadN2O)+('Mitigation drivers'!I226*CompostN2O)+('Mitigation drivers'!I227*ManwithbedN2O)+('Mitigation drivers'!I228*PMwithoutlitterN2O)+('Mitigation drivers'!I229*PMwithlitterN2O)+('Mitigation drivers'!I231*DigesterN2OEF))/100</f>
        <v>1.6449999999999999E-2</v>
      </c>
      <c r="O71" s="26">
        <f>(('Mitigation drivers'!J221*LagoonN2O)+('Mitigation drivers'!J222*LiquidN2O)+('Mitigation drivers'!J223*DrylotN2O)+('Mitigation drivers'!J224*SolidStorageN2O)+('Mitigation drivers'!J225*DailyspreadN2O)+('Mitigation drivers'!J226*CompostN2O)+('Mitigation drivers'!J227*ManwithbedN2O)+('Mitigation drivers'!J228*PMwithoutlitterN2O)+('Mitigation drivers'!J229*PMwithlitterN2O)+('Mitigation drivers'!J231*DigesterN2OEF))/100</f>
        <v>1.6449999999999999E-2</v>
      </c>
      <c r="P71" s="26">
        <f>(('Mitigation drivers'!K221*LagoonN2O)+('Mitigation drivers'!K222*LiquidN2O)+('Mitigation drivers'!K223*DrylotN2O)+('Mitigation drivers'!K224*SolidStorageN2O)+('Mitigation drivers'!K225*DailyspreadN2O)+('Mitigation drivers'!K226*CompostN2O)+('Mitigation drivers'!K227*ManwithbedN2O)+('Mitigation drivers'!K228*PMwithoutlitterN2O)+('Mitigation drivers'!K229*PMwithlitterN2O)+('Mitigation drivers'!K231*DigesterN2OEF))/100</f>
        <v>1.6449999999999999E-2</v>
      </c>
      <c r="Q71" s="26">
        <f>(('Mitigation drivers'!L221*LagoonN2O)+('Mitigation drivers'!L222*LiquidN2O)+('Mitigation drivers'!L223*DrylotN2O)+('Mitigation drivers'!L224*SolidStorageN2O)+('Mitigation drivers'!L225*DailyspreadN2O)+('Mitigation drivers'!L226*CompostN2O)+('Mitigation drivers'!L227*ManwithbedN2O)+('Mitigation drivers'!L228*PMwithoutlitterN2O)+('Mitigation drivers'!L229*PMwithlitterN2O)+('Mitigation drivers'!L231*DigesterN2OEF))/100</f>
        <v>1.6449999999999999E-2</v>
      </c>
      <c r="R71" s="26">
        <f>(('Mitigation drivers'!M221*LagoonN2O)+('Mitigation drivers'!M222*LiquidN2O)+('Mitigation drivers'!M223*DrylotN2O)+('Mitigation drivers'!M224*SolidStorageN2O)+('Mitigation drivers'!M225*DailyspreadN2O)+('Mitigation drivers'!M226*CompostN2O)+('Mitigation drivers'!M227*ManwithbedN2O)+('Mitigation drivers'!M228*PMwithoutlitterN2O)+('Mitigation drivers'!M229*PMwithlitterN2O)+('Mitigation drivers'!M231*DigesterN2OEF))/100</f>
        <v>1.6449999999999999E-2</v>
      </c>
      <c r="S71" s="26">
        <f>(('Mitigation drivers'!N221*LagoonN2O)+('Mitigation drivers'!N222*LiquidN2O)+('Mitigation drivers'!N223*DrylotN2O)+('Mitigation drivers'!N224*SolidStorageN2O)+('Mitigation drivers'!N225*DailyspreadN2O)+('Mitigation drivers'!N226*CompostN2O)+('Mitigation drivers'!N227*ManwithbedN2O)+('Mitigation drivers'!N228*PMwithoutlitterN2O)+('Mitigation drivers'!N229*PMwithlitterN2O)+('Mitigation drivers'!N231*DigesterN2OEF))/100</f>
        <v>1.6449999999999999E-2</v>
      </c>
      <c r="T71" s="26">
        <f>(('Mitigation drivers'!O221*LagoonN2O)+('Mitigation drivers'!O222*LiquidN2O)+('Mitigation drivers'!O223*DrylotN2O)+('Mitigation drivers'!O224*SolidStorageN2O)+('Mitigation drivers'!O225*DailyspreadN2O)+('Mitigation drivers'!O226*CompostN2O)+('Mitigation drivers'!O227*ManwithbedN2O)+('Mitigation drivers'!O228*PMwithoutlitterN2O)+('Mitigation drivers'!O229*PMwithlitterN2O)+('Mitigation drivers'!O231*DigesterN2OEF))/100</f>
        <v>1.6449999999999999E-2</v>
      </c>
      <c r="U71" s="26">
        <f>(('Mitigation drivers'!P221*LagoonN2O)+('Mitigation drivers'!P222*LiquidN2O)+('Mitigation drivers'!P223*DrylotN2O)+('Mitigation drivers'!P224*SolidStorageN2O)+('Mitigation drivers'!P225*DailyspreadN2O)+('Mitigation drivers'!P226*CompostN2O)+('Mitigation drivers'!P227*ManwithbedN2O)+('Mitigation drivers'!P228*PMwithoutlitterN2O)+('Mitigation drivers'!P229*PMwithlitterN2O)+('Mitigation drivers'!P231*DigesterN2OEF))/100</f>
        <v>1.6449999999999999E-2</v>
      </c>
      <c r="V71" s="26">
        <f>(('Mitigation drivers'!Q221*LagoonN2O)+('Mitigation drivers'!Q222*LiquidN2O)+('Mitigation drivers'!Q223*DrylotN2O)+('Mitigation drivers'!Q224*SolidStorageN2O)+('Mitigation drivers'!Q225*DailyspreadN2O)+('Mitigation drivers'!Q226*CompostN2O)+('Mitigation drivers'!Q227*ManwithbedN2O)+('Mitigation drivers'!Q228*PMwithoutlitterN2O)+('Mitigation drivers'!Q229*PMwithlitterN2O)+('Mitigation drivers'!Q231*DigesterN2OEF))/100</f>
        <v>1.6449999999999999E-2</v>
      </c>
      <c r="W71" s="26">
        <f>(('Mitigation drivers'!R221*LagoonN2O)+('Mitigation drivers'!R222*LiquidN2O)+('Mitigation drivers'!R223*DrylotN2O)+('Mitigation drivers'!R224*SolidStorageN2O)+('Mitigation drivers'!R225*DailyspreadN2O)+('Mitigation drivers'!R226*CompostN2O)+('Mitigation drivers'!R227*ManwithbedN2O)+('Mitigation drivers'!R228*PMwithoutlitterN2O)+('Mitigation drivers'!R229*PMwithlitterN2O)+('Mitigation drivers'!R231*DigesterN2OEF))/100</f>
        <v>1.6449999999999999E-2</v>
      </c>
      <c r="X71" s="26">
        <f>(('Mitigation drivers'!S221*LagoonN2O)+('Mitigation drivers'!S222*LiquidN2O)+('Mitigation drivers'!S223*DrylotN2O)+('Mitigation drivers'!S224*SolidStorageN2O)+('Mitigation drivers'!S225*DailyspreadN2O)+('Mitigation drivers'!S226*CompostN2O)+('Mitigation drivers'!S227*ManwithbedN2O)+('Mitigation drivers'!S228*PMwithoutlitterN2O)+('Mitigation drivers'!S229*PMwithlitterN2O)+('Mitigation drivers'!S231*DigesterN2OEF))/100</f>
        <v>1.6449999999999999E-2</v>
      </c>
      <c r="Y71" s="26">
        <f>(('Mitigation drivers'!T221*LagoonN2O)+('Mitigation drivers'!T222*LiquidN2O)+('Mitigation drivers'!T223*DrylotN2O)+('Mitigation drivers'!T224*SolidStorageN2O)+('Mitigation drivers'!T225*DailyspreadN2O)+('Mitigation drivers'!T226*CompostN2O)+('Mitigation drivers'!T227*ManwithbedN2O)+('Mitigation drivers'!T228*PMwithoutlitterN2O)+('Mitigation drivers'!T229*PMwithlitterN2O)+('Mitigation drivers'!T231*DigesterN2OEF))/100</f>
        <v>1.6449999999999999E-2</v>
      </c>
      <c r="Z71" s="26">
        <f>(('Mitigation drivers'!U221*LagoonN2O)+('Mitigation drivers'!U222*LiquidN2O)+('Mitigation drivers'!U223*DrylotN2O)+('Mitigation drivers'!U224*SolidStorageN2O)+('Mitigation drivers'!U225*DailyspreadN2O)+('Mitigation drivers'!U226*CompostN2O)+('Mitigation drivers'!U227*ManwithbedN2O)+('Mitigation drivers'!U228*PMwithoutlitterN2O)+('Mitigation drivers'!U229*PMwithlitterN2O)+('Mitigation drivers'!U231*DigesterN2OEF))/100</f>
        <v>1.6449999999999999E-2</v>
      </c>
      <c r="AA71" s="26">
        <f>(('Mitigation drivers'!V221*LagoonN2O)+('Mitigation drivers'!V222*LiquidN2O)+('Mitigation drivers'!V223*DrylotN2O)+('Mitigation drivers'!V224*SolidStorageN2O)+('Mitigation drivers'!V225*DailyspreadN2O)+('Mitigation drivers'!V226*CompostN2O)+('Mitigation drivers'!V227*ManwithbedN2O)+('Mitigation drivers'!V228*PMwithoutlitterN2O)+('Mitigation drivers'!V229*PMwithlitterN2O)+('Mitigation drivers'!V231*DigesterN2OEF))/100</f>
        <v>1.6449999999999999E-2</v>
      </c>
      <c r="AB71" s="26">
        <f>(('Mitigation drivers'!W221*LagoonN2O)+('Mitigation drivers'!W222*LiquidN2O)+('Mitigation drivers'!W223*DrylotN2O)+('Mitigation drivers'!W224*SolidStorageN2O)+('Mitigation drivers'!W225*DailyspreadN2O)+('Mitigation drivers'!W226*CompostN2O)+('Mitigation drivers'!W227*ManwithbedN2O)+('Mitigation drivers'!W228*PMwithoutlitterN2O)+('Mitigation drivers'!W229*PMwithlitterN2O)+('Mitigation drivers'!W231*DigesterN2OEF))/100</f>
        <v>1.6449999999999999E-2</v>
      </c>
      <c r="AC71" s="26">
        <f>(('Mitigation drivers'!X221*LagoonN2O)+('Mitigation drivers'!X222*LiquidN2O)+('Mitigation drivers'!X223*DrylotN2O)+('Mitigation drivers'!X224*SolidStorageN2O)+('Mitigation drivers'!X225*DailyspreadN2O)+('Mitigation drivers'!X226*CompostN2O)+('Mitigation drivers'!X227*ManwithbedN2O)+('Mitigation drivers'!X228*PMwithoutlitterN2O)+('Mitigation drivers'!X229*PMwithlitterN2O)+('Mitigation drivers'!X231*DigesterN2OEF))/100</f>
        <v>1.6449999999999999E-2</v>
      </c>
      <c r="AD71" s="26">
        <f>(('Mitigation drivers'!Y221*LagoonN2O)+('Mitigation drivers'!Y222*LiquidN2O)+('Mitigation drivers'!Y223*DrylotN2O)+('Mitigation drivers'!Y224*SolidStorageN2O)+('Mitigation drivers'!Y225*DailyspreadN2O)+('Mitigation drivers'!Y226*CompostN2O)+('Mitigation drivers'!Y227*ManwithbedN2O)+('Mitigation drivers'!Y228*PMwithoutlitterN2O)+('Mitigation drivers'!Y229*PMwithlitterN2O)+('Mitigation drivers'!Y231*DigesterN2OEF))/100</f>
        <v>1.6449999999999999E-2</v>
      </c>
      <c r="AE71" s="26">
        <f>(('Mitigation drivers'!Z221*LagoonN2O)+('Mitigation drivers'!Z222*LiquidN2O)+('Mitigation drivers'!Z223*DrylotN2O)+('Mitigation drivers'!Z224*SolidStorageN2O)+('Mitigation drivers'!Z225*DailyspreadN2O)+('Mitigation drivers'!Z226*CompostN2O)+('Mitigation drivers'!Z227*ManwithbedN2O)+('Mitigation drivers'!Z228*PMwithoutlitterN2O)+('Mitigation drivers'!Z229*PMwithlitterN2O)+('Mitigation drivers'!Z231*DigesterN2OEF))/100</f>
        <v>1.6449999999999999E-2</v>
      </c>
      <c r="AF71" s="26">
        <f>(('Mitigation drivers'!AA221*LagoonN2O)+('Mitigation drivers'!AA222*LiquidN2O)+('Mitigation drivers'!AA223*DrylotN2O)+('Mitigation drivers'!AA224*SolidStorageN2O)+('Mitigation drivers'!AA225*DailyspreadN2O)+('Mitigation drivers'!AA226*CompostN2O)+('Mitigation drivers'!AA227*ManwithbedN2O)+('Mitigation drivers'!AA228*PMwithoutlitterN2O)+('Mitigation drivers'!AA229*PMwithlitterN2O)+('Mitigation drivers'!AA231*DigesterN2OEF))/100</f>
        <v>1.6449999999999999E-2</v>
      </c>
      <c r="AG71" s="26">
        <f>(('Mitigation drivers'!AB221*LagoonN2O)+('Mitigation drivers'!AB222*LiquidN2O)+('Mitigation drivers'!AB223*DrylotN2O)+('Mitigation drivers'!AB224*SolidStorageN2O)+('Mitigation drivers'!AB225*DailyspreadN2O)+('Mitigation drivers'!AB226*CompostN2O)+('Mitigation drivers'!AB227*ManwithbedN2O)+('Mitigation drivers'!AB228*PMwithoutlitterN2O)+('Mitigation drivers'!AB229*PMwithlitterN2O)+('Mitigation drivers'!AB231*DigesterN2OEF))/100</f>
        <v>1.6449999999999999E-2</v>
      </c>
      <c r="AH71" s="26">
        <f>(('Mitigation drivers'!AC221*LagoonN2O)+('Mitigation drivers'!AC222*LiquidN2O)+('Mitigation drivers'!AC223*DrylotN2O)+('Mitigation drivers'!AC224*SolidStorageN2O)+('Mitigation drivers'!AC225*DailyspreadN2O)+('Mitigation drivers'!AC226*CompostN2O)+('Mitigation drivers'!AC227*ManwithbedN2O)+('Mitigation drivers'!AC228*PMwithoutlitterN2O)+('Mitigation drivers'!AC229*PMwithlitterN2O)+('Mitigation drivers'!AC231*DigesterN2OEF))/100</f>
        <v>1.6449999999999999E-2</v>
      </c>
      <c r="AI71" s="26">
        <f>(('Mitigation drivers'!AD221*LagoonN2O)+('Mitigation drivers'!AD222*LiquidN2O)+('Mitigation drivers'!AD223*DrylotN2O)+('Mitigation drivers'!AD224*SolidStorageN2O)+('Mitigation drivers'!AD225*DailyspreadN2O)+('Mitigation drivers'!AD226*CompostN2O)+('Mitigation drivers'!AD227*ManwithbedN2O)+('Mitigation drivers'!AD228*PMwithoutlitterN2O)+('Mitigation drivers'!AD229*PMwithlitterN2O)+('Mitigation drivers'!AD231*DigesterN2OEF))/100</f>
        <v>1.6449999999999999E-2</v>
      </c>
      <c r="AJ71" s="26">
        <f>(('Mitigation drivers'!AE221*LagoonN2O)+('Mitigation drivers'!AE222*LiquidN2O)+('Mitigation drivers'!AE223*DrylotN2O)+('Mitigation drivers'!AE224*SolidStorageN2O)+('Mitigation drivers'!AE225*DailyspreadN2O)+('Mitigation drivers'!AE226*CompostN2O)+('Mitigation drivers'!AE227*ManwithbedN2O)+('Mitigation drivers'!AE228*PMwithoutlitterN2O)+('Mitigation drivers'!AE229*PMwithlitterN2O)+('Mitigation drivers'!AE231*DigesterN2OEF))/100</f>
        <v>1.6449999999999999E-2</v>
      </c>
      <c r="AK71" s="26">
        <f>(('Mitigation drivers'!AF221*LagoonN2O)+('Mitigation drivers'!AF222*LiquidN2O)+('Mitigation drivers'!AF223*DrylotN2O)+('Mitigation drivers'!AF224*SolidStorageN2O)+('Mitigation drivers'!AF225*DailyspreadN2O)+('Mitigation drivers'!AF226*CompostN2O)+('Mitigation drivers'!AF227*ManwithbedN2O)+('Mitigation drivers'!AF228*PMwithoutlitterN2O)+('Mitigation drivers'!AF229*PMwithlitterN2O)+('Mitigation drivers'!AF231*DigesterN2OEF))/100</f>
        <v>1.6449999999999999E-2</v>
      </c>
      <c r="AL71" s="26">
        <f>(('Mitigation drivers'!AG221*LagoonN2O)+('Mitigation drivers'!AG222*LiquidN2O)+('Mitigation drivers'!AG223*DrylotN2O)+('Mitigation drivers'!AG224*SolidStorageN2O)+('Mitigation drivers'!AG225*DailyspreadN2O)+('Mitigation drivers'!AG226*CompostN2O)+('Mitigation drivers'!AG227*ManwithbedN2O)+('Mitigation drivers'!AG228*PMwithoutlitterN2O)+('Mitigation drivers'!AG229*PMwithlitterN2O)+('Mitigation drivers'!AG231*DigesterN2OEF))/100</f>
        <v>1.6449999999999999E-2</v>
      </c>
      <c r="AM71" s="26">
        <f>(('Mitigation drivers'!AH221*LagoonN2O)+('Mitigation drivers'!AH222*LiquidN2O)+('Mitigation drivers'!AH223*DrylotN2O)+('Mitigation drivers'!AH224*SolidStorageN2O)+('Mitigation drivers'!AH225*DailyspreadN2O)+('Mitigation drivers'!AH226*CompostN2O)+('Mitigation drivers'!AH227*ManwithbedN2O)+('Mitigation drivers'!AH228*PMwithoutlitterN2O)+('Mitigation drivers'!AH229*PMwithlitterN2O)+('Mitigation drivers'!AH231*DigesterN2OEF))/100</f>
        <v>1.6449999999999999E-2</v>
      </c>
      <c r="AN71" s="26">
        <f>(('Mitigation drivers'!AI221*LagoonN2O)+('Mitigation drivers'!AI222*LiquidN2O)+('Mitigation drivers'!AI223*DrylotN2O)+('Mitigation drivers'!AI224*SolidStorageN2O)+('Mitigation drivers'!AI225*DailyspreadN2O)+('Mitigation drivers'!AI226*CompostN2O)+('Mitigation drivers'!AI227*ManwithbedN2O)+('Mitigation drivers'!AI228*PMwithoutlitterN2O)+('Mitigation drivers'!AI229*PMwithlitterN2O)+('Mitigation drivers'!AI231*DigesterN2OEF))/100</f>
        <v>1.6449999999999999E-2</v>
      </c>
      <c r="AO71" s="26">
        <f>(('Mitigation drivers'!AJ221*LagoonN2O)+('Mitigation drivers'!AJ222*LiquidN2O)+('Mitigation drivers'!AJ223*DrylotN2O)+('Mitigation drivers'!AJ224*SolidStorageN2O)+('Mitigation drivers'!AJ225*DailyspreadN2O)+('Mitigation drivers'!AJ226*CompostN2O)+('Mitigation drivers'!AJ227*ManwithbedN2O)+('Mitigation drivers'!AJ228*PMwithoutlitterN2O)+('Mitigation drivers'!AJ229*PMwithlitterN2O)+('Mitigation drivers'!AJ231*DigesterN2OEF))/100</f>
        <v>1.6449999999999999E-2</v>
      </c>
    </row>
    <row r="73" spans="1:41" x14ac:dyDescent="0.25">
      <c r="A73" t="str">
        <f>'IPCC Categories'!A5</f>
        <v>3A Livestock</v>
      </c>
      <c r="B73" t="str">
        <f>'IPCC Categories'!B20</f>
        <v>3A2 Manure management (N2O)</v>
      </c>
      <c r="C73" t="str">
        <f>'IPCC Categories'!B20</f>
        <v>3A2 Manure management (N2O)</v>
      </c>
      <c r="D73" t="s">
        <v>294</v>
      </c>
      <c r="E73" t="s">
        <v>293</v>
      </c>
      <c r="F73" t="s">
        <v>139</v>
      </c>
      <c r="G73" t="s">
        <v>145</v>
      </c>
      <c r="H73" s="27">
        <v>0</v>
      </c>
    </row>
    <row r="74" spans="1:41" x14ac:dyDescent="0.25">
      <c r="A74" t="str">
        <f>A73</f>
        <v>3A Livestock</v>
      </c>
      <c r="B74" t="str">
        <f>B73</f>
        <v>3A2 Manure management (N2O)</v>
      </c>
      <c r="C74" t="str">
        <f>C73</f>
        <v>3A2 Manure management (N2O)</v>
      </c>
      <c r="D74" t="s">
        <v>295</v>
      </c>
      <c r="E74" t="str">
        <f>E73</f>
        <v>Manure EF</v>
      </c>
      <c r="F74" t="str">
        <f>F73</f>
        <v>N2O</v>
      </c>
      <c r="G74" t="str">
        <f>G73</f>
        <v>kg N2O-N/kg Nex</v>
      </c>
      <c r="H74" s="27">
        <v>0</v>
      </c>
    </row>
    <row r="75" spans="1:41" x14ac:dyDescent="0.25">
      <c r="A75" t="str">
        <f t="shared" ref="A75:A82" si="31">A74</f>
        <v>3A Livestock</v>
      </c>
      <c r="B75" t="str">
        <f t="shared" ref="B75:B82" si="32">B74</f>
        <v>3A2 Manure management (N2O)</v>
      </c>
      <c r="C75" t="str">
        <f t="shared" ref="C75:C82" si="33">C74</f>
        <v>3A2 Manure management (N2O)</v>
      </c>
      <c r="D75" t="s">
        <v>296</v>
      </c>
      <c r="E75" t="str">
        <f t="shared" ref="E75:E82" si="34">E74</f>
        <v>Manure EF</v>
      </c>
      <c r="F75" t="str">
        <f t="shared" ref="F75:F82" si="35">F74</f>
        <v>N2O</v>
      </c>
      <c r="G75" t="str">
        <f t="shared" ref="G75:G82" si="36">G74</f>
        <v>kg N2O-N/kg Nex</v>
      </c>
      <c r="H75" s="27">
        <v>0.02</v>
      </c>
    </row>
    <row r="76" spans="1:41" x14ac:dyDescent="0.25">
      <c r="A76" t="str">
        <f t="shared" si="31"/>
        <v>3A Livestock</v>
      </c>
      <c r="B76" t="str">
        <f t="shared" si="32"/>
        <v>3A2 Manure management (N2O)</v>
      </c>
      <c r="C76" t="str">
        <f t="shared" si="33"/>
        <v>3A2 Manure management (N2O)</v>
      </c>
      <c r="D76" t="s">
        <v>297</v>
      </c>
      <c r="E76" t="str">
        <f t="shared" si="34"/>
        <v>Manure EF</v>
      </c>
      <c r="F76" t="str">
        <f t="shared" si="35"/>
        <v>N2O</v>
      </c>
      <c r="G76" t="str">
        <f t="shared" si="36"/>
        <v>kg N2O-N/kg Nex</v>
      </c>
      <c r="H76" s="27">
        <v>5.0000000000000001E-3</v>
      </c>
    </row>
    <row r="77" spans="1:41" x14ac:dyDescent="0.25">
      <c r="A77" t="str">
        <f t="shared" si="31"/>
        <v>3A Livestock</v>
      </c>
      <c r="B77" t="str">
        <f t="shared" si="32"/>
        <v>3A2 Manure management (N2O)</v>
      </c>
      <c r="C77" t="str">
        <f t="shared" si="33"/>
        <v>3A2 Manure management (N2O)</v>
      </c>
      <c r="D77" t="s">
        <v>298</v>
      </c>
      <c r="E77" t="str">
        <f t="shared" si="34"/>
        <v>Manure EF</v>
      </c>
      <c r="F77" t="str">
        <f t="shared" si="35"/>
        <v>N2O</v>
      </c>
      <c r="G77" t="str">
        <f t="shared" si="36"/>
        <v>kg N2O-N/kg Nex</v>
      </c>
      <c r="H77" s="27">
        <v>0</v>
      </c>
    </row>
    <row r="78" spans="1:41" x14ac:dyDescent="0.25">
      <c r="A78" t="str">
        <f t="shared" si="31"/>
        <v>3A Livestock</v>
      </c>
      <c r="B78" t="str">
        <f t="shared" si="32"/>
        <v>3A2 Manure management (N2O)</v>
      </c>
      <c r="C78" t="str">
        <f t="shared" si="33"/>
        <v>3A2 Manure management (N2O)</v>
      </c>
      <c r="D78" t="s">
        <v>299</v>
      </c>
      <c r="E78" t="str">
        <f t="shared" si="34"/>
        <v>Manure EF</v>
      </c>
      <c r="F78" t="str">
        <f t="shared" si="35"/>
        <v>N2O</v>
      </c>
      <c r="G78" t="str">
        <f t="shared" si="36"/>
        <v>kg N2O-N/kg Nex</v>
      </c>
      <c r="H78" s="27">
        <v>6.0000000000000001E-3</v>
      </c>
    </row>
    <row r="79" spans="1:41" x14ac:dyDescent="0.25">
      <c r="A79" t="str">
        <f t="shared" si="31"/>
        <v>3A Livestock</v>
      </c>
      <c r="B79" t="str">
        <f t="shared" si="32"/>
        <v>3A2 Manure management (N2O)</v>
      </c>
      <c r="C79" t="str">
        <f t="shared" si="33"/>
        <v>3A2 Manure management (N2O)</v>
      </c>
      <c r="D79" t="s">
        <v>300</v>
      </c>
      <c r="E79" t="str">
        <f t="shared" si="34"/>
        <v>Manure EF</v>
      </c>
      <c r="F79" t="str">
        <f t="shared" si="35"/>
        <v>N2O</v>
      </c>
      <c r="G79" t="str">
        <f t="shared" si="36"/>
        <v>kg N2O-N/kg Nex</v>
      </c>
      <c r="H79" s="27">
        <v>0.01</v>
      </c>
    </row>
    <row r="80" spans="1:41" x14ac:dyDescent="0.25">
      <c r="A80" t="str">
        <f t="shared" si="31"/>
        <v>3A Livestock</v>
      </c>
      <c r="B80" t="str">
        <f t="shared" si="32"/>
        <v>3A2 Manure management (N2O)</v>
      </c>
      <c r="C80" t="str">
        <f t="shared" si="33"/>
        <v>3A2 Manure management (N2O)</v>
      </c>
      <c r="D80" t="s">
        <v>301</v>
      </c>
      <c r="E80" t="str">
        <f t="shared" si="34"/>
        <v>Manure EF</v>
      </c>
      <c r="F80" t="str">
        <f t="shared" si="35"/>
        <v>N2O</v>
      </c>
      <c r="G80" t="str">
        <f t="shared" si="36"/>
        <v>kg N2O-N/kg Nex</v>
      </c>
      <c r="H80" s="27">
        <v>1E-3</v>
      </c>
    </row>
    <row r="81" spans="1:8" x14ac:dyDescent="0.25">
      <c r="A81" t="str">
        <f t="shared" si="31"/>
        <v>3A Livestock</v>
      </c>
      <c r="B81" t="str">
        <f t="shared" si="32"/>
        <v>3A2 Manure management (N2O)</v>
      </c>
      <c r="C81" t="str">
        <f t="shared" si="33"/>
        <v>3A2 Manure management (N2O)</v>
      </c>
      <c r="D81" t="s">
        <v>302</v>
      </c>
      <c r="E81" t="str">
        <f t="shared" si="34"/>
        <v>Manure EF</v>
      </c>
      <c r="F81" t="str">
        <f t="shared" si="35"/>
        <v>N2O</v>
      </c>
      <c r="G81" t="str">
        <f t="shared" si="36"/>
        <v>kg N2O-N/kg Nex</v>
      </c>
      <c r="H81" s="27">
        <v>1E-3</v>
      </c>
    </row>
    <row r="82" spans="1:8" x14ac:dyDescent="0.25">
      <c r="A82" t="str">
        <f t="shared" si="31"/>
        <v>3A Livestock</v>
      </c>
      <c r="B82" t="str">
        <f t="shared" si="32"/>
        <v>3A2 Manure management (N2O)</v>
      </c>
      <c r="C82" t="str">
        <f t="shared" si="33"/>
        <v>3A2 Manure management (N2O)</v>
      </c>
      <c r="D82" t="s">
        <v>778</v>
      </c>
      <c r="E82" t="str">
        <f t="shared" si="34"/>
        <v>Manure EF</v>
      </c>
      <c r="F82" t="str">
        <f t="shared" si="35"/>
        <v>N2O</v>
      </c>
      <c r="G82" t="str">
        <f t="shared" si="36"/>
        <v>kg N2O-N/kg Nex</v>
      </c>
      <c r="H82" s="27">
        <v>0</v>
      </c>
    </row>
    <row r="84" spans="1:8" x14ac:dyDescent="0.25">
      <c r="A84" t="str">
        <f>'IPCC Categories'!A59</f>
        <v>3C Aggregated and non-CO2 emissions on land</v>
      </c>
      <c r="B84" t="str">
        <f>'IPCC Categories'!B59</f>
        <v>3C1 Biomass burning (CH4)</v>
      </c>
      <c r="C84" t="str">
        <f>'Activity data'!C24</f>
        <v>3C1a Biomass burning in forest land</v>
      </c>
      <c r="D84" t="str">
        <f>'Activity data'!D24</f>
        <v>Indigenous forests</v>
      </c>
      <c r="E84" t="s">
        <v>369</v>
      </c>
      <c r="G84" t="s">
        <v>370</v>
      </c>
      <c r="H84" s="56">
        <v>19.8</v>
      </c>
    </row>
    <row r="85" spans="1:8" x14ac:dyDescent="0.25">
      <c r="A85" t="str">
        <f>A84</f>
        <v>3C Aggregated and non-CO2 emissions on land</v>
      </c>
      <c r="B85" t="str">
        <f>B84</f>
        <v>3C1 Biomass burning (CH4)</v>
      </c>
      <c r="C85" t="str">
        <f>'Activity data'!C25</f>
        <v>3C1a Biomass burning in forest land</v>
      </c>
      <c r="D85" t="str">
        <f>'Activity data'!D25</f>
        <v>Thickets</v>
      </c>
      <c r="E85" t="str">
        <f>E84</f>
        <v>Biomass burning Mb</v>
      </c>
      <c r="G85" t="s">
        <v>370</v>
      </c>
      <c r="H85" s="56">
        <v>1.4</v>
      </c>
    </row>
    <row r="86" spans="1:8" x14ac:dyDescent="0.25">
      <c r="A86" t="str">
        <f t="shared" ref="A86:A147" si="37">A85</f>
        <v>3C Aggregated and non-CO2 emissions on land</v>
      </c>
      <c r="B86" t="str">
        <f t="shared" ref="B86:B99" si="38">B85</f>
        <v>3C1 Biomass burning (CH4)</v>
      </c>
      <c r="C86" t="str">
        <f>'Activity data'!C26</f>
        <v>3C1a Biomass burning in forest land</v>
      </c>
      <c r="D86" t="str">
        <f>'Activity data'!D26</f>
        <v>Woodlands</v>
      </c>
      <c r="E86" t="str">
        <f t="shared" ref="E86:E115" si="39">E85</f>
        <v>Biomass burning Mb</v>
      </c>
      <c r="G86" t="s">
        <v>370</v>
      </c>
      <c r="H86" s="56">
        <v>4.4000000000000004</v>
      </c>
    </row>
    <row r="87" spans="1:8" x14ac:dyDescent="0.25">
      <c r="A87" t="str">
        <f t="shared" si="37"/>
        <v>3C Aggregated and non-CO2 emissions on land</v>
      </c>
      <c r="B87" t="str">
        <f t="shared" si="38"/>
        <v>3C1 Biomass burning (CH4)</v>
      </c>
      <c r="C87" t="str">
        <f>'Activity data'!C27</f>
        <v>3C1a Biomass burning in forest land</v>
      </c>
      <c r="D87" t="str">
        <f>'Activity data'!D27</f>
        <v>Plantations</v>
      </c>
      <c r="E87" t="str">
        <f t="shared" si="39"/>
        <v>Biomass burning Mb</v>
      </c>
      <c r="G87" t="s">
        <v>370</v>
      </c>
      <c r="H87" s="56">
        <v>33.6</v>
      </c>
    </row>
    <row r="88" spans="1:8" x14ac:dyDescent="0.25">
      <c r="A88" t="str">
        <f t="shared" si="37"/>
        <v>3C Aggregated and non-CO2 emissions on land</v>
      </c>
      <c r="B88" t="str">
        <f t="shared" si="38"/>
        <v>3C1 Biomass burning (CH4)</v>
      </c>
      <c r="C88" t="str">
        <f>'Activity data'!C28</f>
        <v>3C1b Biomass burning in Croplands</v>
      </c>
      <c r="D88" t="str">
        <f>'Activity data'!D28</f>
        <v>Annual non-pivot</v>
      </c>
      <c r="E88" t="str">
        <f t="shared" si="39"/>
        <v>Biomass burning Mb</v>
      </c>
      <c r="G88" t="s">
        <v>370</v>
      </c>
      <c r="H88" s="56">
        <v>7</v>
      </c>
    </row>
    <row r="89" spans="1:8" x14ac:dyDescent="0.25">
      <c r="A89" t="str">
        <f t="shared" si="37"/>
        <v>3C Aggregated and non-CO2 emissions on land</v>
      </c>
      <c r="B89" t="str">
        <f t="shared" si="38"/>
        <v>3C1 Biomass burning (CH4)</v>
      </c>
      <c r="C89" t="str">
        <f>'Activity data'!C29</f>
        <v>3C1b Biomass burning in Croplands</v>
      </c>
      <c r="D89" t="str">
        <f>'Activity data'!D29</f>
        <v>Annual pivot</v>
      </c>
      <c r="E89" t="str">
        <f t="shared" si="39"/>
        <v>Biomass burning Mb</v>
      </c>
      <c r="G89" t="s">
        <v>370</v>
      </c>
      <c r="H89" s="56">
        <v>7</v>
      </c>
    </row>
    <row r="90" spans="1:8" x14ac:dyDescent="0.25">
      <c r="A90" t="str">
        <f t="shared" si="37"/>
        <v>3C Aggregated and non-CO2 emissions on land</v>
      </c>
      <c r="B90" t="str">
        <f t="shared" si="38"/>
        <v>3C1 Biomass burning (CH4)</v>
      </c>
      <c r="C90" t="str">
        <f>'Activity data'!C30</f>
        <v>3C1b Biomass burning in Croplands</v>
      </c>
      <c r="D90" t="str">
        <f>'Activity data'!D30</f>
        <v>Perennial orchards</v>
      </c>
      <c r="E90" t="str">
        <f t="shared" si="39"/>
        <v>Biomass burning Mb</v>
      </c>
      <c r="G90" t="s">
        <v>370</v>
      </c>
      <c r="H90" s="56">
        <v>7</v>
      </c>
    </row>
    <row r="91" spans="1:8" x14ac:dyDescent="0.25">
      <c r="A91" t="str">
        <f t="shared" si="37"/>
        <v>3C Aggregated and non-CO2 emissions on land</v>
      </c>
      <c r="B91" t="str">
        <f t="shared" si="38"/>
        <v>3C1 Biomass burning (CH4)</v>
      </c>
      <c r="C91" t="str">
        <f>'Activity data'!C31</f>
        <v>3C1b Biomass burning in Croplands</v>
      </c>
      <c r="D91" t="str">
        <f>'Activity data'!D31</f>
        <v>Perennial vineyards</v>
      </c>
      <c r="E91" t="str">
        <f t="shared" si="39"/>
        <v>Biomass burning Mb</v>
      </c>
      <c r="G91" t="s">
        <v>370</v>
      </c>
      <c r="H91" s="56">
        <v>7</v>
      </c>
    </row>
    <row r="92" spans="1:8" x14ac:dyDescent="0.25">
      <c r="A92" t="str">
        <f t="shared" si="37"/>
        <v>3C Aggregated and non-CO2 emissions on land</v>
      </c>
      <c r="B92" t="str">
        <f t="shared" si="38"/>
        <v>3C1 Biomass burning (CH4)</v>
      </c>
      <c r="C92" t="str">
        <f>'Activity data'!C32</f>
        <v>3C1b Biomass burning in Croplands</v>
      </c>
      <c r="D92" t="str">
        <f>'Activity data'!D32</f>
        <v>Cropland subsistence</v>
      </c>
      <c r="E92" t="str">
        <f t="shared" si="39"/>
        <v>Biomass burning Mb</v>
      </c>
      <c r="G92" t="s">
        <v>370</v>
      </c>
      <c r="H92" s="56">
        <v>7</v>
      </c>
    </row>
    <row r="93" spans="1:8" x14ac:dyDescent="0.25">
      <c r="A93" t="str">
        <f t="shared" si="37"/>
        <v>3C Aggregated and non-CO2 emissions on land</v>
      </c>
      <c r="B93" t="str">
        <f t="shared" si="38"/>
        <v>3C1 Biomass burning (CH4)</v>
      </c>
      <c r="C93" t="str">
        <f>'Activity data'!C33</f>
        <v>3C1c Biomass burning in Grasslands</v>
      </c>
      <c r="D93" t="str">
        <f>'Activity data'!D33</f>
        <v>Grasslands</v>
      </c>
      <c r="E93" t="str">
        <f t="shared" si="39"/>
        <v>Biomass burning Mb</v>
      </c>
      <c r="G93" t="s">
        <v>370</v>
      </c>
      <c r="H93" s="56">
        <v>4.0999999999999996</v>
      </c>
    </row>
    <row r="94" spans="1:8" x14ac:dyDescent="0.25">
      <c r="A94" t="str">
        <f t="shared" si="37"/>
        <v>3C Aggregated and non-CO2 emissions on land</v>
      </c>
      <c r="B94" t="str">
        <f t="shared" si="38"/>
        <v>3C1 Biomass burning (CH4)</v>
      </c>
      <c r="C94" t="str">
        <f>'Activity data'!C34</f>
        <v>3C1c Biomass burning in Grasslands</v>
      </c>
      <c r="D94" t="str">
        <f>'Activity data'!D34</f>
        <v>Low shrublands</v>
      </c>
      <c r="E94" t="str">
        <f t="shared" si="39"/>
        <v>Biomass burning Mb</v>
      </c>
      <c r="G94" t="s">
        <v>370</v>
      </c>
      <c r="H94" s="56">
        <v>2.4</v>
      </c>
    </row>
    <row r="95" spans="1:8" x14ac:dyDescent="0.25">
      <c r="A95" t="str">
        <f>A99</f>
        <v>3C Aggregated and non-CO2 emissions on land</v>
      </c>
      <c r="B95" t="str">
        <f>B99</f>
        <v>3C1 Biomass burning (CH4)</v>
      </c>
      <c r="C95" t="str">
        <f>'Activity data'!C35</f>
        <v>3C1f Biomass burning in Other lands</v>
      </c>
      <c r="D95" t="str">
        <f>'Activity data'!D35</f>
        <v>Degraded land</v>
      </c>
      <c r="E95" t="str">
        <f>E99</f>
        <v>Biomass burning Mb</v>
      </c>
      <c r="G95" t="s">
        <v>370</v>
      </c>
      <c r="H95" s="56">
        <v>2</v>
      </c>
    </row>
    <row r="96" spans="1:8" x14ac:dyDescent="0.25">
      <c r="A96" t="str">
        <f>A94</f>
        <v>3C Aggregated and non-CO2 emissions on land</v>
      </c>
      <c r="B96" t="str">
        <f>B94</f>
        <v>3C1 Biomass burning (CH4)</v>
      </c>
      <c r="C96" t="str">
        <f>'Activity data'!C36</f>
        <v>3C1d Biomass burning in Wetlands</v>
      </c>
      <c r="D96" t="str">
        <f>'Activity data'!D36</f>
        <v>Wetlands</v>
      </c>
      <c r="E96" t="str">
        <f>E94</f>
        <v>Biomass burning Mb</v>
      </c>
      <c r="G96" t="s">
        <v>370</v>
      </c>
      <c r="H96" s="56">
        <v>4.0999999999999996</v>
      </c>
    </row>
    <row r="97" spans="1:8" x14ac:dyDescent="0.25">
      <c r="A97" t="str">
        <f t="shared" si="37"/>
        <v>3C Aggregated and non-CO2 emissions on land</v>
      </c>
      <c r="B97" t="str">
        <f t="shared" si="38"/>
        <v>3C1 Biomass burning (CH4)</v>
      </c>
      <c r="C97" t="str">
        <f>'Activity data'!C37</f>
        <v>3C1e Biomass burning in Settlements</v>
      </c>
      <c r="D97" t="str">
        <f>'Activity data'!D37</f>
        <v>Settlements</v>
      </c>
      <c r="E97" t="str">
        <f t="shared" si="39"/>
        <v>Biomass burning Mb</v>
      </c>
      <c r="G97" t="s">
        <v>370</v>
      </c>
      <c r="H97" s="56">
        <v>4.0999999999999996</v>
      </c>
    </row>
    <row r="98" spans="1:8" x14ac:dyDescent="0.25">
      <c r="A98" t="str">
        <f t="shared" si="37"/>
        <v>3C Aggregated and non-CO2 emissions on land</v>
      </c>
      <c r="B98" t="str">
        <f t="shared" si="38"/>
        <v>3C1 Biomass burning (CH4)</v>
      </c>
      <c r="C98" t="str">
        <f>'Activity data'!C38</f>
        <v>3C1e Biomass burning in Settlements</v>
      </c>
      <c r="D98" t="str">
        <f>'Activity data'!D38</f>
        <v>Mines</v>
      </c>
      <c r="E98" t="str">
        <f t="shared" si="39"/>
        <v>Biomass burning Mb</v>
      </c>
      <c r="G98" t="s">
        <v>370</v>
      </c>
      <c r="H98" s="56">
        <v>4.0999999999999996</v>
      </c>
    </row>
    <row r="99" spans="1:8" x14ac:dyDescent="0.25">
      <c r="A99" t="str">
        <f t="shared" si="37"/>
        <v>3C Aggregated and non-CO2 emissions on land</v>
      </c>
      <c r="B99" t="str">
        <f t="shared" si="38"/>
        <v>3C1 Biomass burning (CH4)</v>
      </c>
      <c r="C99" t="str">
        <f>'Activity data'!C39</f>
        <v>3C1f Biomass burning in Other lands</v>
      </c>
      <c r="D99" t="str">
        <f>'Activity data'!D39</f>
        <v>Bare ground</v>
      </c>
      <c r="E99" t="str">
        <f t="shared" si="39"/>
        <v>Biomass burning Mb</v>
      </c>
      <c r="G99" t="s">
        <v>370</v>
      </c>
      <c r="H99" s="56">
        <v>0</v>
      </c>
    </row>
    <row r="100" spans="1:8" x14ac:dyDescent="0.25">
      <c r="A100" t="str">
        <f>A95</f>
        <v>3C Aggregated and non-CO2 emissions on land</v>
      </c>
      <c r="B100" t="str">
        <f>'IPCC Categories'!B65</f>
        <v>3C1 Biomass burning (N2O)</v>
      </c>
      <c r="C100" t="str">
        <f t="shared" ref="C100:D119" si="40">C84</f>
        <v>3C1a Biomass burning in forest land</v>
      </c>
      <c r="D100" t="str">
        <f t="shared" si="40"/>
        <v>Indigenous forests</v>
      </c>
      <c r="E100" t="s">
        <v>368</v>
      </c>
      <c r="G100" t="s">
        <v>711</v>
      </c>
      <c r="H100" s="27">
        <v>1</v>
      </c>
    </row>
    <row r="101" spans="1:8" x14ac:dyDescent="0.25">
      <c r="A101" t="str">
        <f t="shared" si="37"/>
        <v>3C Aggregated and non-CO2 emissions on land</v>
      </c>
      <c r="B101" t="str">
        <f>B100</f>
        <v>3C1 Biomass burning (N2O)</v>
      </c>
      <c r="C101" t="str">
        <f t="shared" si="40"/>
        <v>3C1a Biomass burning in forest land</v>
      </c>
      <c r="D101" t="str">
        <f t="shared" si="40"/>
        <v>Thickets</v>
      </c>
      <c r="E101" t="str">
        <f t="shared" si="39"/>
        <v>Biomass burning Cf</v>
      </c>
      <c r="G101" t="s">
        <v>711</v>
      </c>
      <c r="H101" s="56">
        <v>0.95</v>
      </c>
    </row>
    <row r="102" spans="1:8" x14ac:dyDescent="0.25">
      <c r="A102" t="str">
        <f t="shared" si="37"/>
        <v>3C Aggregated and non-CO2 emissions on land</v>
      </c>
      <c r="B102" t="str">
        <f t="shared" ref="B102:B147" si="41">B101</f>
        <v>3C1 Biomass burning (N2O)</v>
      </c>
      <c r="C102" t="str">
        <f t="shared" si="40"/>
        <v>3C1a Biomass burning in forest land</v>
      </c>
      <c r="D102" t="str">
        <f t="shared" si="40"/>
        <v>Woodlands</v>
      </c>
      <c r="E102" t="str">
        <f t="shared" si="39"/>
        <v>Biomass burning Cf</v>
      </c>
      <c r="G102" t="s">
        <v>711</v>
      </c>
      <c r="H102" s="56">
        <v>0.8</v>
      </c>
    </row>
    <row r="103" spans="1:8" x14ac:dyDescent="0.25">
      <c r="A103" t="str">
        <f t="shared" si="37"/>
        <v>3C Aggregated and non-CO2 emissions on land</v>
      </c>
      <c r="B103" t="str">
        <f t="shared" si="41"/>
        <v>3C1 Biomass burning (N2O)</v>
      </c>
      <c r="C103" t="str">
        <f t="shared" si="40"/>
        <v>3C1a Biomass burning in forest land</v>
      </c>
      <c r="D103" t="str">
        <f t="shared" si="40"/>
        <v>Plantations</v>
      </c>
      <c r="E103" t="str">
        <f t="shared" si="39"/>
        <v>Biomass burning Cf</v>
      </c>
      <c r="G103" t="s">
        <v>711</v>
      </c>
      <c r="H103" s="27">
        <v>1</v>
      </c>
    </row>
    <row r="104" spans="1:8" x14ac:dyDescent="0.25">
      <c r="A104" t="str">
        <f t="shared" si="37"/>
        <v>3C Aggregated and non-CO2 emissions on land</v>
      </c>
      <c r="B104" t="str">
        <f t="shared" si="41"/>
        <v>3C1 Biomass burning (N2O)</v>
      </c>
      <c r="C104" t="str">
        <f t="shared" si="40"/>
        <v>3C1b Biomass burning in Croplands</v>
      </c>
      <c r="D104" t="str">
        <f t="shared" si="40"/>
        <v>Annual non-pivot</v>
      </c>
      <c r="E104" t="str">
        <f t="shared" si="39"/>
        <v>Biomass burning Cf</v>
      </c>
      <c r="G104" t="s">
        <v>711</v>
      </c>
      <c r="H104" s="27">
        <v>1</v>
      </c>
    </row>
    <row r="105" spans="1:8" x14ac:dyDescent="0.25">
      <c r="A105" t="str">
        <f t="shared" si="37"/>
        <v>3C Aggregated and non-CO2 emissions on land</v>
      </c>
      <c r="B105" t="str">
        <f t="shared" si="41"/>
        <v>3C1 Biomass burning (N2O)</v>
      </c>
      <c r="C105" t="str">
        <f t="shared" si="40"/>
        <v>3C1b Biomass burning in Croplands</v>
      </c>
      <c r="D105" t="str">
        <f t="shared" si="40"/>
        <v>Annual pivot</v>
      </c>
      <c r="E105" t="str">
        <f t="shared" si="39"/>
        <v>Biomass burning Cf</v>
      </c>
      <c r="G105" t="s">
        <v>711</v>
      </c>
      <c r="H105" s="27">
        <v>1</v>
      </c>
    </row>
    <row r="106" spans="1:8" x14ac:dyDescent="0.25">
      <c r="A106" t="str">
        <f t="shared" si="37"/>
        <v>3C Aggregated and non-CO2 emissions on land</v>
      </c>
      <c r="B106" t="str">
        <f t="shared" si="41"/>
        <v>3C1 Biomass burning (N2O)</v>
      </c>
      <c r="C106" t="str">
        <f t="shared" si="40"/>
        <v>3C1b Biomass burning in Croplands</v>
      </c>
      <c r="D106" t="str">
        <f t="shared" si="40"/>
        <v>Perennial orchards</v>
      </c>
      <c r="E106" t="str">
        <f t="shared" si="39"/>
        <v>Biomass burning Cf</v>
      </c>
      <c r="G106" t="s">
        <v>711</v>
      </c>
      <c r="H106" s="27">
        <v>1</v>
      </c>
    </row>
    <row r="107" spans="1:8" x14ac:dyDescent="0.25">
      <c r="A107" t="str">
        <f t="shared" si="37"/>
        <v>3C Aggregated and non-CO2 emissions on land</v>
      </c>
      <c r="B107" t="str">
        <f t="shared" si="41"/>
        <v>3C1 Biomass burning (N2O)</v>
      </c>
      <c r="C107" t="str">
        <f t="shared" si="40"/>
        <v>3C1b Biomass burning in Croplands</v>
      </c>
      <c r="D107" t="str">
        <f t="shared" si="40"/>
        <v>Perennial vineyards</v>
      </c>
      <c r="E107" t="str">
        <f t="shared" si="39"/>
        <v>Biomass burning Cf</v>
      </c>
      <c r="G107" t="s">
        <v>711</v>
      </c>
      <c r="H107" s="27">
        <v>1</v>
      </c>
    </row>
    <row r="108" spans="1:8" x14ac:dyDescent="0.25">
      <c r="A108" t="str">
        <f t="shared" si="37"/>
        <v>3C Aggregated and non-CO2 emissions on land</v>
      </c>
      <c r="B108" t="str">
        <f t="shared" si="41"/>
        <v>3C1 Biomass burning (N2O)</v>
      </c>
      <c r="C108" t="str">
        <f t="shared" si="40"/>
        <v>3C1b Biomass burning in Croplands</v>
      </c>
      <c r="D108" t="str">
        <f t="shared" si="40"/>
        <v>Cropland subsistence</v>
      </c>
      <c r="E108" t="str">
        <f t="shared" si="39"/>
        <v>Biomass burning Cf</v>
      </c>
      <c r="G108" t="s">
        <v>711</v>
      </c>
      <c r="H108" s="27">
        <v>1</v>
      </c>
    </row>
    <row r="109" spans="1:8" x14ac:dyDescent="0.25">
      <c r="A109" t="str">
        <f t="shared" si="37"/>
        <v>3C Aggregated and non-CO2 emissions on land</v>
      </c>
      <c r="B109" t="str">
        <f t="shared" si="41"/>
        <v>3C1 Biomass burning (N2O)</v>
      </c>
      <c r="C109" t="str">
        <f t="shared" si="40"/>
        <v>3C1c Biomass burning in Grasslands</v>
      </c>
      <c r="D109" t="str">
        <f t="shared" si="40"/>
        <v>Grasslands</v>
      </c>
      <c r="E109" t="str">
        <f t="shared" si="39"/>
        <v>Biomass burning Cf</v>
      </c>
      <c r="G109" t="s">
        <v>711</v>
      </c>
      <c r="H109" s="27">
        <v>1</v>
      </c>
    </row>
    <row r="110" spans="1:8" x14ac:dyDescent="0.25">
      <c r="A110" t="str">
        <f t="shared" si="37"/>
        <v>3C Aggregated and non-CO2 emissions on land</v>
      </c>
      <c r="B110" t="str">
        <f t="shared" si="41"/>
        <v>3C1 Biomass burning (N2O)</v>
      </c>
      <c r="C110" t="str">
        <f t="shared" si="40"/>
        <v>3C1c Biomass burning in Grasslands</v>
      </c>
      <c r="D110" t="str">
        <f t="shared" si="40"/>
        <v>Low shrublands</v>
      </c>
      <c r="E110" t="str">
        <f t="shared" si="39"/>
        <v>Biomass burning Cf</v>
      </c>
      <c r="G110" t="s">
        <v>711</v>
      </c>
      <c r="H110" s="56">
        <v>0.91</v>
      </c>
    </row>
    <row r="111" spans="1:8" x14ac:dyDescent="0.25">
      <c r="A111" t="str">
        <f>A115</f>
        <v>3C Aggregated and non-CO2 emissions on land</v>
      </c>
      <c r="B111" t="str">
        <f>B115</f>
        <v>3C1 Biomass burning (N2O)</v>
      </c>
      <c r="C111" t="str">
        <f t="shared" si="40"/>
        <v>3C1f Biomass burning in Other lands</v>
      </c>
      <c r="D111" t="str">
        <f t="shared" si="40"/>
        <v>Degraded land</v>
      </c>
      <c r="E111" t="str">
        <f>E115</f>
        <v>Biomass burning Cf</v>
      </c>
      <c r="G111" t="s">
        <v>711</v>
      </c>
      <c r="H111" s="27">
        <v>1</v>
      </c>
    </row>
    <row r="112" spans="1:8" x14ac:dyDescent="0.25">
      <c r="A112" t="str">
        <f>A110</f>
        <v>3C Aggregated and non-CO2 emissions on land</v>
      </c>
      <c r="B112" t="str">
        <f>B110</f>
        <v>3C1 Biomass burning (N2O)</v>
      </c>
      <c r="C112" t="str">
        <f t="shared" si="40"/>
        <v>3C1d Biomass burning in Wetlands</v>
      </c>
      <c r="D112" t="str">
        <f t="shared" si="40"/>
        <v>Wetlands</v>
      </c>
      <c r="E112" t="str">
        <f>E110</f>
        <v>Biomass burning Cf</v>
      </c>
      <c r="G112" t="s">
        <v>711</v>
      </c>
      <c r="H112" s="27">
        <v>1</v>
      </c>
    </row>
    <row r="113" spans="1:8" x14ac:dyDescent="0.25">
      <c r="A113" t="str">
        <f t="shared" si="37"/>
        <v>3C Aggregated and non-CO2 emissions on land</v>
      </c>
      <c r="B113" t="str">
        <f t="shared" si="41"/>
        <v>3C1 Biomass burning (N2O)</v>
      </c>
      <c r="C113" t="str">
        <f t="shared" si="40"/>
        <v>3C1e Biomass burning in Settlements</v>
      </c>
      <c r="D113" t="str">
        <f t="shared" si="40"/>
        <v>Settlements</v>
      </c>
      <c r="E113" t="str">
        <f t="shared" si="39"/>
        <v>Biomass burning Cf</v>
      </c>
      <c r="G113" t="s">
        <v>711</v>
      </c>
      <c r="H113" s="27">
        <v>1</v>
      </c>
    </row>
    <row r="114" spans="1:8" x14ac:dyDescent="0.25">
      <c r="A114" t="str">
        <f t="shared" si="37"/>
        <v>3C Aggregated and non-CO2 emissions on land</v>
      </c>
      <c r="B114" t="str">
        <f t="shared" si="41"/>
        <v>3C1 Biomass burning (N2O)</v>
      </c>
      <c r="C114" t="str">
        <f t="shared" si="40"/>
        <v>3C1e Biomass burning in Settlements</v>
      </c>
      <c r="D114" t="str">
        <f t="shared" si="40"/>
        <v>Mines</v>
      </c>
      <c r="E114" t="str">
        <f t="shared" si="39"/>
        <v>Biomass burning Cf</v>
      </c>
      <c r="G114" t="s">
        <v>711</v>
      </c>
      <c r="H114" s="27">
        <v>1</v>
      </c>
    </row>
    <row r="115" spans="1:8" x14ac:dyDescent="0.25">
      <c r="A115" t="str">
        <f t="shared" si="37"/>
        <v>3C Aggregated and non-CO2 emissions on land</v>
      </c>
      <c r="B115" t="str">
        <f t="shared" si="41"/>
        <v>3C1 Biomass burning (N2O)</v>
      </c>
      <c r="C115" t="str">
        <f t="shared" si="40"/>
        <v>3C1f Biomass burning in Other lands</v>
      </c>
      <c r="D115" t="str">
        <f t="shared" si="40"/>
        <v>Bare ground</v>
      </c>
      <c r="E115" t="str">
        <f t="shared" si="39"/>
        <v>Biomass burning Cf</v>
      </c>
      <c r="G115" t="s">
        <v>711</v>
      </c>
      <c r="H115" s="56">
        <v>0</v>
      </c>
    </row>
    <row r="116" spans="1:8" x14ac:dyDescent="0.25">
      <c r="A116" t="str">
        <f t="shared" si="37"/>
        <v>3C Aggregated and non-CO2 emissions on land</v>
      </c>
      <c r="B116" t="str">
        <f t="shared" si="41"/>
        <v>3C1 Biomass burning (N2O)</v>
      </c>
      <c r="C116" t="str">
        <f t="shared" si="40"/>
        <v>3C1a Biomass burning in forest land</v>
      </c>
      <c r="D116" t="str">
        <f t="shared" si="40"/>
        <v>Indigenous forests</v>
      </c>
      <c r="E116" t="s">
        <v>367</v>
      </c>
      <c r="F116" t="s">
        <v>121</v>
      </c>
      <c r="G116" t="s">
        <v>371</v>
      </c>
      <c r="H116" s="27">
        <v>4.7</v>
      </c>
    </row>
    <row r="117" spans="1:8" x14ac:dyDescent="0.25">
      <c r="A117" t="str">
        <f t="shared" si="37"/>
        <v>3C Aggregated and non-CO2 emissions on land</v>
      </c>
      <c r="B117" t="str">
        <f t="shared" si="41"/>
        <v>3C1 Biomass burning (N2O)</v>
      </c>
      <c r="C117" t="str">
        <f t="shared" si="40"/>
        <v>3C1a Biomass burning in forest land</v>
      </c>
      <c r="D117" t="str">
        <f t="shared" si="40"/>
        <v>Thickets</v>
      </c>
      <c r="E117" t="str">
        <f>E116</f>
        <v>Biomass burning EF</v>
      </c>
      <c r="F117" t="str">
        <f>F116</f>
        <v>CH4</v>
      </c>
      <c r="G117" t="s">
        <v>371</v>
      </c>
      <c r="H117" s="27">
        <v>4.7</v>
      </c>
    </row>
    <row r="118" spans="1:8" x14ac:dyDescent="0.25">
      <c r="A118" t="str">
        <f t="shared" si="37"/>
        <v>3C Aggregated and non-CO2 emissions on land</v>
      </c>
      <c r="B118" t="str">
        <f t="shared" si="41"/>
        <v>3C1 Biomass burning (N2O)</v>
      </c>
      <c r="C118" t="str">
        <f t="shared" si="40"/>
        <v>3C1a Biomass burning in forest land</v>
      </c>
      <c r="D118" t="str">
        <f t="shared" si="40"/>
        <v>Woodlands</v>
      </c>
      <c r="E118" t="str">
        <f t="shared" ref="E118:E131" si="42">E117</f>
        <v>Biomass burning EF</v>
      </c>
      <c r="F118" t="str">
        <f t="shared" ref="F118:F131" si="43">F117</f>
        <v>CH4</v>
      </c>
      <c r="G118" t="s">
        <v>371</v>
      </c>
      <c r="H118" s="27">
        <v>2.2999999999999998</v>
      </c>
    </row>
    <row r="119" spans="1:8" x14ac:dyDescent="0.25">
      <c r="A119" t="str">
        <f t="shared" si="37"/>
        <v>3C Aggregated and non-CO2 emissions on land</v>
      </c>
      <c r="B119" t="str">
        <f t="shared" si="41"/>
        <v>3C1 Biomass burning (N2O)</v>
      </c>
      <c r="C119" t="str">
        <f t="shared" si="40"/>
        <v>3C1a Biomass burning in forest land</v>
      </c>
      <c r="D119" t="str">
        <f t="shared" si="40"/>
        <v>Plantations</v>
      </c>
      <c r="E119" t="str">
        <f t="shared" si="42"/>
        <v>Biomass burning EF</v>
      </c>
      <c r="F119" t="str">
        <f t="shared" si="43"/>
        <v>CH4</v>
      </c>
      <c r="G119" t="s">
        <v>371</v>
      </c>
      <c r="H119" s="27">
        <v>4.7</v>
      </c>
    </row>
    <row r="120" spans="1:8" x14ac:dyDescent="0.25">
      <c r="A120" t="str">
        <f t="shared" si="37"/>
        <v>3C Aggregated and non-CO2 emissions on land</v>
      </c>
      <c r="B120" t="str">
        <f t="shared" si="41"/>
        <v>3C1 Biomass burning (N2O)</v>
      </c>
      <c r="C120" t="str">
        <f t="shared" ref="C120:D139" si="44">C104</f>
        <v>3C1b Biomass burning in Croplands</v>
      </c>
      <c r="D120" t="str">
        <f t="shared" si="44"/>
        <v>Annual non-pivot</v>
      </c>
      <c r="E120" t="str">
        <f t="shared" si="42"/>
        <v>Biomass burning EF</v>
      </c>
      <c r="F120" t="str">
        <f t="shared" si="43"/>
        <v>CH4</v>
      </c>
      <c r="G120" t="s">
        <v>371</v>
      </c>
      <c r="H120" s="27">
        <v>2.7</v>
      </c>
    </row>
    <row r="121" spans="1:8" x14ac:dyDescent="0.25">
      <c r="A121" t="str">
        <f t="shared" si="37"/>
        <v>3C Aggregated and non-CO2 emissions on land</v>
      </c>
      <c r="B121" t="str">
        <f t="shared" si="41"/>
        <v>3C1 Biomass burning (N2O)</v>
      </c>
      <c r="C121" t="str">
        <f t="shared" si="44"/>
        <v>3C1b Biomass burning in Croplands</v>
      </c>
      <c r="D121" t="str">
        <f t="shared" si="44"/>
        <v>Annual pivot</v>
      </c>
      <c r="E121" t="str">
        <f t="shared" si="42"/>
        <v>Biomass burning EF</v>
      </c>
      <c r="F121" t="str">
        <f t="shared" si="43"/>
        <v>CH4</v>
      </c>
      <c r="G121" t="s">
        <v>371</v>
      </c>
      <c r="H121" s="27">
        <v>2.7</v>
      </c>
    </row>
    <row r="122" spans="1:8" x14ac:dyDescent="0.25">
      <c r="A122" t="str">
        <f t="shared" si="37"/>
        <v>3C Aggregated and non-CO2 emissions on land</v>
      </c>
      <c r="B122" t="str">
        <f t="shared" si="41"/>
        <v>3C1 Biomass burning (N2O)</v>
      </c>
      <c r="C122" t="str">
        <f t="shared" si="44"/>
        <v>3C1b Biomass burning in Croplands</v>
      </c>
      <c r="D122" t="str">
        <f t="shared" si="44"/>
        <v>Perennial orchards</v>
      </c>
      <c r="E122" t="str">
        <f t="shared" si="42"/>
        <v>Biomass burning EF</v>
      </c>
      <c r="F122" t="str">
        <f t="shared" si="43"/>
        <v>CH4</v>
      </c>
      <c r="G122" t="s">
        <v>371</v>
      </c>
      <c r="H122" s="27">
        <v>2.7</v>
      </c>
    </row>
    <row r="123" spans="1:8" x14ac:dyDescent="0.25">
      <c r="A123" t="str">
        <f t="shared" si="37"/>
        <v>3C Aggregated and non-CO2 emissions on land</v>
      </c>
      <c r="B123" t="str">
        <f t="shared" si="41"/>
        <v>3C1 Biomass burning (N2O)</v>
      </c>
      <c r="C123" t="str">
        <f t="shared" si="44"/>
        <v>3C1b Biomass burning in Croplands</v>
      </c>
      <c r="D123" t="str">
        <f t="shared" si="44"/>
        <v>Perennial vineyards</v>
      </c>
      <c r="E123" t="str">
        <f t="shared" si="42"/>
        <v>Biomass burning EF</v>
      </c>
      <c r="F123" t="str">
        <f t="shared" si="43"/>
        <v>CH4</v>
      </c>
      <c r="G123" t="s">
        <v>371</v>
      </c>
      <c r="H123" s="27">
        <v>2.7</v>
      </c>
    </row>
    <row r="124" spans="1:8" x14ac:dyDescent="0.25">
      <c r="A124" t="str">
        <f t="shared" si="37"/>
        <v>3C Aggregated and non-CO2 emissions on land</v>
      </c>
      <c r="B124" t="str">
        <f t="shared" si="41"/>
        <v>3C1 Biomass burning (N2O)</v>
      </c>
      <c r="C124" t="str">
        <f t="shared" si="44"/>
        <v>3C1b Biomass burning in Croplands</v>
      </c>
      <c r="D124" t="str">
        <f t="shared" si="44"/>
        <v>Cropland subsistence</v>
      </c>
      <c r="E124" t="str">
        <f t="shared" si="42"/>
        <v>Biomass burning EF</v>
      </c>
      <c r="F124" t="str">
        <f t="shared" si="43"/>
        <v>CH4</v>
      </c>
      <c r="G124" t="s">
        <v>371</v>
      </c>
      <c r="H124" s="27">
        <v>2.7</v>
      </c>
    </row>
    <row r="125" spans="1:8" x14ac:dyDescent="0.25">
      <c r="A125" t="str">
        <f t="shared" si="37"/>
        <v>3C Aggregated and non-CO2 emissions on land</v>
      </c>
      <c r="B125" t="str">
        <f t="shared" si="41"/>
        <v>3C1 Biomass burning (N2O)</v>
      </c>
      <c r="C125" t="str">
        <f t="shared" si="44"/>
        <v>3C1c Biomass burning in Grasslands</v>
      </c>
      <c r="D125" t="str">
        <f t="shared" si="44"/>
        <v>Grasslands</v>
      </c>
      <c r="E125" t="str">
        <f t="shared" si="42"/>
        <v>Biomass burning EF</v>
      </c>
      <c r="F125" t="str">
        <f t="shared" si="43"/>
        <v>CH4</v>
      </c>
      <c r="G125" t="s">
        <v>371</v>
      </c>
      <c r="H125" s="27">
        <v>2.2999999999999998</v>
      </c>
    </row>
    <row r="126" spans="1:8" x14ac:dyDescent="0.25">
      <c r="A126" t="str">
        <f t="shared" si="37"/>
        <v>3C Aggregated and non-CO2 emissions on land</v>
      </c>
      <c r="B126" t="str">
        <f t="shared" si="41"/>
        <v>3C1 Biomass burning (N2O)</v>
      </c>
      <c r="C126" t="str">
        <f t="shared" si="44"/>
        <v>3C1c Biomass burning in Grasslands</v>
      </c>
      <c r="D126" t="str">
        <f t="shared" si="44"/>
        <v>Low shrublands</v>
      </c>
      <c r="E126" t="str">
        <f t="shared" si="42"/>
        <v>Biomass burning EF</v>
      </c>
      <c r="F126" t="str">
        <f t="shared" si="43"/>
        <v>CH4</v>
      </c>
      <c r="G126" t="s">
        <v>371</v>
      </c>
      <c r="H126" s="27">
        <v>4.7</v>
      </c>
    </row>
    <row r="127" spans="1:8" x14ac:dyDescent="0.25">
      <c r="A127" t="str">
        <f t="shared" si="37"/>
        <v>3C Aggregated and non-CO2 emissions on land</v>
      </c>
      <c r="B127" t="str">
        <f t="shared" si="41"/>
        <v>3C1 Biomass burning (N2O)</v>
      </c>
      <c r="C127" t="str">
        <f t="shared" si="44"/>
        <v>3C1f Biomass burning in Other lands</v>
      </c>
      <c r="D127" t="str">
        <f t="shared" si="44"/>
        <v>Degraded land</v>
      </c>
      <c r="E127" t="str">
        <f>E131</f>
        <v>Biomass burning EF</v>
      </c>
      <c r="F127" t="str">
        <f>F131</f>
        <v>CH4</v>
      </c>
      <c r="G127" t="s">
        <v>371</v>
      </c>
      <c r="H127" s="27">
        <v>2.2999999999999998</v>
      </c>
    </row>
    <row r="128" spans="1:8" x14ac:dyDescent="0.25">
      <c r="A128" t="str">
        <f t="shared" si="37"/>
        <v>3C Aggregated and non-CO2 emissions on land</v>
      </c>
      <c r="B128" t="str">
        <f t="shared" si="41"/>
        <v>3C1 Biomass burning (N2O)</v>
      </c>
      <c r="C128" t="str">
        <f t="shared" si="44"/>
        <v>3C1d Biomass burning in Wetlands</v>
      </c>
      <c r="D128" t="str">
        <f t="shared" si="44"/>
        <v>Wetlands</v>
      </c>
      <c r="E128" t="str">
        <f>E126</f>
        <v>Biomass burning EF</v>
      </c>
      <c r="F128" t="str">
        <f>F126</f>
        <v>CH4</v>
      </c>
      <c r="G128" t="s">
        <v>371</v>
      </c>
      <c r="H128" s="27">
        <v>2.2999999999999998</v>
      </c>
    </row>
    <row r="129" spans="1:8" x14ac:dyDescent="0.25">
      <c r="A129" t="str">
        <f t="shared" si="37"/>
        <v>3C Aggregated and non-CO2 emissions on land</v>
      </c>
      <c r="B129" t="str">
        <f t="shared" si="41"/>
        <v>3C1 Biomass burning (N2O)</v>
      </c>
      <c r="C129" t="str">
        <f t="shared" si="44"/>
        <v>3C1e Biomass burning in Settlements</v>
      </c>
      <c r="D129" t="str">
        <f t="shared" si="44"/>
        <v>Settlements</v>
      </c>
      <c r="E129" t="str">
        <f t="shared" si="42"/>
        <v>Biomass burning EF</v>
      </c>
      <c r="F129" t="str">
        <f t="shared" si="43"/>
        <v>CH4</v>
      </c>
      <c r="G129" t="s">
        <v>371</v>
      </c>
      <c r="H129" s="27">
        <v>2.2999999999999998</v>
      </c>
    </row>
    <row r="130" spans="1:8" x14ac:dyDescent="0.25">
      <c r="A130" t="str">
        <f t="shared" si="37"/>
        <v>3C Aggregated and non-CO2 emissions on land</v>
      </c>
      <c r="B130" t="str">
        <f t="shared" si="41"/>
        <v>3C1 Biomass burning (N2O)</v>
      </c>
      <c r="C130" t="str">
        <f t="shared" si="44"/>
        <v>3C1e Biomass burning in Settlements</v>
      </c>
      <c r="D130" t="str">
        <f t="shared" si="44"/>
        <v>Mines</v>
      </c>
      <c r="E130" t="str">
        <f t="shared" si="42"/>
        <v>Biomass burning EF</v>
      </c>
      <c r="F130" t="str">
        <f t="shared" si="43"/>
        <v>CH4</v>
      </c>
      <c r="G130" t="s">
        <v>371</v>
      </c>
      <c r="H130" s="27">
        <v>2.2999999999999998</v>
      </c>
    </row>
    <row r="131" spans="1:8" x14ac:dyDescent="0.25">
      <c r="A131" t="str">
        <f t="shared" si="37"/>
        <v>3C Aggregated and non-CO2 emissions on land</v>
      </c>
      <c r="B131" t="str">
        <f t="shared" si="41"/>
        <v>3C1 Biomass burning (N2O)</v>
      </c>
      <c r="C131" t="str">
        <f t="shared" si="44"/>
        <v>3C1f Biomass burning in Other lands</v>
      </c>
      <c r="D131" t="str">
        <f t="shared" si="44"/>
        <v>Bare ground</v>
      </c>
      <c r="E131" t="str">
        <f t="shared" si="42"/>
        <v>Biomass burning EF</v>
      </c>
      <c r="F131" t="str">
        <f t="shared" si="43"/>
        <v>CH4</v>
      </c>
      <c r="G131" t="s">
        <v>371</v>
      </c>
      <c r="H131" s="27">
        <v>0</v>
      </c>
    </row>
    <row r="132" spans="1:8" x14ac:dyDescent="0.25">
      <c r="A132" t="str">
        <f t="shared" si="37"/>
        <v>3C Aggregated and non-CO2 emissions on land</v>
      </c>
      <c r="B132" t="str">
        <f t="shared" si="41"/>
        <v>3C1 Biomass burning (N2O)</v>
      </c>
      <c r="C132" t="str">
        <f t="shared" si="44"/>
        <v>3C1a Biomass burning in forest land</v>
      </c>
      <c r="D132" t="str">
        <f t="shared" si="44"/>
        <v>Indigenous forests</v>
      </c>
      <c r="E132" t="str">
        <f>E127</f>
        <v>Biomass burning EF</v>
      </c>
      <c r="F132" t="s">
        <v>139</v>
      </c>
      <c r="G132" t="s">
        <v>371</v>
      </c>
      <c r="H132" s="27">
        <v>0.26</v>
      </c>
    </row>
    <row r="133" spans="1:8" x14ac:dyDescent="0.25">
      <c r="A133" t="str">
        <f t="shared" si="37"/>
        <v>3C Aggregated and non-CO2 emissions on land</v>
      </c>
      <c r="B133" t="str">
        <f t="shared" si="41"/>
        <v>3C1 Biomass burning (N2O)</v>
      </c>
      <c r="C133" t="str">
        <f t="shared" si="44"/>
        <v>3C1a Biomass burning in forest land</v>
      </c>
      <c r="D133" t="str">
        <f t="shared" si="44"/>
        <v>Thickets</v>
      </c>
      <c r="E133" t="str">
        <f t="shared" ref="E133:E147" si="45">E132</f>
        <v>Biomass burning EF</v>
      </c>
      <c r="F133" t="str">
        <f t="shared" ref="F133:F147" si="46">F132</f>
        <v>N2O</v>
      </c>
      <c r="G133" t="s">
        <v>371</v>
      </c>
      <c r="H133" s="27">
        <v>0.26</v>
      </c>
    </row>
    <row r="134" spans="1:8" x14ac:dyDescent="0.25">
      <c r="A134" t="str">
        <f t="shared" si="37"/>
        <v>3C Aggregated and non-CO2 emissions on land</v>
      </c>
      <c r="B134" t="str">
        <f t="shared" si="41"/>
        <v>3C1 Biomass burning (N2O)</v>
      </c>
      <c r="C134" t="str">
        <f t="shared" si="44"/>
        <v>3C1a Biomass burning in forest land</v>
      </c>
      <c r="D134" t="str">
        <f t="shared" si="44"/>
        <v>Woodlands</v>
      </c>
      <c r="E134" t="str">
        <f t="shared" si="45"/>
        <v>Biomass burning EF</v>
      </c>
      <c r="F134" t="str">
        <f t="shared" si="46"/>
        <v>N2O</v>
      </c>
      <c r="G134" t="s">
        <v>371</v>
      </c>
      <c r="H134" s="27">
        <v>0.21</v>
      </c>
    </row>
    <row r="135" spans="1:8" x14ac:dyDescent="0.25">
      <c r="A135" t="str">
        <f t="shared" si="37"/>
        <v>3C Aggregated and non-CO2 emissions on land</v>
      </c>
      <c r="B135" t="str">
        <f t="shared" si="41"/>
        <v>3C1 Biomass burning (N2O)</v>
      </c>
      <c r="C135" t="str">
        <f t="shared" si="44"/>
        <v>3C1a Biomass burning in forest land</v>
      </c>
      <c r="D135" t="str">
        <f t="shared" si="44"/>
        <v>Plantations</v>
      </c>
      <c r="E135" t="str">
        <f t="shared" si="45"/>
        <v>Biomass burning EF</v>
      </c>
      <c r="F135" t="str">
        <f t="shared" si="46"/>
        <v>N2O</v>
      </c>
      <c r="G135" t="s">
        <v>371</v>
      </c>
      <c r="H135" s="27">
        <v>0.26</v>
      </c>
    </row>
    <row r="136" spans="1:8" x14ac:dyDescent="0.25">
      <c r="A136" t="str">
        <f t="shared" si="37"/>
        <v>3C Aggregated and non-CO2 emissions on land</v>
      </c>
      <c r="B136" t="str">
        <f t="shared" si="41"/>
        <v>3C1 Biomass burning (N2O)</v>
      </c>
      <c r="C136" t="str">
        <f t="shared" si="44"/>
        <v>3C1b Biomass burning in Croplands</v>
      </c>
      <c r="D136" t="str">
        <f t="shared" si="44"/>
        <v>Annual non-pivot</v>
      </c>
      <c r="E136" t="str">
        <f t="shared" si="45"/>
        <v>Biomass burning EF</v>
      </c>
      <c r="F136" t="str">
        <f t="shared" si="46"/>
        <v>N2O</v>
      </c>
      <c r="G136" t="s">
        <v>371</v>
      </c>
      <c r="H136" s="27">
        <v>7.0000000000000007E-2</v>
      </c>
    </row>
    <row r="137" spans="1:8" x14ac:dyDescent="0.25">
      <c r="A137" t="str">
        <f t="shared" si="37"/>
        <v>3C Aggregated and non-CO2 emissions on land</v>
      </c>
      <c r="B137" t="str">
        <f t="shared" si="41"/>
        <v>3C1 Biomass burning (N2O)</v>
      </c>
      <c r="C137" t="str">
        <f t="shared" si="44"/>
        <v>3C1b Biomass burning in Croplands</v>
      </c>
      <c r="D137" t="str">
        <f t="shared" si="44"/>
        <v>Annual pivot</v>
      </c>
      <c r="E137" t="str">
        <f t="shared" si="45"/>
        <v>Biomass burning EF</v>
      </c>
      <c r="F137" t="str">
        <f t="shared" si="46"/>
        <v>N2O</v>
      </c>
      <c r="G137" t="s">
        <v>371</v>
      </c>
      <c r="H137" s="27">
        <v>7.0000000000000007E-2</v>
      </c>
    </row>
    <row r="138" spans="1:8" x14ac:dyDescent="0.25">
      <c r="A138" t="str">
        <f t="shared" si="37"/>
        <v>3C Aggregated and non-CO2 emissions on land</v>
      </c>
      <c r="B138" t="str">
        <f t="shared" si="41"/>
        <v>3C1 Biomass burning (N2O)</v>
      </c>
      <c r="C138" t="str">
        <f t="shared" si="44"/>
        <v>3C1b Biomass burning in Croplands</v>
      </c>
      <c r="D138" t="str">
        <f t="shared" si="44"/>
        <v>Perennial orchards</v>
      </c>
      <c r="E138" t="str">
        <f t="shared" si="45"/>
        <v>Biomass burning EF</v>
      </c>
      <c r="F138" t="str">
        <f t="shared" si="46"/>
        <v>N2O</v>
      </c>
      <c r="G138" t="s">
        <v>371</v>
      </c>
      <c r="H138" s="27">
        <v>7.0000000000000007E-2</v>
      </c>
    </row>
    <row r="139" spans="1:8" x14ac:dyDescent="0.25">
      <c r="A139" t="str">
        <f t="shared" si="37"/>
        <v>3C Aggregated and non-CO2 emissions on land</v>
      </c>
      <c r="B139" t="str">
        <f t="shared" si="41"/>
        <v>3C1 Biomass burning (N2O)</v>
      </c>
      <c r="C139" t="str">
        <f t="shared" si="44"/>
        <v>3C1b Biomass burning in Croplands</v>
      </c>
      <c r="D139" t="str">
        <f t="shared" si="44"/>
        <v>Perennial vineyards</v>
      </c>
      <c r="E139" t="str">
        <f t="shared" si="45"/>
        <v>Biomass burning EF</v>
      </c>
      <c r="F139" t="str">
        <f t="shared" si="46"/>
        <v>N2O</v>
      </c>
      <c r="G139" t="s">
        <v>371</v>
      </c>
      <c r="H139" s="27">
        <v>7.0000000000000007E-2</v>
      </c>
    </row>
    <row r="140" spans="1:8" x14ac:dyDescent="0.25">
      <c r="A140" t="str">
        <f t="shared" si="37"/>
        <v>3C Aggregated and non-CO2 emissions on land</v>
      </c>
      <c r="B140" t="str">
        <f t="shared" si="41"/>
        <v>3C1 Biomass burning (N2O)</v>
      </c>
      <c r="C140" t="str">
        <f t="shared" ref="C140:D147" si="47">C124</f>
        <v>3C1b Biomass burning in Croplands</v>
      </c>
      <c r="D140" t="str">
        <f t="shared" si="47"/>
        <v>Cropland subsistence</v>
      </c>
      <c r="E140" t="str">
        <f t="shared" si="45"/>
        <v>Biomass burning EF</v>
      </c>
      <c r="F140" t="str">
        <f t="shared" si="46"/>
        <v>N2O</v>
      </c>
      <c r="G140" t="s">
        <v>371</v>
      </c>
      <c r="H140" s="27">
        <v>7.0000000000000007E-2</v>
      </c>
    </row>
    <row r="141" spans="1:8" x14ac:dyDescent="0.25">
      <c r="A141" t="str">
        <f t="shared" si="37"/>
        <v>3C Aggregated and non-CO2 emissions on land</v>
      </c>
      <c r="B141" t="str">
        <f t="shared" si="41"/>
        <v>3C1 Biomass burning (N2O)</v>
      </c>
      <c r="C141" t="str">
        <f t="shared" si="47"/>
        <v>3C1c Biomass burning in Grasslands</v>
      </c>
      <c r="D141" t="str">
        <f t="shared" si="47"/>
        <v>Grasslands</v>
      </c>
      <c r="E141" t="str">
        <f t="shared" si="45"/>
        <v>Biomass burning EF</v>
      </c>
      <c r="F141" t="str">
        <f t="shared" si="46"/>
        <v>N2O</v>
      </c>
      <c r="G141" t="s">
        <v>371</v>
      </c>
      <c r="H141" s="27">
        <v>0.21</v>
      </c>
    </row>
    <row r="142" spans="1:8" x14ac:dyDescent="0.25">
      <c r="A142" t="str">
        <f t="shared" si="37"/>
        <v>3C Aggregated and non-CO2 emissions on land</v>
      </c>
      <c r="B142" t="str">
        <f t="shared" si="41"/>
        <v>3C1 Biomass burning (N2O)</v>
      </c>
      <c r="C142" t="str">
        <f t="shared" si="47"/>
        <v>3C1c Biomass burning in Grasslands</v>
      </c>
      <c r="D142" t="str">
        <f t="shared" si="47"/>
        <v>Low shrublands</v>
      </c>
      <c r="E142" t="str">
        <f t="shared" si="45"/>
        <v>Biomass burning EF</v>
      </c>
      <c r="F142" t="str">
        <f t="shared" si="46"/>
        <v>N2O</v>
      </c>
      <c r="G142" t="s">
        <v>371</v>
      </c>
      <c r="H142" s="27">
        <v>0.26</v>
      </c>
    </row>
    <row r="143" spans="1:8" x14ac:dyDescent="0.25">
      <c r="A143" t="str">
        <f t="shared" si="37"/>
        <v>3C Aggregated and non-CO2 emissions on land</v>
      </c>
      <c r="B143" t="str">
        <f t="shared" si="41"/>
        <v>3C1 Biomass burning (N2O)</v>
      </c>
      <c r="C143" t="str">
        <f t="shared" si="47"/>
        <v>3C1f Biomass burning in Other lands</v>
      </c>
      <c r="D143" t="str">
        <f t="shared" si="47"/>
        <v>Degraded land</v>
      </c>
      <c r="E143" t="str">
        <f>E147</f>
        <v>Biomass burning EF</v>
      </c>
      <c r="F143" t="str">
        <f>F147</f>
        <v>N2O</v>
      </c>
      <c r="G143" t="s">
        <v>371</v>
      </c>
      <c r="H143" s="27">
        <v>0.21</v>
      </c>
    </row>
    <row r="144" spans="1:8" x14ac:dyDescent="0.25">
      <c r="A144" t="str">
        <f t="shared" si="37"/>
        <v>3C Aggregated and non-CO2 emissions on land</v>
      </c>
      <c r="B144" t="str">
        <f t="shared" si="41"/>
        <v>3C1 Biomass burning (N2O)</v>
      </c>
      <c r="C144" t="str">
        <f t="shared" si="47"/>
        <v>3C1d Biomass burning in Wetlands</v>
      </c>
      <c r="D144" t="str">
        <f t="shared" si="47"/>
        <v>Wetlands</v>
      </c>
      <c r="E144" t="str">
        <f>E142</f>
        <v>Biomass burning EF</v>
      </c>
      <c r="F144" t="str">
        <f>F142</f>
        <v>N2O</v>
      </c>
      <c r="G144" t="s">
        <v>371</v>
      </c>
      <c r="H144" s="27">
        <v>0.21</v>
      </c>
    </row>
    <row r="145" spans="1:8" x14ac:dyDescent="0.25">
      <c r="A145" t="str">
        <f t="shared" si="37"/>
        <v>3C Aggregated and non-CO2 emissions on land</v>
      </c>
      <c r="B145" t="str">
        <f t="shared" si="41"/>
        <v>3C1 Biomass burning (N2O)</v>
      </c>
      <c r="C145" t="str">
        <f t="shared" si="47"/>
        <v>3C1e Biomass burning in Settlements</v>
      </c>
      <c r="D145" t="str">
        <f t="shared" si="47"/>
        <v>Settlements</v>
      </c>
      <c r="E145" t="str">
        <f t="shared" si="45"/>
        <v>Biomass burning EF</v>
      </c>
      <c r="F145" t="str">
        <f t="shared" si="46"/>
        <v>N2O</v>
      </c>
      <c r="G145" t="s">
        <v>371</v>
      </c>
      <c r="H145" s="27">
        <v>0.21</v>
      </c>
    </row>
    <row r="146" spans="1:8" x14ac:dyDescent="0.25">
      <c r="A146" t="str">
        <f t="shared" si="37"/>
        <v>3C Aggregated and non-CO2 emissions on land</v>
      </c>
      <c r="B146" t="str">
        <f t="shared" si="41"/>
        <v>3C1 Biomass burning (N2O)</v>
      </c>
      <c r="C146" t="str">
        <f t="shared" si="47"/>
        <v>3C1e Biomass burning in Settlements</v>
      </c>
      <c r="D146" t="str">
        <f t="shared" si="47"/>
        <v>Mines</v>
      </c>
      <c r="E146" t="str">
        <f t="shared" si="45"/>
        <v>Biomass burning EF</v>
      </c>
      <c r="F146" t="str">
        <f t="shared" si="46"/>
        <v>N2O</v>
      </c>
      <c r="G146" t="s">
        <v>371</v>
      </c>
      <c r="H146" s="27">
        <v>0.21</v>
      </c>
    </row>
    <row r="147" spans="1:8" x14ac:dyDescent="0.25">
      <c r="A147" t="str">
        <f t="shared" si="37"/>
        <v>3C Aggregated and non-CO2 emissions on land</v>
      </c>
      <c r="B147" t="str">
        <f t="shared" si="41"/>
        <v>3C1 Biomass burning (N2O)</v>
      </c>
      <c r="C147" t="str">
        <f t="shared" si="47"/>
        <v>3C1f Biomass burning in Other lands</v>
      </c>
      <c r="D147" t="str">
        <f t="shared" si="47"/>
        <v>Bare ground</v>
      </c>
      <c r="E147" t="str">
        <f t="shared" si="45"/>
        <v>Biomass burning EF</v>
      </c>
      <c r="F147" t="str">
        <f t="shared" si="46"/>
        <v>N2O</v>
      </c>
      <c r="G147" t="s">
        <v>371</v>
      </c>
      <c r="H147" s="27">
        <v>0</v>
      </c>
    </row>
    <row r="149" spans="1:8" x14ac:dyDescent="0.25">
      <c r="A149" t="str">
        <f>'IPCC Categories'!A59</f>
        <v>3C Aggregated and non-CO2 emissions on land</v>
      </c>
      <c r="B149" t="str">
        <f>'IPCC Categories'!B71</f>
        <v>3C2 Liming (CO2)</v>
      </c>
      <c r="E149" t="s">
        <v>383</v>
      </c>
      <c r="F149" t="s">
        <v>385</v>
      </c>
      <c r="G149" t="s">
        <v>384</v>
      </c>
      <c r="H149" s="27">
        <v>0.125</v>
      </c>
    </row>
    <row r="150" spans="1:8" x14ac:dyDescent="0.25">
      <c r="A150" t="str">
        <f>A149</f>
        <v>3C Aggregated and non-CO2 emissions on land</v>
      </c>
      <c r="B150" t="str">
        <f>'IPCC Categories'!B72</f>
        <v>3C3 Urea application (CO2)</v>
      </c>
      <c r="E150" t="s">
        <v>390</v>
      </c>
      <c r="F150" t="s">
        <v>385</v>
      </c>
      <c r="G150" t="s">
        <v>391</v>
      </c>
      <c r="H150" s="27">
        <v>0.2</v>
      </c>
    </row>
    <row r="152" spans="1:8" x14ac:dyDescent="0.25">
      <c r="A152" t="str">
        <f>A150</f>
        <v>3C Aggregated and non-CO2 emissions on land</v>
      </c>
      <c r="B152" t="str">
        <f>'IPCC Categories'!B73</f>
        <v>3C4 Direct N2O from managed soils (N2O)</v>
      </c>
      <c r="C152" t="s">
        <v>396</v>
      </c>
      <c r="D152" t="s">
        <v>397</v>
      </c>
      <c r="E152" t="str">
        <f>C152&amp;D152</f>
        <v>FracMM - Diary cattle</v>
      </c>
      <c r="F152" t="s">
        <v>139</v>
      </c>
      <c r="G152" t="s">
        <v>382</v>
      </c>
      <c r="H152" s="22">
        <f>(SUM('Mitigation drivers'!C12:C20,'Mitigation drivers'!C24:C32)/2)/100</f>
        <v>0.7</v>
      </c>
    </row>
    <row r="153" spans="1:8" x14ac:dyDescent="0.25">
      <c r="A153" t="str">
        <f>A152</f>
        <v>3C Aggregated and non-CO2 emissions on land</v>
      </c>
      <c r="B153" t="str">
        <f>B152</f>
        <v>3C4 Direct N2O from managed soils (N2O)</v>
      </c>
      <c r="C153" t="str">
        <f>C152</f>
        <v>FracMM</v>
      </c>
      <c r="D153" t="s">
        <v>398</v>
      </c>
      <c r="E153" t="str">
        <f t="shared" ref="E153:E176" si="48">C153&amp;D153</f>
        <v>FracMM - commercial other cattle</v>
      </c>
      <c r="F153" t="str">
        <f>F152</f>
        <v>N2O</v>
      </c>
      <c r="G153" t="str">
        <f>G152</f>
        <v>fraction</v>
      </c>
      <c r="H153" s="22">
        <f>(SUM('Mitigation drivers'!C36:C44,'Mitigation drivers'!C49:C57)/2)/100</f>
        <v>0.05</v>
      </c>
    </row>
    <row r="154" spans="1:8" x14ac:dyDescent="0.25">
      <c r="A154" t="str">
        <f t="shared" ref="A154:A163" si="49">A153</f>
        <v>3C Aggregated and non-CO2 emissions on land</v>
      </c>
      <c r="B154" t="str">
        <f t="shared" ref="B154:B163" si="50">B153</f>
        <v>3C4 Direct N2O from managed soils (N2O)</v>
      </c>
      <c r="C154" t="str">
        <f t="shared" ref="C154:C163" si="51">C153</f>
        <v>FracMM</v>
      </c>
      <c r="D154" t="s">
        <v>399</v>
      </c>
      <c r="E154" t="str">
        <f t="shared" si="48"/>
        <v>FracMM - feedlot other cattle</v>
      </c>
      <c r="F154" t="str">
        <f t="shared" ref="F154:F163" si="52">F153</f>
        <v>N2O</v>
      </c>
      <c r="G154" t="str">
        <f t="shared" ref="G154:G163" si="53">G153</f>
        <v>fraction</v>
      </c>
      <c r="H154" s="22">
        <f>(SUM('Mitigation drivers'!C73:C81))/100</f>
        <v>1</v>
      </c>
    </row>
    <row r="155" spans="1:8" x14ac:dyDescent="0.25">
      <c r="A155" t="str">
        <f t="shared" si="49"/>
        <v>3C Aggregated and non-CO2 emissions on land</v>
      </c>
      <c r="B155" t="str">
        <f t="shared" si="50"/>
        <v>3C4 Direct N2O from managed soils (N2O)</v>
      </c>
      <c r="C155" t="str">
        <f t="shared" si="51"/>
        <v>FracMM</v>
      </c>
      <c r="D155" t="s">
        <v>400</v>
      </c>
      <c r="E155" t="str">
        <f t="shared" si="48"/>
        <v>FracMM - subsistence other cattle</v>
      </c>
      <c r="F155" t="str">
        <f t="shared" si="52"/>
        <v>N2O</v>
      </c>
      <c r="G155" t="str">
        <f t="shared" si="53"/>
        <v>fraction</v>
      </c>
      <c r="H155" s="22">
        <f>(SUM('Mitigation drivers'!C61:C69))/100</f>
        <v>0.1</v>
      </c>
    </row>
    <row r="156" spans="1:8" x14ac:dyDescent="0.25">
      <c r="A156" t="str">
        <f t="shared" si="49"/>
        <v>3C Aggregated and non-CO2 emissions on land</v>
      </c>
      <c r="B156" t="str">
        <f t="shared" si="50"/>
        <v>3C4 Direct N2O from managed soils (N2O)</v>
      </c>
      <c r="C156" t="str">
        <f t="shared" si="51"/>
        <v>FracMM</v>
      </c>
      <c r="D156" t="s">
        <v>401</v>
      </c>
      <c r="E156" t="str">
        <f t="shared" si="48"/>
        <v>FracMM - commercial sheep</v>
      </c>
      <c r="F156" t="str">
        <f t="shared" si="52"/>
        <v>N2O</v>
      </c>
      <c r="G156" t="str">
        <f t="shared" si="53"/>
        <v>fraction</v>
      </c>
      <c r="H156" s="22">
        <f>(SUM('Mitigation drivers'!C86:C94))/100</f>
        <v>0.01</v>
      </c>
    </row>
    <row r="157" spans="1:8" x14ac:dyDescent="0.25">
      <c r="A157" t="str">
        <f t="shared" si="49"/>
        <v>3C Aggregated and non-CO2 emissions on land</v>
      </c>
      <c r="B157" t="str">
        <f t="shared" si="50"/>
        <v>3C4 Direct N2O from managed soils (N2O)</v>
      </c>
      <c r="C157" t="str">
        <f t="shared" si="51"/>
        <v>FracMM</v>
      </c>
      <c r="D157" t="s">
        <v>402</v>
      </c>
      <c r="E157" t="str">
        <f t="shared" si="48"/>
        <v>FracMM - subsistence sheep</v>
      </c>
      <c r="F157" t="str">
        <f t="shared" si="52"/>
        <v>N2O</v>
      </c>
      <c r="G157" t="str">
        <f t="shared" si="53"/>
        <v>fraction</v>
      </c>
      <c r="H157" s="22">
        <f>(SUM('Mitigation drivers'!C97:C105))/100</f>
        <v>7.0000000000000007E-2</v>
      </c>
    </row>
    <row r="158" spans="1:8" x14ac:dyDescent="0.25">
      <c r="A158" t="str">
        <f t="shared" si="49"/>
        <v>3C Aggregated and non-CO2 emissions on land</v>
      </c>
      <c r="B158" t="str">
        <f t="shared" si="50"/>
        <v>3C4 Direct N2O from managed soils (N2O)</v>
      </c>
      <c r="C158" t="str">
        <f t="shared" si="51"/>
        <v>FracMM</v>
      </c>
      <c r="D158" t="s">
        <v>403</v>
      </c>
      <c r="E158" t="str">
        <f t="shared" si="48"/>
        <v>FracMM - commercial goats</v>
      </c>
      <c r="F158" t="str">
        <f t="shared" si="52"/>
        <v>N2O</v>
      </c>
      <c r="G158" t="str">
        <f t="shared" si="53"/>
        <v>fraction</v>
      </c>
      <c r="H158" s="22">
        <f>(SUM('Mitigation drivers'!C110:C118))/100</f>
        <v>0.01</v>
      </c>
    </row>
    <row r="159" spans="1:8" x14ac:dyDescent="0.25">
      <c r="A159" t="str">
        <f t="shared" si="49"/>
        <v>3C Aggregated and non-CO2 emissions on land</v>
      </c>
      <c r="B159" t="str">
        <f t="shared" si="50"/>
        <v>3C4 Direct N2O from managed soils (N2O)</v>
      </c>
      <c r="C159" t="str">
        <f t="shared" si="51"/>
        <v>FracMM</v>
      </c>
      <c r="D159" t="s">
        <v>404</v>
      </c>
      <c r="E159" t="str">
        <f t="shared" si="48"/>
        <v>FracMM - subsistence goats</v>
      </c>
      <c r="F159" t="str">
        <f t="shared" si="52"/>
        <v>N2O</v>
      </c>
      <c r="G159" t="str">
        <f t="shared" si="53"/>
        <v>fraction</v>
      </c>
      <c r="H159" s="22">
        <f>(SUM('Mitigation drivers'!C122:C130))/100</f>
        <v>7.0000000000000007E-2</v>
      </c>
    </row>
    <row r="160" spans="1:8" x14ac:dyDescent="0.25">
      <c r="A160" t="str">
        <f t="shared" si="49"/>
        <v>3C Aggregated and non-CO2 emissions on land</v>
      </c>
      <c r="B160" t="str">
        <f t="shared" si="50"/>
        <v>3C4 Direct N2O from managed soils (N2O)</v>
      </c>
      <c r="C160" t="str">
        <f t="shared" si="51"/>
        <v>FracMM</v>
      </c>
      <c r="D160" t="s">
        <v>405</v>
      </c>
      <c r="E160" t="str">
        <f t="shared" si="48"/>
        <v>FracMM - commercial swine</v>
      </c>
      <c r="F160" t="str">
        <f t="shared" si="52"/>
        <v>N2O</v>
      </c>
      <c r="G160" t="str">
        <f t="shared" si="53"/>
        <v>fraction</v>
      </c>
      <c r="H160" s="22">
        <f>(SUM('Mitigation drivers'!C160:C168))/100</f>
        <v>1</v>
      </c>
    </row>
    <row r="161" spans="1:8" x14ac:dyDescent="0.25">
      <c r="A161" t="str">
        <f t="shared" si="49"/>
        <v>3C Aggregated and non-CO2 emissions on land</v>
      </c>
      <c r="B161" t="str">
        <f t="shared" si="50"/>
        <v>3C4 Direct N2O from managed soils (N2O)</v>
      </c>
      <c r="C161" t="str">
        <f t="shared" si="51"/>
        <v>FracMM</v>
      </c>
      <c r="D161" t="s">
        <v>406</v>
      </c>
      <c r="E161" t="str">
        <f t="shared" si="48"/>
        <v>FracMM - subsistence swine</v>
      </c>
      <c r="F161" t="str">
        <f t="shared" si="52"/>
        <v>N2O</v>
      </c>
      <c r="G161" t="str">
        <f t="shared" si="53"/>
        <v>fraction</v>
      </c>
      <c r="H161" s="22">
        <f>(SUM('Mitigation drivers'!C172:C180))/100</f>
        <v>1</v>
      </c>
    </row>
    <row r="162" spans="1:8" x14ac:dyDescent="0.25">
      <c r="A162" t="str">
        <f t="shared" si="49"/>
        <v>3C Aggregated and non-CO2 emissions on land</v>
      </c>
      <c r="B162" t="str">
        <f t="shared" si="50"/>
        <v>3C4 Direct N2O from managed soils (N2O)</v>
      </c>
      <c r="C162" t="str">
        <f t="shared" si="51"/>
        <v>FracMM</v>
      </c>
      <c r="D162" t="s">
        <v>407</v>
      </c>
      <c r="E162" t="str">
        <f t="shared" si="48"/>
        <v>FracMM - broilers</v>
      </c>
      <c r="F162" t="str">
        <f t="shared" si="52"/>
        <v>N2O</v>
      </c>
      <c r="G162" t="str">
        <f t="shared" si="53"/>
        <v>fraction</v>
      </c>
      <c r="H162" s="22">
        <f>(SUM('Mitigation drivers'!C197:C205,'Mitigation drivers'!C221:C229)/2)/100</f>
        <v>1</v>
      </c>
    </row>
    <row r="163" spans="1:8" x14ac:dyDescent="0.25">
      <c r="A163" t="str">
        <f t="shared" si="49"/>
        <v>3C Aggregated and non-CO2 emissions on land</v>
      </c>
      <c r="B163" t="str">
        <f t="shared" si="50"/>
        <v>3C4 Direct N2O from managed soils (N2O)</v>
      </c>
      <c r="C163" t="str">
        <f t="shared" si="51"/>
        <v>FracMM</v>
      </c>
      <c r="D163" t="s">
        <v>408</v>
      </c>
      <c r="E163" t="str">
        <f t="shared" si="48"/>
        <v>FracMM - layers</v>
      </c>
      <c r="F163" t="str">
        <f t="shared" si="52"/>
        <v>N2O</v>
      </c>
      <c r="G163" t="str">
        <f t="shared" si="53"/>
        <v>fraction</v>
      </c>
      <c r="H163" s="22">
        <f>(SUM('Mitigation drivers'!C185:C193,'Mitigation drivers'!C209:C217)/2)/100</f>
        <v>1</v>
      </c>
    </row>
    <row r="164" spans="1:8" x14ac:dyDescent="0.25">
      <c r="A164" t="str">
        <f t="shared" ref="A164" si="54">A163</f>
        <v>3C Aggregated and non-CO2 emissions on land</v>
      </c>
      <c r="B164" t="str">
        <f t="shared" ref="B164" si="55">B163</f>
        <v>3C4 Direct N2O from managed soils (N2O)</v>
      </c>
      <c r="C164" t="s">
        <v>409</v>
      </c>
      <c r="D164" t="str">
        <f>D152</f>
        <v xml:space="preserve"> - Diary cattle</v>
      </c>
      <c r="E164" t="str">
        <f t="shared" si="48"/>
        <v>FracLoss - Diary cattle</v>
      </c>
      <c r="F164" t="str">
        <f>F152</f>
        <v>N2O</v>
      </c>
      <c r="G164" t="str">
        <f>G152</f>
        <v>fraction</v>
      </c>
      <c r="H164" s="56">
        <v>0.44350000000000001</v>
      </c>
    </row>
    <row r="165" spans="1:8" x14ac:dyDescent="0.25">
      <c r="A165" t="str">
        <f t="shared" ref="A165:A192" si="56">A164</f>
        <v>3C Aggregated and non-CO2 emissions on land</v>
      </c>
      <c r="B165" t="str">
        <f t="shared" ref="B165:B192" si="57">B164</f>
        <v>3C4 Direct N2O from managed soils (N2O)</v>
      </c>
      <c r="C165" t="str">
        <f>C164</f>
        <v>FracLoss</v>
      </c>
      <c r="D165" t="str">
        <f t="shared" ref="D165:G165" si="58">D153</f>
        <v xml:space="preserve"> - commercial other cattle</v>
      </c>
      <c r="E165" t="str">
        <f t="shared" si="48"/>
        <v>FracLoss - commercial other cattle</v>
      </c>
      <c r="F165" t="str">
        <f t="shared" si="58"/>
        <v>N2O</v>
      </c>
      <c r="G165" t="str">
        <f t="shared" si="58"/>
        <v>fraction</v>
      </c>
      <c r="H165" s="56">
        <v>1.4E-2</v>
      </c>
    </row>
    <row r="166" spans="1:8" x14ac:dyDescent="0.25">
      <c r="A166" t="str">
        <f t="shared" si="56"/>
        <v>3C Aggregated and non-CO2 emissions on land</v>
      </c>
      <c r="B166" t="str">
        <f t="shared" si="57"/>
        <v>3C4 Direct N2O from managed soils (N2O)</v>
      </c>
      <c r="C166" t="str">
        <f>C165</f>
        <v>FracLoss</v>
      </c>
      <c r="D166" t="str">
        <f t="shared" ref="D166:G166" si="59">D154</f>
        <v xml:space="preserve"> - feedlot other cattle</v>
      </c>
      <c r="E166" t="str">
        <f t="shared" si="48"/>
        <v>FracLoss - feedlot other cattle</v>
      </c>
      <c r="F166" t="str">
        <f t="shared" si="59"/>
        <v>N2O</v>
      </c>
      <c r="G166" t="str">
        <f t="shared" si="59"/>
        <v>fraction</v>
      </c>
      <c r="H166" s="56">
        <v>0.38600000000000001</v>
      </c>
    </row>
    <row r="167" spans="1:8" x14ac:dyDescent="0.25">
      <c r="A167" t="str">
        <f t="shared" si="56"/>
        <v>3C Aggregated and non-CO2 emissions on land</v>
      </c>
      <c r="B167" t="str">
        <f t="shared" si="57"/>
        <v>3C4 Direct N2O from managed soils (N2O)</v>
      </c>
      <c r="C167" t="str">
        <f t="shared" ref="C167:C175" si="60">C166</f>
        <v>FracLoss</v>
      </c>
      <c r="D167" t="str">
        <f t="shared" ref="D167:G167" si="61">D155</f>
        <v xml:space="preserve"> - subsistence other cattle</v>
      </c>
      <c r="E167" t="str">
        <f t="shared" si="48"/>
        <v>FracLoss - subsistence other cattle</v>
      </c>
      <c r="F167" t="str">
        <f t="shared" si="61"/>
        <v>N2O</v>
      </c>
      <c r="G167" t="str">
        <f t="shared" si="61"/>
        <v>fraction</v>
      </c>
      <c r="H167" s="56">
        <v>0.04</v>
      </c>
    </row>
    <row r="168" spans="1:8" x14ac:dyDescent="0.25">
      <c r="A168" t="str">
        <f t="shared" si="56"/>
        <v>3C Aggregated and non-CO2 emissions on land</v>
      </c>
      <c r="B168" t="str">
        <f t="shared" si="57"/>
        <v>3C4 Direct N2O from managed soils (N2O)</v>
      </c>
      <c r="C168" t="str">
        <f t="shared" si="60"/>
        <v>FracLoss</v>
      </c>
      <c r="D168" t="str">
        <f t="shared" ref="D168:G168" si="62">D156</f>
        <v xml:space="preserve"> - commercial sheep</v>
      </c>
      <c r="E168" t="str">
        <f t="shared" si="48"/>
        <v>FracLoss - commercial sheep</v>
      </c>
      <c r="F168" t="str">
        <f t="shared" si="62"/>
        <v>N2O</v>
      </c>
      <c r="G168" t="str">
        <f t="shared" si="62"/>
        <v>fraction</v>
      </c>
      <c r="H168" s="56">
        <v>4.0000000000000001E-3</v>
      </c>
    </row>
    <row r="169" spans="1:8" x14ac:dyDescent="0.25">
      <c r="A169" t="str">
        <f t="shared" si="56"/>
        <v>3C Aggregated and non-CO2 emissions on land</v>
      </c>
      <c r="B169" t="str">
        <f t="shared" si="57"/>
        <v>3C4 Direct N2O from managed soils (N2O)</v>
      </c>
      <c r="C169" t="str">
        <f t="shared" si="60"/>
        <v>FracLoss</v>
      </c>
      <c r="D169" t="str">
        <f t="shared" ref="D169:G169" si="63">D157</f>
        <v xml:space="preserve"> - subsistence sheep</v>
      </c>
      <c r="E169" t="str">
        <f t="shared" si="48"/>
        <v>FracLoss - subsistence sheep</v>
      </c>
      <c r="F169" t="str">
        <f t="shared" si="63"/>
        <v>N2O</v>
      </c>
      <c r="G169" t="str">
        <f t="shared" si="63"/>
        <v>fraction</v>
      </c>
      <c r="H169" s="56">
        <v>2.5499999999999998E-2</v>
      </c>
    </row>
    <row r="170" spans="1:8" x14ac:dyDescent="0.25">
      <c r="A170" t="str">
        <f t="shared" si="56"/>
        <v>3C Aggregated and non-CO2 emissions on land</v>
      </c>
      <c r="B170" t="str">
        <f t="shared" si="57"/>
        <v>3C4 Direct N2O from managed soils (N2O)</v>
      </c>
      <c r="C170" t="str">
        <f t="shared" si="60"/>
        <v>FracLoss</v>
      </c>
      <c r="D170" t="str">
        <f t="shared" ref="D170:G170" si="64">D158</f>
        <v xml:space="preserve"> - commercial goats</v>
      </c>
      <c r="E170" t="str">
        <f t="shared" si="48"/>
        <v>FracLoss - commercial goats</v>
      </c>
      <c r="F170" t="str">
        <f t="shared" si="64"/>
        <v>N2O</v>
      </c>
      <c r="G170" t="str">
        <f t="shared" si="64"/>
        <v>fraction</v>
      </c>
      <c r="H170" s="56">
        <v>4.0000000000000001E-3</v>
      </c>
    </row>
    <row r="171" spans="1:8" x14ac:dyDescent="0.25">
      <c r="A171" t="str">
        <f t="shared" si="56"/>
        <v>3C Aggregated and non-CO2 emissions on land</v>
      </c>
      <c r="B171" t="str">
        <f t="shared" si="57"/>
        <v>3C4 Direct N2O from managed soils (N2O)</v>
      </c>
      <c r="C171" t="str">
        <f t="shared" si="60"/>
        <v>FracLoss</v>
      </c>
      <c r="D171" t="str">
        <f t="shared" ref="D171:G171" si="65">D159</f>
        <v xml:space="preserve"> - subsistence goats</v>
      </c>
      <c r="E171" t="str">
        <f t="shared" si="48"/>
        <v>FracLoss - subsistence goats</v>
      </c>
      <c r="F171" t="str">
        <f t="shared" si="65"/>
        <v>N2O</v>
      </c>
      <c r="G171" t="str">
        <f t="shared" si="65"/>
        <v>fraction</v>
      </c>
      <c r="H171" s="56">
        <v>2.5499999999999998E-2</v>
      </c>
    </row>
    <row r="172" spans="1:8" x14ac:dyDescent="0.25">
      <c r="A172" t="str">
        <f t="shared" si="56"/>
        <v>3C Aggregated and non-CO2 emissions on land</v>
      </c>
      <c r="B172" t="str">
        <f t="shared" si="57"/>
        <v>3C4 Direct N2O from managed soils (N2O)</v>
      </c>
      <c r="C172" t="str">
        <f t="shared" si="60"/>
        <v>FracLoss</v>
      </c>
      <c r="D172" t="str">
        <f t="shared" ref="D172:G172" si="66">D160</f>
        <v xml:space="preserve"> - commercial swine</v>
      </c>
      <c r="E172" t="str">
        <f t="shared" si="48"/>
        <v>FracLoss - commercial swine</v>
      </c>
      <c r="F172" t="str">
        <f t="shared" si="66"/>
        <v>N2O</v>
      </c>
      <c r="G172" t="str">
        <f t="shared" si="66"/>
        <v>fraction</v>
      </c>
      <c r="H172" s="56">
        <v>0.6522</v>
      </c>
    </row>
    <row r="173" spans="1:8" x14ac:dyDescent="0.25">
      <c r="A173" t="str">
        <f t="shared" si="56"/>
        <v>3C Aggregated and non-CO2 emissions on land</v>
      </c>
      <c r="B173" t="str">
        <f t="shared" si="57"/>
        <v>3C4 Direct N2O from managed soils (N2O)</v>
      </c>
      <c r="C173" t="str">
        <f t="shared" si="60"/>
        <v>FracLoss</v>
      </c>
      <c r="D173" t="str">
        <f t="shared" ref="D173:G173" si="67">D161</f>
        <v xml:space="preserve"> - subsistence swine</v>
      </c>
      <c r="E173" t="str">
        <f t="shared" si="48"/>
        <v>FracLoss - subsistence swine</v>
      </c>
      <c r="F173" t="str">
        <f t="shared" si="67"/>
        <v>N2O</v>
      </c>
      <c r="G173" t="str">
        <f t="shared" si="67"/>
        <v>fraction</v>
      </c>
      <c r="H173" s="56">
        <v>0.40959999999999996</v>
      </c>
    </row>
    <row r="174" spans="1:8" x14ac:dyDescent="0.25">
      <c r="A174" t="str">
        <f t="shared" si="56"/>
        <v>3C Aggregated and non-CO2 emissions on land</v>
      </c>
      <c r="B174" t="str">
        <f t="shared" si="57"/>
        <v>3C4 Direct N2O from managed soils (N2O)</v>
      </c>
      <c r="C174" t="str">
        <f t="shared" si="60"/>
        <v>FracLoss</v>
      </c>
      <c r="D174" t="str">
        <f t="shared" ref="D174:G174" si="68">D162</f>
        <v xml:space="preserve"> - broilers</v>
      </c>
      <c r="E174" t="str">
        <f t="shared" si="48"/>
        <v>FracLoss - broilers</v>
      </c>
      <c r="F174" t="str">
        <f t="shared" si="68"/>
        <v>N2O</v>
      </c>
      <c r="G174" t="str">
        <f t="shared" si="68"/>
        <v>fraction</v>
      </c>
      <c r="H174" s="56">
        <v>0.24</v>
      </c>
    </row>
    <row r="175" spans="1:8" x14ac:dyDescent="0.25">
      <c r="A175" t="str">
        <f t="shared" si="56"/>
        <v>3C Aggregated and non-CO2 emissions on land</v>
      </c>
      <c r="B175" t="str">
        <f t="shared" si="57"/>
        <v>3C4 Direct N2O from managed soils (N2O)</v>
      </c>
      <c r="C175" t="str">
        <f t="shared" si="60"/>
        <v>FracLoss</v>
      </c>
      <c r="D175" t="str">
        <f t="shared" ref="D175:G176" si="69">D163</f>
        <v xml:space="preserve"> - layers</v>
      </c>
      <c r="E175" t="str">
        <f t="shared" si="48"/>
        <v>FracLoss - layers</v>
      </c>
      <c r="F175" t="str">
        <f t="shared" si="69"/>
        <v>N2O</v>
      </c>
      <c r="G175" t="str">
        <f t="shared" si="69"/>
        <v>fraction</v>
      </c>
      <c r="H175" s="56">
        <v>0.29600000000000004</v>
      </c>
    </row>
    <row r="176" spans="1:8" x14ac:dyDescent="0.25">
      <c r="A176" t="str">
        <f t="shared" si="56"/>
        <v>3C Aggregated and non-CO2 emissions on land</v>
      </c>
      <c r="B176" t="str">
        <f t="shared" si="57"/>
        <v>3C4 Direct N2O from managed soils (N2O)</v>
      </c>
      <c r="C176" t="s">
        <v>410</v>
      </c>
      <c r="D176" t="str">
        <f>D164</f>
        <v xml:space="preserve"> - Diary cattle</v>
      </c>
      <c r="E176" t="str">
        <f t="shared" si="48"/>
        <v>N for bedding - Diary cattle</v>
      </c>
      <c r="F176" t="str">
        <f t="shared" si="69"/>
        <v>N2O</v>
      </c>
      <c r="G176" t="str">
        <f t="shared" si="69"/>
        <v>fraction</v>
      </c>
      <c r="H176" s="56">
        <v>0.35</v>
      </c>
    </row>
    <row r="177" spans="1:8" x14ac:dyDescent="0.25">
      <c r="A177" t="str">
        <f t="shared" si="56"/>
        <v>3C Aggregated and non-CO2 emissions on land</v>
      </c>
      <c r="B177" t="str">
        <f t="shared" si="57"/>
        <v>3C4 Direct N2O from managed soils (N2O)</v>
      </c>
      <c r="C177" t="s">
        <v>410</v>
      </c>
      <c r="D177" t="str">
        <f t="shared" ref="D177:D187" si="70">D165</f>
        <v xml:space="preserve"> - commercial other cattle</v>
      </c>
      <c r="E177" t="str">
        <f t="shared" ref="E177:E187" si="71">C177&amp;D177</f>
        <v>N for bedding - commercial other cattle</v>
      </c>
      <c r="F177" t="str">
        <f t="shared" ref="F177:G177" si="72">F165</f>
        <v>N2O</v>
      </c>
      <c r="G177" t="str">
        <f t="shared" si="72"/>
        <v>fraction</v>
      </c>
      <c r="H177" s="56">
        <v>0.04</v>
      </c>
    </row>
    <row r="178" spans="1:8" x14ac:dyDescent="0.25">
      <c r="A178" t="str">
        <f t="shared" si="56"/>
        <v>3C Aggregated and non-CO2 emissions on land</v>
      </c>
      <c r="B178" t="str">
        <f t="shared" si="57"/>
        <v>3C4 Direct N2O from managed soils (N2O)</v>
      </c>
      <c r="C178" t="s">
        <v>410</v>
      </c>
      <c r="D178" t="str">
        <f t="shared" si="70"/>
        <v xml:space="preserve"> - feedlot other cattle</v>
      </c>
      <c r="E178" t="str">
        <f t="shared" si="71"/>
        <v>N for bedding - feedlot other cattle</v>
      </c>
      <c r="F178" t="str">
        <f t="shared" ref="F178:G178" si="73">F166</f>
        <v>N2O</v>
      </c>
      <c r="G178" t="str">
        <f t="shared" si="73"/>
        <v>fraction</v>
      </c>
      <c r="H178" s="56">
        <v>0</v>
      </c>
    </row>
    <row r="179" spans="1:8" x14ac:dyDescent="0.25">
      <c r="A179" t="str">
        <f t="shared" si="56"/>
        <v>3C Aggregated and non-CO2 emissions on land</v>
      </c>
      <c r="B179" t="str">
        <f t="shared" si="57"/>
        <v>3C4 Direct N2O from managed soils (N2O)</v>
      </c>
      <c r="C179" t="s">
        <v>410</v>
      </c>
      <c r="D179" t="str">
        <f t="shared" si="70"/>
        <v xml:space="preserve"> - subsistence other cattle</v>
      </c>
      <c r="E179" t="str">
        <f t="shared" si="71"/>
        <v>N for bedding - subsistence other cattle</v>
      </c>
      <c r="F179" t="str">
        <f t="shared" ref="F179:G179" si="74">F167</f>
        <v>N2O</v>
      </c>
      <c r="G179" t="str">
        <f t="shared" si="74"/>
        <v>fraction</v>
      </c>
      <c r="H179" s="56">
        <v>0.4</v>
      </c>
    </row>
    <row r="180" spans="1:8" x14ac:dyDescent="0.25">
      <c r="A180" t="str">
        <f t="shared" si="56"/>
        <v>3C Aggregated and non-CO2 emissions on land</v>
      </c>
      <c r="B180" t="str">
        <f t="shared" si="57"/>
        <v>3C4 Direct N2O from managed soils (N2O)</v>
      </c>
      <c r="C180" t="s">
        <v>410</v>
      </c>
      <c r="D180" t="str">
        <f t="shared" si="70"/>
        <v xml:space="preserve"> - commercial sheep</v>
      </c>
      <c r="E180" t="str">
        <f t="shared" si="71"/>
        <v>N for bedding - commercial sheep</v>
      </c>
      <c r="F180" t="str">
        <f t="shared" ref="F180:G180" si="75">F168</f>
        <v>N2O</v>
      </c>
      <c r="G180" t="str">
        <f t="shared" si="75"/>
        <v>fraction</v>
      </c>
      <c r="H180" s="56">
        <v>0</v>
      </c>
    </row>
    <row r="181" spans="1:8" x14ac:dyDescent="0.25">
      <c r="A181" t="str">
        <f t="shared" si="56"/>
        <v>3C Aggregated and non-CO2 emissions on land</v>
      </c>
      <c r="B181" t="str">
        <f t="shared" si="57"/>
        <v>3C4 Direct N2O from managed soils (N2O)</v>
      </c>
      <c r="C181" t="s">
        <v>410</v>
      </c>
      <c r="D181" t="str">
        <f t="shared" si="70"/>
        <v xml:space="preserve"> - subsistence sheep</v>
      </c>
      <c r="E181" t="str">
        <f t="shared" si="71"/>
        <v>N for bedding - subsistence sheep</v>
      </c>
      <c r="F181" t="str">
        <f t="shared" ref="F181:G181" si="76">F169</f>
        <v>N2O</v>
      </c>
      <c r="G181" t="str">
        <f t="shared" si="76"/>
        <v>fraction</v>
      </c>
      <c r="H181" s="56">
        <v>0</v>
      </c>
    </row>
    <row r="182" spans="1:8" x14ac:dyDescent="0.25">
      <c r="A182" t="str">
        <f t="shared" si="56"/>
        <v>3C Aggregated and non-CO2 emissions on land</v>
      </c>
      <c r="B182" t="str">
        <f t="shared" si="57"/>
        <v>3C4 Direct N2O from managed soils (N2O)</v>
      </c>
      <c r="C182" t="s">
        <v>410</v>
      </c>
      <c r="D182" t="str">
        <f t="shared" si="70"/>
        <v xml:space="preserve"> - commercial goats</v>
      </c>
      <c r="E182" t="str">
        <f t="shared" si="71"/>
        <v>N for bedding - commercial goats</v>
      </c>
      <c r="F182" t="str">
        <f t="shared" ref="F182:G182" si="77">F170</f>
        <v>N2O</v>
      </c>
      <c r="G182" t="str">
        <f t="shared" si="77"/>
        <v>fraction</v>
      </c>
      <c r="H182" s="56">
        <v>0</v>
      </c>
    </row>
    <row r="183" spans="1:8" x14ac:dyDescent="0.25">
      <c r="A183" t="str">
        <f t="shared" si="56"/>
        <v>3C Aggregated and non-CO2 emissions on land</v>
      </c>
      <c r="B183" t="str">
        <f t="shared" si="57"/>
        <v>3C4 Direct N2O from managed soils (N2O)</v>
      </c>
      <c r="C183" t="s">
        <v>410</v>
      </c>
      <c r="D183" t="str">
        <f t="shared" si="70"/>
        <v xml:space="preserve"> - subsistence goats</v>
      </c>
      <c r="E183" t="str">
        <f t="shared" si="71"/>
        <v>N for bedding - subsistence goats</v>
      </c>
      <c r="F183" t="str">
        <f t="shared" ref="F183:G183" si="78">F171</f>
        <v>N2O</v>
      </c>
      <c r="G183" t="str">
        <f t="shared" si="78"/>
        <v>fraction</v>
      </c>
      <c r="H183" s="56">
        <v>0</v>
      </c>
    </row>
    <row r="184" spans="1:8" x14ac:dyDescent="0.25">
      <c r="A184" t="str">
        <f t="shared" si="56"/>
        <v>3C Aggregated and non-CO2 emissions on land</v>
      </c>
      <c r="B184" t="str">
        <f t="shared" si="57"/>
        <v>3C4 Direct N2O from managed soils (N2O)</v>
      </c>
      <c r="C184" t="s">
        <v>410</v>
      </c>
      <c r="D184" t="str">
        <f t="shared" si="70"/>
        <v xml:space="preserve"> - commercial swine</v>
      </c>
      <c r="E184" t="str">
        <f t="shared" si="71"/>
        <v>N for bedding - commercial swine</v>
      </c>
      <c r="F184" t="str">
        <f t="shared" ref="F184:G184" si="79">F172</f>
        <v>N2O</v>
      </c>
      <c r="G184" t="str">
        <f t="shared" si="79"/>
        <v>fraction</v>
      </c>
      <c r="H184" s="56">
        <v>0</v>
      </c>
    </row>
    <row r="185" spans="1:8" x14ac:dyDescent="0.25">
      <c r="A185" t="str">
        <f t="shared" si="56"/>
        <v>3C Aggregated and non-CO2 emissions on land</v>
      </c>
      <c r="B185" t="str">
        <f t="shared" si="57"/>
        <v>3C4 Direct N2O from managed soils (N2O)</v>
      </c>
      <c r="C185" t="s">
        <v>410</v>
      </c>
      <c r="D185" t="str">
        <f t="shared" si="70"/>
        <v xml:space="preserve"> - subsistence swine</v>
      </c>
      <c r="E185" t="str">
        <f t="shared" si="71"/>
        <v>N for bedding - subsistence swine</v>
      </c>
      <c r="F185" t="str">
        <f t="shared" ref="F185:G185" si="80">F173</f>
        <v>N2O</v>
      </c>
      <c r="G185" t="str">
        <f t="shared" si="80"/>
        <v>fraction</v>
      </c>
      <c r="H185" s="56">
        <v>0</v>
      </c>
    </row>
    <row r="186" spans="1:8" x14ac:dyDescent="0.25">
      <c r="A186" t="str">
        <f t="shared" si="56"/>
        <v>3C Aggregated and non-CO2 emissions on land</v>
      </c>
      <c r="B186" t="str">
        <f t="shared" si="57"/>
        <v>3C4 Direct N2O from managed soils (N2O)</v>
      </c>
      <c r="C186" t="s">
        <v>410</v>
      </c>
      <c r="D186" t="str">
        <f t="shared" si="70"/>
        <v xml:space="preserve"> - broilers</v>
      </c>
      <c r="E186" t="str">
        <f t="shared" si="71"/>
        <v>N for bedding - broilers</v>
      </c>
      <c r="F186" t="str">
        <f t="shared" ref="F186:G186" si="81">F174</f>
        <v>N2O</v>
      </c>
      <c r="G186" t="str">
        <f t="shared" si="81"/>
        <v>fraction</v>
      </c>
      <c r="H186" s="56">
        <v>0</v>
      </c>
    </row>
    <row r="187" spans="1:8" x14ac:dyDescent="0.25">
      <c r="A187" t="str">
        <f t="shared" si="56"/>
        <v>3C Aggregated and non-CO2 emissions on land</v>
      </c>
      <c r="B187" t="str">
        <f t="shared" si="57"/>
        <v>3C4 Direct N2O from managed soils (N2O)</v>
      </c>
      <c r="C187" t="s">
        <v>410</v>
      </c>
      <c r="D187" t="str">
        <f t="shared" si="70"/>
        <v xml:space="preserve"> - layers</v>
      </c>
      <c r="E187" t="str">
        <f t="shared" si="71"/>
        <v>N for bedding - layers</v>
      </c>
      <c r="F187" t="str">
        <f t="shared" ref="F187:G187" si="82">F175</f>
        <v>N2O</v>
      </c>
      <c r="G187" t="str">
        <f t="shared" si="82"/>
        <v>fraction</v>
      </c>
      <c r="H187" s="56">
        <v>0</v>
      </c>
    </row>
    <row r="188" spans="1:8" x14ac:dyDescent="0.25">
      <c r="A188" t="str">
        <f t="shared" si="56"/>
        <v>3C Aggregated and non-CO2 emissions on land</v>
      </c>
      <c r="B188" t="str">
        <f t="shared" si="57"/>
        <v>3C4 Direct N2O from managed soils (N2O)</v>
      </c>
      <c r="C188" t="s">
        <v>416</v>
      </c>
      <c r="D188" t="s">
        <v>422</v>
      </c>
      <c r="E188" t="str">
        <f t="shared" ref="E188:E206" si="83">C188&amp;D188</f>
        <v>Synthetic N - EF</v>
      </c>
      <c r="F188" t="str">
        <f t="shared" ref="F188" si="84">F176</f>
        <v>N2O</v>
      </c>
      <c r="G188" t="s">
        <v>421</v>
      </c>
      <c r="H188" s="27">
        <v>0.01</v>
      </c>
    </row>
    <row r="189" spans="1:8" x14ac:dyDescent="0.25">
      <c r="A189" t="str">
        <f t="shared" si="56"/>
        <v>3C Aggregated and non-CO2 emissions on land</v>
      </c>
      <c r="B189" t="str">
        <f t="shared" si="57"/>
        <v>3C4 Direct N2O from managed soils (N2O)</v>
      </c>
      <c r="C189" t="s">
        <v>417</v>
      </c>
      <c r="D189" t="str">
        <f>D188</f>
        <v xml:space="preserve"> - EF</v>
      </c>
      <c r="E189" t="str">
        <f t="shared" si="83"/>
        <v>Organic N - EF</v>
      </c>
      <c r="F189" t="str">
        <f t="shared" ref="F189" si="85">F177</f>
        <v>N2O</v>
      </c>
      <c r="G189" t="s">
        <v>421</v>
      </c>
      <c r="H189" s="27">
        <v>0.01</v>
      </c>
    </row>
    <row r="190" spans="1:8" x14ac:dyDescent="0.25">
      <c r="A190" t="str">
        <f t="shared" si="56"/>
        <v>3C Aggregated and non-CO2 emissions on land</v>
      </c>
      <c r="B190" t="str">
        <f t="shared" si="57"/>
        <v>3C4 Direct N2O from managed soils (N2O)</v>
      </c>
      <c r="C190" t="s">
        <v>411</v>
      </c>
      <c r="D190" t="str">
        <f t="shared" ref="D190:D193" si="86">D189</f>
        <v xml:space="preserve"> - EF</v>
      </c>
      <c r="E190" t="str">
        <f t="shared" si="83"/>
        <v>Manure N - EF</v>
      </c>
      <c r="F190" t="str">
        <f t="shared" ref="F190" si="87">F178</f>
        <v>N2O</v>
      </c>
      <c r="G190" t="s">
        <v>421</v>
      </c>
      <c r="H190" s="27">
        <v>0.01</v>
      </c>
    </row>
    <row r="191" spans="1:8" x14ac:dyDescent="0.25">
      <c r="A191" t="str">
        <f t="shared" si="56"/>
        <v>3C Aggregated and non-CO2 emissions on land</v>
      </c>
      <c r="B191" t="str">
        <f t="shared" si="57"/>
        <v>3C4 Direct N2O from managed soils (N2O)</v>
      </c>
      <c r="C191" t="s">
        <v>419</v>
      </c>
      <c r="D191" t="str">
        <f t="shared" si="86"/>
        <v xml:space="preserve"> - EF</v>
      </c>
      <c r="E191" t="str">
        <f t="shared" si="83"/>
        <v>Urine and dung N (CPP) - EF</v>
      </c>
      <c r="F191" t="str">
        <f t="shared" ref="F191" si="88">F179</f>
        <v>N2O</v>
      </c>
      <c r="G191" t="s">
        <v>421</v>
      </c>
      <c r="H191" s="27">
        <v>0.02</v>
      </c>
    </row>
    <row r="192" spans="1:8" x14ac:dyDescent="0.25">
      <c r="A192" t="str">
        <f t="shared" si="56"/>
        <v>3C Aggregated and non-CO2 emissions on land</v>
      </c>
      <c r="B192" t="str">
        <f t="shared" si="57"/>
        <v>3C4 Direct N2O from managed soils (N2O)</v>
      </c>
      <c r="C192" t="s">
        <v>420</v>
      </c>
      <c r="D192" t="str">
        <f t="shared" si="86"/>
        <v xml:space="preserve"> - EF</v>
      </c>
      <c r="E192" t="str">
        <f t="shared" si="83"/>
        <v>Urine and dung N (SO) - EF</v>
      </c>
      <c r="F192" t="str">
        <f t="shared" ref="F192" si="89">F180</f>
        <v>N2O</v>
      </c>
      <c r="G192" t="s">
        <v>421</v>
      </c>
      <c r="H192" s="27">
        <v>0.01</v>
      </c>
    </row>
    <row r="193" spans="1:8" x14ac:dyDescent="0.25">
      <c r="A193" t="str">
        <f t="shared" ref="A193" si="90">A192</f>
        <v>3C Aggregated and non-CO2 emissions on land</v>
      </c>
      <c r="B193" t="str">
        <f t="shared" ref="B193" si="91">B192</f>
        <v>3C4 Direct N2O from managed soils (N2O)</v>
      </c>
      <c r="C193" t="s">
        <v>418</v>
      </c>
      <c r="D193" t="str">
        <f t="shared" si="86"/>
        <v xml:space="preserve"> - EF</v>
      </c>
      <c r="E193" t="str">
        <f t="shared" si="83"/>
        <v>SOM N - EF</v>
      </c>
      <c r="F193" t="str">
        <f t="shared" ref="F193:F194" si="92">F181</f>
        <v>N2O</v>
      </c>
      <c r="G193" t="s">
        <v>421</v>
      </c>
      <c r="H193" s="27">
        <v>0.01</v>
      </c>
    </row>
    <row r="194" spans="1:8" x14ac:dyDescent="0.25">
      <c r="A194" t="str">
        <f t="shared" ref="A194" si="93">A193</f>
        <v>3C Aggregated and non-CO2 emissions on land</v>
      </c>
      <c r="B194" t="str">
        <f t="shared" ref="B194" si="94">B193</f>
        <v>3C4 Direct N2O from managed soils (N2O)</v>
      </c>
      <c r="C194" t="s">
        <v>451</v>
      </c>
      <c r="D194" t="s">
        <v>422</v>
      </c>
      <c r="E194" t="str">
        <f t="shared" ref="E194" si="95">C194&amp;D194</f>
        <v>Crop residue - EF</v>
      </c>
      <c r="F194" t="str">
        <f t="shared" si="92"/>
        <v>N2O</v>
      </c>
      <c r="G194" t="s">
        <v>421</v>
      </c>
      <c r="H194" s="27">
        <v>0.01</v>
      </c>
    </row>
    <row r="196" spans="1:8" x14ac:dyDescent="0.25">
      <c r="A196" t="str">
        <f>'IPCC Categories'!A59</f>
        <v>3C Aggregated and non-CO2 emissions on land</v>
      </c>
      <c r="B196" t="str">
        <f>'IPCC Categories'!B78</f>
        <v>3C5 Indirect N2O from managed soils (N2O)</v>
      </c>
      <c r="C196" t="s">
        <v>428</v>
      </c>
      <c r="D196" t="s">
        <v>431</v>
      </c>
      <c r="E196" t="str">
        <f t="shared" si="83"/>
        <v>FracGASF - synthetic N</v>
      </c>
      <c r="F196" t="s">
        <v>139</v>
      </c>
      <c r="G196" t="s">
        <v>382</v>
      </c>
      <c r="H196" s="27">
        <v>0.1</v>
      </c>
    </row>
    <row r="197" spans="1:8" x14ac:dyDescent="0.25">
      <c r="A197" t="str">
        <f>A196</f>
        <v>3C Aggregated and non-CO2 emissions on land</v>
      </c>
      <c r="B197" t="str">
        <f>B196</f>
        <v>3C5 Indirect N2O from managed soils (N2O)</v>
      </c>
      <c r="C197" t="s">
        <v>429</v>
      </c>
      <c r="D197" t="s">
        <v>432</v>
      </c>
      <c r="E197" t="str">
        <f t="shared" si="83"/>
        <v>FracGASM - Organic N</v>
      </c>
      <c r="F197" t="str">
        <f>F196</f>
        <v>N2O</v>
      </c>
      <c r="G197" t="str">
        <f>G196</f>
        <v>fraction</v>
      </c>
      <c r="H197" s="27">
        <v>0.2</v>
      </c>
    </row>
    <row r="198" spans="1:8" x14ac:dyDescent="0.25">
      <c r="A198" t="str">
        <f t="shared" ref="A198:A201" si="96">A197</f>
        <v>3C Aggregated and non-CO2 emissions on land</v>
      </c>
      <c r="B198" t="str">
        <f t="shared" ref="B198:B201" si="97">B197</f>
        <v>3C5 Indirect N2O from managed soils (N2O)</v>
      </c>
      <c r="C198" t="s">
        <v>430</v>
      </c>
      <c r="D198" t="s">
        <v>433</v>
      </c>
      <c r="E198" t="str">
        <f t="shared" si="83"/>
        <v>FracLEACH - N application</v>
      </c>
      <c r="F198" t="str">
        <f t="shared" ref="F198:F201" si="98">F197</f>
        <v>N2O</v>
      </c>
      <c r="G198" t="str">
        <f t="shared" ref="G198:G199" si="99">G197</f>
        <v>fraction</v>
      </c>
      <c r="H198" s="27">
        <v>4.5999999999999999E-2</v>
      </c>
    </row>
    <row r="199" spans="1:8" x14ac:dyDescent="0.25">
      <c r="A199" t="str">
        <f t="shared" si="96"/>
        <v>3C Aggregated and non-CO2 emissions on land</v>
      </c>
      <c r="B199" t="str">
        <f t="shared" si="97"/>
        <v>3C5 Indirect N2O from managed soils (N2O)</v>
      </c>
      <c r="C199" t="s">
        <v>430</v>
      </c>
      <c r="D199" t="s">
        <v>434</v>
      </c>
      <c r="E199" t="str">
        <f t="shared" si="83"/>
        <v>FracLEACH - U&amp;D</v>
      </c>
      <c r="F199" t="str">
        <f t="shared" si="98"/>
        <v>N2O</v>
      </c>
      <c r="G199" t="str">
        <f t="shared" si="99"/>
        <v>fraction</v>
      </c>
      <c r="H199" s="27">
        <v>0</v>
      </c>
    </row>
    <row r="200" spans="1:8" x14ac:dyDescent="0.25">
      <c r="A200" t="str">
        <f t="shared" si="96"/>
        <v>3C Aggregated and non-CO2 emissions on land</v>
      </c>
      <c r="B200" t="str">
        <f t="shared" si="97"/>
        <v>3C5 Indirect N2O from managed soils (N2O)</v>
      </c>
      <c r="C200" t="s">
        <v>437</v>
      </c>
      <c r="D200" t="s">
        <v>435</v>
      </c>
      <c r="E200" t="str">
        <f t="shared" si="83"/>
        <v>Indirect MS - volatilisation EF</v>
      </c>
      <c r="F200" t="str">
        <f t="shared" si="98"/>
        <v>N2O</v>
      </c>
      <c r="G200" t="s">
        <v>438</v>
      </c>
      <c r="H200" s="27">
        <v>0.01</v>
      </c>
    </row>
    <row r="201" spans="1:8" x14ac:dyDescent="0.25">
      <c r="A201" t="str">
        <f t="shared" si="96"/>
        <v>3C Aggregated and non-CO2 emissions on land</v>
      </c>
      <c r="B201" t="str">
        <f t="shared" si="97"/>
        <v>3C5 Indirect N2O from managed soils (N2O)</v>
      </c>
      <c r="C201" t="str">
        <f>C200</f>
        <v>Indirect MS</v>
      </c>
      <c r="D201" t="s">
        <v>436</v>
      </c>
      <c r="E201" t="str">
        <f t="shared" si="83"/>
        <v>Indirect MS - leaching EF</v>
      </c>
      <c r="F201" t="str">
        <f t="shared" si="98"/>
        <v>N2O</v>
      </c>
      <c r="G201" t="s">
        <v>439</v>
      </c>
      <c r="H201" s="27">
        <v>7.4999999999999997E-3</v>
      </c>
    </row>
    <row r="203" spans="1:8" x14ac:dyDescent="0.25">
      <c r="A203" t="str">
        <f>'IPCC Categories'!A59</f>
        <v>3C Aggregated and non-CO2 emissions on land</v>
      </c>
      <c r="B203" t="str">
        <f>'IPCC Categories'!B80</f>
        <v>3C6 Indirect N2O from manure management (N2O)</v>
      </c>
      <c r="C203" t="s">
        <v>445</v>
      </c>
      <c r="D203" t="s">
        <v>446</v>
      </c>
      <c r="E203" t="str">
        <f t="shared" si="83"/>
        <v>FracLEACHMM - manure management</v>
      </c>
      <c r="F203" t="s">
        <v>139</v>
      </c>
      <c r="G203" t="s">
        <v>382</v>
      </c>
      <c r="H203" s="27">
        <v>0.1</v>
      </c>
    </row>
    <row r="204" spans="1:8" x14ac:dyDescent="0.25">
      <c r="A204" t="str">
        <f t="shared" ref="A204:B206" si="100">A203</f>
        <v>3C Aggregated and non-CO2 emissions on land</v>
      </c>
      <c r="B204" t="str">
        <f t="shared" si="100"/>
        <v>3C6 Indirect N2O from manure management (N2O)</v>
      </c>
      <c r="C204" t="s">
        <v>447</v>
      </c>
      <c r="D204" t="s">
        <v>435</v>
      </c>
      <c r="E204" t="str">
        <f t="shared" si="83"/>
        <v>Indirect MM - volatilisation EF</v>
      </c>
      <c r="F204" t="str">
        <f>F203</f>
        <v>N2O</v>
      </c>
      <c r="G204" t="s">
        <v>438</v>
      </c>
      <c r="H204" s="27">
        <v>0.01</v>
      </c>
    </row>
    <row r="205" spans="1:8" x14ac:dyDescent="0.25">
      <c r="A205" t="str">
        <f t="shared" si="100"/>
        <v>3C Aggregated and non-CO2 emissions on land</v>
      </c>
      <c r="B205" t="str">
        <f t="shared" si="100"/>
        <v>3C6 Indirect N2O from manure management (N2O)</v>
      </c>
      <c r="C205" t="str">
        <f>C204</f>
        <v>Indirect MM</v>
      </c>
      <c r="D205" t="s">
        <v>436</v>
      </c>
      <c r="E205" t="str">
        <f t="shared" si="83"/>
        <v>Indirect MM - leaching EF</v>
      </c>
      <c r="F205" t="str">
        <f>F204</f>
        <v>N2O</v>
      </c>
      <c r="G205" t="s">
        <v>439</v>
      </c>
      <c r="H205" s="27">
        <v>7.4999999999999997E-3</v>
      </c>
    </row>
    <row r="206" spans="1:8" x14ac:dyDescent="0.25">
      <c r="A206" t="str">
        <f t="shared" si="100"/>
        <v>3C Aggregated and non-CO2 emissions on land</v>
      </c>
      <c r="B206" t="str">
        <f t="shared" si="100"/>
        <v>3C6 Indirect N2O from manure management (N2O)</v>
      </c>
      <c r="C206" t="s">
        <v>448</v>
      </c>
      <c r="D206" t="str">
        <f>'Activity data'!D66</f>
        <v xml:space="preserve"> - TMR</v>
      </c>
      <c r="E206" t="str">
        <f t="shared" si="83"/>
        <v>FracGasMS - TMR</v>
      </c>
      <c r="F206" t="str">
        <f t="shared" ref="F206:F221" si="101">F205</f>
        <v>N2O</v>
      </c>
      <c r="G206" t="s">
        <v>382</v>
      </c>
      <c r="H206" s="27">
        <v>0.33300000000000002</v>
      </c>
    </row>
    <row r="207" spans="1:8" x14ac:dyDescent="0.25">
      <c r="A207" t="str">
        <f t="shared" ref="A207:A221" si="102">A206</f>
        <v>3C Aggregated and non-CO2 emissions on land</v>
      </c>
      <c r="B207" t="str">
        <f t="shared" ref="B207:B221" si="103">B206</f>
        <v>3C6 Indirect N2O from manure management (N2O)</v>
      </c>
      <c r="C207" t="s">
        <v>448</v>
      </c>
      <c r="D207" t="str">
        <f>'Activity data'!D67</f>
        <v xml:space="preserve"> - Pasture</v>
      </c>
      <c r="E207" t="str">
        <f t="shared" ref="E207:E221" si="104">C207&amp;D207</f>
        <v>FracGasMS - Pasture</v>
      </c>
      <c r="F207" t="str">
        <f t="shared" si="101"/>
        <v>N2O</v>
      </c>
      <c r="G207" t="s">
        <v>382</v>
      </c>
      <c r="H207" s="27">
        <v>8.6999999999999994E-2</v>
      </c>
    </row>
    <row r="208" spans="1:8" x14ac:dyDescent="0.25">
      <c r="A208" t="str">
        <f t="shared" si="102"/>
        <v>3C Aggregated and non-CO2 emissions on land</v>
      </c>
      <c r="B208" t="str">
        <f t="shared" si="103"/>
        <v>3C6 Indirect N2O from manure management (N2O)</v>
      </c>
      <c r="C208" t="s">
        <v>448</v>
      </c>
      <c r="D208" t="str">
        <f>'Activity data'!D68</f>
        <v xml:space="preserve"> - Non-lactating</v>
      </c>
      <c r="E208" t="str">
        <f t="shared" si="104"/>
        <v>FracGasMS - Non-lactating</v>
      </c>
      <c r="F208" t="str">
        <f t="shared" si="101"/>
        <v>N2O</v>
      </c>
      <c r="G208" t="s">
        <v>382</v>
      </c>
      <c r="H208" s="27">
        <v>1.4999999999999999E-2</v>
      </c>
    </row>
    <row r="209" spans="1:8" x14ac:dyDescent="0.25">
      <c r="A209" t="str">
        <f t="shared" si="102"/>
        <v>3C Aggregated and non-CO2 emissions on land</v>
      </c>
      <c r="B209" t="str">
        <f t="shared" si="103"/>
        <v>3C6 Indirect N2O from manure management (N2O)</v>
      </c>
      <c r="C209" t="s">
        <v>448</v>
      </c>
      <c r="D209" t="str">
        <f>'Activity data'!D69</f>
        <v xml:space="preserve"> - Commercial cattle</v>
      </c>
      <c r="E209" t="str">
        <f t="shared" si="104"/>
        <v>FracGasMS - Commercial cattle</v>
      </c>
      <c r="F209" t="str">
        <f t="shared" si="101"/>
        <v>N2O</v>
      </c>
      <c r="G209" t="s">
        <v>382</v>
      </c>
      <c r="H209" s="27">
        <v>8.0000000000000002E-3</v>
      </c>
    </row>
    <row r="210" spans="1:8" x14ac:dyDescent="0.25">
      <c r="A210" t="str">
        <f t="shared" si="102"/>
        <v>3C Aggregated and non-CO2 emissions on land</v>
      </c>
      <c r="B210" t="str">
        <f t="shared" si="103"/>
        <v>3C6 Indirect N2O from manure management (N2O)</v>
      </c>
      <c r="C210" t="s">
        <v>448</v>
      </c>
      <c r="D210" t="str">
        <f>'Activity data'!D70</f>
        <v xml:space="preserve"> - Subsistence cattle</v>
      </c>
      <c r="E210" t="str">
        <f t="shared" si="104"/>
        <v>FracGasMS - Subsistence cattle</v>
      </c>
      <c r="F210" t="str">
        <f t="shared" si="101"/>
        <v>N2O</v>
      </c>
      <c r="G210" t="s">
        <v>382</v>
      </c>
      <c r="H210" s="27">
        <v>0.03</v>
      </c>
    </row>
    <row r="211" spans="1:8" x14ac:dyDescent="0.25">
      <c r="A211" t="str">
        <f t="shared" si="102"/>
        <v>3C Aggregated and non-CO2 emissions on land</v>
      </c>
      <c r="B211" t="str">
        <f t="shared" si="103"/>
        <v>3C6 Indirect N2O from manure management (N2O)</v>
      </c>
      <c r="C211" t="s">
        <v>448</v>
      </c>
      <c r="D211" t="str">
        <f>'Activity data'!D71</f>
        <v xml:space="preserve"> - Feedlot</v>
      </c>
      <c r="E211" t="str">
        <f t="shared" si="104"/>
        <v>FracGasMS - Feedlot</v>
      </c>
      <c r="F211" t="str">
        <f t="shared" si="101"/>
        <v>N2O</v>
      </c>
      <c r="G211" t="s">
        <v>382</v>
      </c>
      <c r="H211" s="27">
        <v>0.28299999999999997</v>
      </c>
    </row>
    <row r="212" spans="1:8" x14ac:dyDescent="0.25">
      <c r="A212" t="str">
        <f t="shared" si="102"/>
        <v>3C Aggregated and non-CO2 emissions on land</v>
      </c>
      <c r="B212" t="str">
        <f t="shared" si="103"/>
        <v>3C6 Indirect N2O from manure management (N2O)</v>
      </c>
      <c r="C212" t="s">
        <v>448</v>
      </c>
      <c r="D212" t="str">
        <f>'Activity data'!D72</f>
        <v xml:space="preserve"> - Commercial sheep</v>
      </c>
      <c r="E212" t="str">
        <f t="shared" si="104"/>
        <v>FracGasMS - Commercial sheep</v>
      </c>
      <c r="F212" t="str">
        <f t="shared" si="101"/>
        <v>N2O</v>
      </c>
      <c r="G212" t="s">
        <v>382</v>
      </c>
      <c r="H212" s="27">
        <v>2E-3</v>
      </c>
    </row>
    <row r="213" spans="1:8" x14ac:dyDescent="0.25">
      <c r="A213" t="str">
        <f t="shared" si="102"/>
        <v>3C Aggregated and non-CO2 emissions on land</v>
      </c>
      <c r="B213" t="str">
        <f t="shared" si="103"/>
        <v>3C6 Indirect N2O from manure management (N2O)</v>
      </c>
      <c r="C213" t="s">
        <v>448</v>
      </c>
      <c r="D213" t="str">
        <f>'Activity data'!D73</f>
        <v xml:space="preserve"> - Subsistence sheep</v>
      </c>
      <c r="E213" t="str">
        <f t="shared" si="104"/>
        <v>FracGasMS - Subsistence sheep</v>
      </c>
      <c r="F213" t="str">
        <f t="shared" si="101"/>
        <v>N2O</v>
      </c>
      <c r="G213" t="s">
        <v>382</v>
      </c>
      <c r="H213" s="27">
        <v>1.6500000000000001E-2</v>
      </c>
    </row>
    <row r="214" spans="1:8" x14ac:dyDescent="0.25">
      <c r="A214" t="str">
        <f t="shared" si="102"/>
        <v>3C Aggregated and non-CO2 emissions on land</v>
      </c>
      <c r="B214" t="str">
        <f t="shared" si="103"/>
        <v>3C6 Indirect N2O from manure management (N2O)</v>
      </c>
      <c r="C214" t="s">
        <v>448</v>
      </c>
      <c r="D214" t="str">
        <f>'Activity data'!D74</f>
        <v xml:space="preserve"> - Commercial goats</v>
      </c>
      <c r="E214" t="str">
        <f t="shared" si="104"/>
        <v>FracGasMS - Commercial goats</v>
      </c>
      <c r="F214" t="str">
        <f t="shared" si="101"/>
        <v>N2O</v>
      </c>
      <c r="G214" t="s">
        <v>382</v>
      </c>
      <c r="H214" s="27">
        <v>2E-3</v>
      </c>
    </row>
    <row r="215" spans="1:8" x14ac:dyDescent="0.25">
      <c r="A215" t="str">
        <f t="shared" si="102"/>
        <v>3C Aggregated and non-CO2 emissions on land</v>
      </c>
      <c r="B215" t="str">
        <f t="shared" si="103"/>
        <v>3C6 Indirect N2O from manure management (N2O)</v>
      </c>
      <c r="C215" t="s">
        <v>448</v>
      </c>
      <c r="D215" t="str">
        <f>'Activity data'!D75</f>
        <v xml:space="preserve"> - Subsistence goats</v>
      </c>
      <c r="E215" t="str">
        <f t="shared" si="104"/>
        <v>FracGasMS - Subsistence goats</v>
      </c>
      <c r="F215" t="str">
        <f t="shared" si="101"/>
        <v>N2O</v>
      </c>
      <c r="G215" t="s">
        <v>382</v>
      </c>
      <c r="H215" s="27">
        <v>1.6500000000000001E-2</v>
      </c>
    </row>
    <row r="216" spans="1:8" x14ac:dyDescent="0.25">
      <c r="A216" t="str">
        <f t="shared" si="102"/>
        <v>3C Aggregated and non-CO2 emissions on land</v>
      </c>
      <c r="B216" t="str">
        <f t="shared" si="103"/>
        <v>3C6 Indirect N2O from manure management (N2O)</v>
      </c>
      <c r="C216" t="s">
        <v>448</v>
      </c>
      <c r="D216" t="str">
        <f>'Activity data'!D76</f>
        <v xml:space="preserve"> - Horses</v>
      </c>
      <c r="E216" t="str">
        <f t="shared" si="104"/>
        <v>FracGasMS - Horses</v>
      </c>
      <c r="F216" t="str">
        <f t="shared" si="101"/>
        <v>N2O</v>
      </c>
      <c r="G216" t="s">
        <v>382</v>
      </c>
      <c r="H216" s="27">
        <v>0</v>
      </c>
    </row>
    <row r="217" spans="1:8" x14ac:dyDescent="0.25">
      <c r="A217" t="str">
        <f t="shared" si="102"/>
        <v>3C Aggregated and non-CO2 emissions on land</v>
      </c>
      <c r="B217" t="str">
        <f t="shared" si="103"/>
        <v>3C6 Indirect N2O from manure management (N2O)</v>
      </c>
      <c r="C217" t="s">
        <v>448</v>
      </c>
      <c r="D217" t="str">
        <f>'Activity data'!D77</f>
        <v xml:space="preserve"> - Mules &amp; Asses</v>
      </c>
      <c r="E217" t="str">
        <f t="shared" si="104"/>
        <v>FracGasMS - Mules &amp; Asses</v>
      </c>
      <c r="F217" t="str">
        <f t="shared" si="101"/>
        <v>N2O</v>
      </c>
      <c r="G217" t="s">
        <v>382</v>
      </c>
      <c r="H217" s="27">
        <v>0</v>
      </c>
    </row>
    <row r="218" spans="1:8" x14ac:dyDescent="0.25">
      <c r="A218" t="str">
        <f t="shared" si="102"/>
        <v>3C Aggregated and non-CO2 emissions on land</v>
      </c>
      <c r="B218" t="str">
        <f t="shared" si="103"/>
        <v>3C6 Indirect N2O from manure management (N2O)</v>
      </c>
      <c r="C218" t="s">
        <v>448</v>
      </c>
      <c r="D218" t="str">
        <f>'Activity data'!D78</f>
        <v xml:space="preserve"> - Commercial swine</v>
      </c>
      <c r="E218" t="str">
        <f t="shared" si="104"/>
        <v>FracGasMS - Commercial swine</v>
      </c>
      <c r="F218" t="str">
        <f t="shared" si="101"/>
        <v>N2O</v>
      </c>
      <c r="G218" t="s">
        <v>382</v>
      </c>
      <c r="H218" s="27">
        <v>0.3649</v>
      </c>
    </row>
    <row r="219" spans="1:8" x14ac:dyDescent="0.25">
      <c r="A219" t="str">
        <f t="shared" si="102"/>
        <v>3C Aggregated and non-CO2 emissions on land</v>
      </c>
      <c r="B219" t="str">
        <f t="shared" si="103"/>
        <v>3C6 Indirect N2O from manure management (N2O)</v>
      </c>
      <c r="C219" t="s">
        <v>448</v>
      </c>
      <c r="D219" t="str">
        <f>'Activity data'!D79</f>
        <v xml:space="preserve"> - Subsistence swine</v>
      </c>
      <c r="E219" t="str">
        <f t="shared" si="104"/>
        <v>FracGasMS - Subsistence swine</v>
      </c>
      <c r="F219" t="str">
        <f t="shared" si="101"/>
        <v>N2O</v>
      </c>
      <c r="G219" t="s">
        <v>382</v>
      </c>
      <c r="H219" s="27">
        <v>0.23760000000000001</v>
      </c>
    </row>
    <row r="220" spans="1:8" x14ac:dyDescent="0.25">
      <c r="A220" t="str">
        <f t="shared" si="102"/>
        <v>3C Aggregated and non-CO2 emissions on land</v>
      </c>
      <c r="B220" t="str">
        <f t="shared" si="103"/>
        <v>3C6 Indirect N2O from manure management (N2O)</v>
      </c>
      <c r="C220" t="s">
        <v>448</v>
      </c>
      <c r="D220" t="str">
        <f>'Activity data'!D80</f>
        <v xml:space="preserve"> - Commercial layers</v>
      </c>
      <c r="E220" t="str">
        <f t="shared" si="104"/>
        <v>FracGasMS - Commercial layers</v>
      </c>
      <c r="F220" t="str">
        <f t="shared" si="101"/>
        <v>N2O</v>
      </c>
      <c r="G220" t="s">
        <v>382</v>
      </c>
      <c r="H220" s="27">
        <v>0.28899999999999998</v>
      </c>
    </row>
    <row r="221" spans="1:8" x14ac:dyDescent="0.25">
      <c r="A221" t="str">
        <f t="shared" si="102"/>
        <v>3C Aggregated and non-CO2 emissions on land</v>
      </c>
      <c r="B221" t="str">
        <f t="shared" si="103"/>
        <v>3C6 Indirect N2O from manure management (N2O)</v>
      </c>
      <c r="C221" t="s">
        <v>448</v>
      </c>
      <c r="D221" t="str">
        <f>'Activity data'!D81</f>
        <v xml:space="preserve"> - Commercial broilers</v>
      </c>
      <c r="E221" t="str">
        <f t="shared" si="104"/>
        <v>FracGasMS - Commercial broilers</v>
      </c>
      <c r="F221" t="str">
        <f t="shared" si="101"/>
        <v>N2O</v>
      </c>
      <c r="G221" t="s">
        <v>382</v>
      </c>
      <c r="H221" s="27">
        <v>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38"/>
  <sheetViews>
    <sheetView workbookViewId="0">
      <pane xSplit="1" topLeftCell="H1" activePane="topRight" state="frozen"/>
      <selection pane="topRight" activeCell="T5" sqref="T5"/>
    </sheetView>
  </sheetViews>
  <sheetFormatPr defaultRowHeight="15" x14ac:dyDescent="0.25"/>
  <cols>
    <col min="1" max="1" width="62.85546875" customWidth="1"/>
    <col min="2" max="2" width="20.42578125" customWidth="1"/>
    <col min="3" max="3" width="8.5703125" customWidth="1"/>
    <col min="5" max="5" width="15.28515625" customWidth="1"/>
    <col min="6" max="6" width="19.140625" customWidth="1"/>
    <col min="8" max="8" width="10.5703125" customWidth="1"/>
    <col min="10" max="10" width="23.28515625" customWidth="1"/>
    <col min="13" max="13" width="15.42578125" customWidth="1"/>
    <col min="14" max="14" width="10.7109375" customWidth="1"/>
    <col min="16" max="16" width="21.7109375" customWidth="1"/>
    <col min="19" max="19" width="13.28515625" customWidth="1"/>
    <col min="20" max="20" width="10.5703125" customWidth="1"/>
  </cols>
  <sheetData>
    <row r="1" spans="1:20" ht="18.75" x14ac:dyDescent="0.3">
      <c r="A1" s="1" t="s">
        <v>277</v>
      </c>
    </row>
    <row r="3" spans="1:20" ht="15.75" x14ac:dyDescent="0.25">
      <c r="A3" s="17" t="s">
        <v>278</v>
      </c>
      <c r="B3" s="17" t="s">
        <v>280</v>
      </c>
      <c r="C3" s="17" t="s">
        <v>5</v>
      </c>
      <c r="D3" s="17" t="s">
        <v>279</v>
      </c>
      <c r="E3" s="17" t="s">
        <v>0</v>
      </c>
      <c r="F3" s="17" t="s">
        <v>281</v>
      </c>
      <c r="G3" s="17" t="s">
        <v>284</v>
      </c>
      <c r="H3" s="17" t="s">
        <v>285</v>
      </c>
      <c r="J3" s="17" t="s">
        <v>280</v>
      </c>
      <c r="K3" s="17" t="s">
        <v>5</v>
      </c>
      <c r="L3" s="17" t="s">
        <v>279</v>
      </c>
      <c r="M3" s="17" t="s">
        <v>0</v>
      </c>
      <c r="N3" s="17" t="s">
        <v>285</v>
      </c>
      <c r="P3" s="17" t="s">
        <v>280</v>
      </c>
      <c r="Q3" s="17" t="s">
        <v>5</v>
      </c>
      <c r="R3" s="17" t="s">
        <v>310</v>
      </c>
      <c r="S3" s="17" t="s">
        <v>0</v>
      </c>
      <c r="T3" s="17" t="s">
        <v>285</v>
      </c>
    </row>
    <row r="4" spans="1:20" x14ac:dyDescent="0.25">
      <c r="A4" s="13" t="s">
        <v>2</v>
      </c>
    </row>
    <row r="5" spans="1:20" x14ac:dyDescent="0.25">
      <c r="A5" s="14" t="s">
        <v>156</v>
      </c>
      <c r="B5" t="s">
        <v>97</v>
      </c>
      <c r="C5" t="s">
        <v>121</v>
      </c>
      <c r="D5" s="21">
        <v>127</v>
      </c>
      <c r="E5" t="s">
        <v>144</v>
      </c>
      <c r="F5" s="21">
        <v>362133.25145839731</v>
      </c>
      <c r="G5" s="22">
        <f>F5/SUM($F$5:$F$7)</f>
        <v>0.71719117961892542</v>
      </c>
      <c r="H5" s="22">
        <f>D5*G5</f>
        <v>91.083279811603532</v>
      </c>
      <c r="J5" t="s">
        <v>98</v>
      </c>
      <c r="K5" t="s">
        <v>121</v>
      </c>
      <c r="L5" s="21">
        <v>4.9800000000000004</v>
      </c>
      <c r="M5" t="s">
        <v>144</v>
      </c>
      <c r="N5" s="22">
        <f>L5*G5</f>
        <v>3.5716120745022488</v>
      </c>
      <c r="P5" t="s">
        <v>98</v>
      </c>
      <c r="Q5" t="s">
        <v>139</v>
      </c>
      <c r="R5" s="21">
        <v>118.26</v>
      </c>
      <c r="S5" t="s">
        <v>311</v>
      </c>
      <c r="T5" s="22">
        <f>R5*G5</f>
        <v>84.815028901734124</v>
      </c>
    </row>
    <row r="6" spans="1:20" x14ac:dyDescent="0.25">
      <c r="A6" s="14" t="s">
        <v>157</v>
      </c>
      <c r="B6" t="str">
        <f>$B$5</f>
        <v>Enteric fermentation</v>
      </c>
      <c r="C6" t="str">
        <f>$C$5</f>
        <v>CH4</v>
      </c>
      <c r="D6" s="21">
        <v>83.4</v>
      </c>
      <c r="E6" t="s">
        <v>144</v>
      </c>
      <c r="F6" s="21">
        <v>88281.240405280929</v>
      </c>
      <c r="G6" s="22">
        <f t="shared" ref="G6:G7" si="0">F6/SUM($F$5:$F$7)</f>
        <v>0.17483765075287233</v>
      </c>
      <c r="H6" s="22">
        <f t="shared" ref="H6:H10" si="1">D6*G6</f>
        <v>14.581460072789554</v>
      </c>
      <c r="J6" t="str">
        <f>$J$5</f>
        <v>Manure management</v>
      </c>
      <c r="K6" t="str">
        <f>$K$5</f>
        <v>CH4</v>
      </c>
      <c r="L6" s="21">
        <v>1.1100000000000001</v>
      </c>
      <c r="M6" t="s">
        <v>144</v>
      </c>
      <c r="N6" s="22">
        <f t="shared" ref="N6:N69" si="2">L6*G6</f>
        <v>0.1940697923356883</v>
      </c>
      <c r="P6" t="str">
        <f>$P$5</f>
        <v>Manure management</v>
      </c>
      <c r="Q6" t="str">
        <f>$Q$5</f>
        <v>N2O</v>
      </c>
      <c r="R6" s="21">
        <v>124.173</v>
      </c>
      <c r="S6" t="s">
        <v>311</v>
      </c>
      <c r="T6" s="22">
        <f t="shared" ref="T6:T69" si="3">R6*G6</f>
        <v>21.710115606936416</v>
      </c>
    </row>
    <row r="7" spans="1:20" x14ac:dyDescent="0.25">
      <c r="A7" s="14" t="s">
        <v>158</v>
      </c>
      <c r="B7" t="str">
        <f t="shared" ref="B7:B10" si="4">$B$5</f>
        <v>Enteric fermentation</v>
      </c>
      <c r="C7" t="str">
        <f t="shared" ref="C7:C10" si="5">$C$5</f>
        <v>CH4</v>
      </c>
      <c r="D7" s="21">
        <v>116</v>
      </c>
      <c r="E7" t="s">
        <v>144</v>
      </c>
      <c r="F7" s="21">
        <v>54518.170095179601</v>
      </c>
      <c r="G7" s="22">
        <f t="shared" si="0"/>
        <v>0.10797116962820237</v>
      </c>
      <c r="H7" s="22">
        <f t="shared" si="1"/>
        <v>12.524655676871475</v>
      </c>
      <c r="J7" t="str">
        <f t="shared" ref="J7:J10" si="6">$J$5</f>
        <v>Manure management</v>
      </c>
      <c r="K7" t="str">
        <f t="shared" ref="K7:K10" si="7">$K$5</f>
        <v>CH4</v>
      </c>
      <c r="L7" s="21">
        <v>4.8</v>
      </c>
      <c r="M7" t="s">
        <v>144</v>
      </c>
      <c r="N7" s="22">
        <f t="shared" si="2"/>
        <v>0.51826161421537131</v>
      </c>
      <c r="P7" t="str">
        <f t="shared" ref="P7:P10" si="8">$P$5</f>
        <v>Manure management</v>
      </c>
      <c r="Q7" t="str">
        <f t="shared" ref="Q7:Q10" si="9">$Q$5</f>
        <v>N2O</v>
      </c>
      <c r="R7" s="21">
        <v>95.921999999999997</v>
      </c>
      <c r="S7" t="s">
        <v>311</v>
      </c>
      <c r="T7" s="22">
        <f t="shared" si="3"/>
        <v>10.356810533076427</v>
      </c>
    </row>
    <row r="8" spans="1:20" x14ac:dyDescent="0.25">
      <c r="A8" s="14" t="s">
        <v>159</v>
      </c>
      <c r="B8" t="str">
        <f t="shared" si="4"/>
        <v>Enteric fermentation</v>
      </c>
      <c r="C8" t="str">
        <f t="shared" si="5"/>
        <v>CH4</v>
      </c>
      <c r="D8" s="21">
        <v>132</v>
      </c>
      <c r="E8" t="s">
        <v>144</v>
      </c>
      <c r="F8" s="21">
        <v>441866.74854160275</v>
      </c>
      <c r="G8" s="22">
        <f>F8/SUM($F$8:$F$10)</f>
        <v>0.71719117961892531</v>
      </c>
      <c r="H8" s="22">
        <f t="shared" si="1"/>
        <v>94.669235709698143</v>
      </c>
      <c r="J8" t="str">
        <f t="shared" si="6"/>
        <v>Manure management</v>
      </c>
      <c r="K8" t="str">
        <f t="shared" si="7"/>
        <v>CH4</v>
      </c>
      <c r="L8" s="21">
        <v>14.8</v>
      </c>
      <c r="M8" t="s">
        <v>144</v>
      </c>
      <c r="N8" s="22">
        <f t="shared" si="2"/>
        <v>10.614429458360096</v>
      </c>
      <c r="P8" t="str">
        <f t="shared" si="8"/>
        <v>Manure management</v>
      </c>
      <c r="Q8" t="str">
        <f t="shared" si="9"/>
        <v>N2O</v>
      </c>
      <c r="R8" s="21">
        <v>129.20999999999998</v>
      </c>
      <c r="S8" t="s">
        <v>311</v>
      </c>
      <c r="T8" s="22">
        <f t="shared" si="3"/>
        <v>92.668272318561321</v>
      </c>
    </row>
    <row r="9" spans="1:20" x14ac:dyDescent="0.25">
      <c r="A9" s="14" t="s">
        <v>160</v>
      </c>
      <c r="B9" t="str">
        <f t="shared" si="4"/>
        <v>Enteric fermentation</v>
      </c>
      <c r="C9" t="str">
        <f t="shared" si="5"/>
        <v>CH4</v>
      </c>
      <c r="D9" s="21">
        <v>80.400000000000006</v>
      </c>
      <c r="E9" t="s">
        <v>144</v>
      </c>
      <c r="F9" s="21">
        <v>107718.75959471907</v>
      </c>
      <c r="G9" s="22">
        <f t="shared" ref="G9:G10" si="10">F9/SUM($F$8:$F$10)</f>
        <v>0.17483765075287233</v>
      </c>
      <c r="H9" s="22">
        <f t="shared" si="1"/>
        <v>14.056947120530936</v>
      </c>
      <c r="J9" t="str">
        <f t="shared" si="6"/>
        <v>Manure management</v>
      </c>
      <c r="K9" t="str">
        <f t="shared" si="7"/>
        <v>CH4</v>
      </c>
      <c r="L9" s="21">
        <v>1.47</v>
      </c>
      <c r="M9" t="s">
        <v>144</v>
      </c>
      <c r="N9" s="22">
        <f t="shared" si="2"/>
        <v>0.25701134660672231</v>
      </c>
      <c r="P9" t="str">
        <f t="shared" si="8"/>
        <v>Manure management</v>
      </c>
      <c r="Q9" t="str">
        <f t="shared" si="9"/>
        <v>N2O</v>
      </c>
      <c r="R9" s="21">
        <v>135.6705</v>
      </c>
      <c r="S9" t="s">
        <v>311</v>
      </c>
      <c r="T9" s="22">
        <f t="shared" si="3"/>
        <v>23.720311496467566</v>
      </c>
    </row>
    <row r="10" spans="1:20" x14ac:dyDescent="0.25">
      <c r="A10" s="14" t="s">
        <v>161</v>
      </c>
      <c r="B10" t="str">
        <f t="shared" si="4"/>
        <v>Enteric fermentation</v>
      </c>
      <c r="C10" t="str">
        <f t="shared" si="5"/>
        <v>CH4</v>
      </c>
      <c r="D10" s="21">
        <v>127</v>
      </c>
      <c r="E10" t="s">
        <v>144</v>
      </c>
      <c r="F10" s="21">
        <v>66521.829904820392</v>
      </c>
      <c r="G10" s="22">
        <f t="shared" si="10"/>
        <v>0.10797116962820238</v>
      </c>
      <c r="H10" s="22">
        <f t="shared" si="1"/>
        <v>13.712338542781703</v>
      </c>
      <c r="J10" t="str">
        <f t="shared" si="6"/>
        <v>Manure management</v>
      </c>
      <c r="K10" t="str">
        <f t="shared" si="7"/>
        <v>CH4</v>
      </c>
      <c r="L10" s="21">
        <v>14.7</v>
      </c>
      <c r="M10" t="s">
        <v>144</v>
      </c>
      <c r="N10" s="22">
        <f t="shared" si="2"/>
        <v>1.587176193534575</v>
      </c>
      <c r="P10" t="str">
        <f t="shared" si="8"/>
        <v>Manure management</v>
      </c>
      <c r="Q10" t="str">
        <f t="shared" si="9"/>
        <v>N2O</v>
      </c>
      <c r="R10" s="21">
        <v>110.15700000000001</v>
      </c>
      <c r="S10" t="s">
        <v>311</v>
      </c>
      <c r="T10" s="22">
        <f t="shared" si="3"/>
        <v>11.893780132733891</v>
      </c>
    </row>
    <row r="11" spans="1:20" x14ac:dyDescent="0.25">
      <c r="A11" s="13" t="s">
        <v>151</v>
      </c>
      <c r="M11" s="13"/>
    </row>
    <row r="12" spans="1:20" x14ac:dyDescent="0.25">
      <c r="A12" s="14" t="s">
        <v>162</v>
      </c>
      <c r="B12" t="str">
        <f t="shared" ref="B12:B34" si="11">$B$5</f>
        <v>Enteric fermentation</v>
      </c>
      <c r="C12" t="str">
        <f t="shared" ref="C12:C34" si="12">$C$5</f>
        <v>CH4</v>
      </c>
      <c r="D12" s="21">
        <v>20</v>
      </c>
      <c r="E12" t="s">
        <v>144</v>
      </c>
      <c r="F12" s="21">
        <v>58517.112103162421</v>
      </c>
      <c r="G12" s="22">
        <f>F12/SUM($F$12:$F$21)</f>
        <v>8.6862621266192389E-2</v>
      </c>
      <c r="H12" s="22">
        <f>D12*G12</f>
        <v>1.7372524253238477</v>
      </c>
      <c r="J12" t="str">
        <f t="shared" ref="J12:J34" si="13">$J$5</f>
        <v>Manure management</v>
      </c>
      <c r="K12" t="str">
        <f t="shared" ref="K12:K34" si="14">$K$5</f>
        <v>CH4</v>
      </c>
      <c r="L12" s="21">
        <v>0.32</v>
      </c>
      <c r="M12" t="s">
        <v>144</v>
      </c>
      <c r="N12" s="22">
        <f t="shared" si="2"/>
        <v>2.7796038805181566E-2</v>
      </c>
      <c r="P12" t="str">
        <f t="shared" ref="P12:P34" si="15">$P$5</f>
        <v>Manure management</v>
      </c>
      <c r="Q12" t="str">
        <f t="shared" ref="Q12:Q34" si="16">$Q$5</f>
        <v>N2O</v>
      </c>
      <c r="R12" s="21">
        <v>8.2782</v>
      </c>
      <c r="S12" t="s">
        <v>311</v>
      </c>
      <c r="T12" s="22">
        <f t="shared" si="3"/>
        <v>0.71906615136579388</v>
      </c>
    </row>
    <row r="13" spans="1:20" x14ac:dyDescent="0.25">
      <c r="A13" s="14" t="s">
        <v>163</v>
      </c>
      <c r="B13" t="str">
        <f t="shared" si="11"/>
        <v>Enteric fermentation</v>
      </c>
      <c r="C13" t="str">
        <f t="shared" si="12"/>
        <v>CH4</v>
      </c>
      <c r="D13" s="21">
        <v>24.5</v>
      </c>
      <c r="E13" t="s">
        <v>144</v>
      </c>
      <c r="F13" s="21">
        <v>58517.112103162421</v>
      </c>
      <c r="G13" s="22">
        <f t="shared" ref="G13:G21" si="17">F13/SUM($F$12:$F$21)</f>
        <v>8.6862621266192389E-2</v>
      </c>
      <c r="H13" s="22">
        <f t="shared" ref="H13:H76" si="18">D13*G13</f>
        <v>2.1281342210217136</v>
      </c>
      <c r="J13" t="str">
        <f t="shared" si="13"/>
        <v>Manure management</v>
      </c>
      <c r="K13" t="str">
        <f t="shared" si="14"/>
        <v>CH4</v>
      </c>
      <c r="L13" s="21">
        <v>0.4</v>
      </c>
      <c r="M13" t="s">
        <v>144</v>
      </c>
      <c r="N13" s="22">
        <f t="shared" si="2"/>
        <v>3.4745048506476958E-2</v>
      </c>
      <c r="P13" t="str">
        <f t="shared" si="15"/>
        <v>Manure management</v>
      </c>
      <c r="Q13" t="str">
        <f t="shared" si="16"/>
        <v>N2O</v>
      </c>
      <c r="R13" s="21">
        <v>12.417300000000001</v>
      </c>
      <c r="S13" t="s">
        <v>311</v>
      </c>
      <c r="T13" s="22">
        <f t="shared" si="3"/>
        <v>1.0785992270486908</v>
      </c>
    </row>
    <row r="14" spans="1:20" x14ac:dyDescent="0.25">
      <c r="A14" s="14" t="s">
        <v>164</v>
      </c>
      <c r="B14" t="str">
        <f t="shared" si="11"/>
        <v>Enteric fermentation</v>
      </c>
      <c r="C14" t="str">
        <f t="shared" si="12"/>
        <v>CH4</v>
      </c>
      <c r="D14" s="21">
        <v>37.1</v>
      </c>
      <c r="E14" t="s">
        <v>144</v>
      </c>
      <c r="F14" s="21">
        <v>87775.668154743631</v>
      </c>
      <c r="G14" s="22">
        <f t="shared" si="17"/>
        <v>0.13029393189928859</v>
      </c>
      <c r="H14" s="22">
        <f t="shared" si="18"/>
        <v>4.8339048734636068</v>
      </c>
      <c r="J14" t="str">
        <f t="shared" si="13"/>
        <v>Manure management</v>
      </c>
      <c r="K14" t="str">
        <f t="shared" si="14"/>
        <v>CH4</v>
      </c>
      <c r="L14" s="21">
        <v>0.57999999999999996</v>
      </c>
      <c r="M14" t="s">
        <v>144</v>
      </c>
      <c r="N14" s="22">
        <f t="shared" si="2"/>
        <v>7.5570480501587378E-2</v>
      </c>
      <c r="P14" t="str">
        <f t="shared" si="15"/>
        <v>Manure management</v>
      </c>
      <c r="Q14" t="str">
        <f t="shared" si="16"/>
        <v>N2O</v>
      </c>
      <c r="R14" s="21">
        <v>32.652900000000002</v>
      </c>
      <c r="S14" t="s">
        <v>311</v>
      </c>
      <c r="T14" s="22">
        <f t="shared" si="3"/>
        <v>4.254474728914281</v>
      </c>
    </row>
    <row r="15" spans="1:20" x14ac:dyDescent="0.25">
      <c r="A15" s="14" t="s">
        <v>165</v>
      </c>
      <c r="B15" t="str">
        <f t="shared" si="11"/>
        <v>Enteric fermentation</v>
      </c>
      <c r="C15" t="str">
        <f t="shared" si="12"/>
        <v>CH4</v>
      </c>
      <c r="D15" s="21">
        <v>52.6</v>
      </c>
      <c r="E15" t="s">
        <v>144</v>
      </c>
      <c r="F15" s="21">
        <v>25115.112066318696</v>
      </c>
      <c r="G15" s="22">
        <f t="shared" si="17"/>
        <v>3.7280795122436018E-2</v>
      </c>
      <c r="H15" s="22">
        <f t="shared" si="18"/>
        <v>1.9609698234401347</v>
      </c>
      <c r="J15" t="str">
        <f t="shared" si="13"/>
        <v>Manure management</v>
      </c>
      <c r="K15" t="str">
        <f t="shared" si="14"/>
        <v>CH4</v>
      </c>
      <c r="L15" s="21">
        <v>0.78</v>
      </c>
      <c r="M15" t="s">
        <v>144</v>
      </c>
      <c r="N15" s="22">
        <f t="shared" si="2"/>
        <v>2.9079020195500096E-2</v>
      </c>
      <c r="P15" t="str">
        <f t="shared" si="15"/>
        <v>Manure management</v>
      </c>
      <c r="Q15" t="str">
        <f t="shared" si="16"/>
        <v>N2O</v>
      </c>
      <c r="R15" s="21">
        <v>58.407299999999999</v>
      </c>
      <c r="S15" t="s">
        <v>311</v>
      </c>
      <c r="T15" s="22">
        <f t="shared" si="3"/>
        <v>2.1774705849546572</v>
      </c>
    </row>
    <row r="16" spans="1:20" x14ac:dyDescent="0.25">
      <c r="A16" s="14" t="s">
        <v>166</v>
      </c>
      <c r="B16" t="str">
        <f t="shared" si="11"/>
        <v>Enteric fermentation</v>
      </c>
      <c r="C16" t="str">
        <f t="shared" si="12"/>
        <v>CH4</v>
      </c>
      <c r="D16" s="21">
        <v>61.8</v>
      </c>
      <c r="E16" t="s">
        <v>144</v>
      </c>
      <c r="F16" s="21">
        <v>73507.645072152271</v>
      </c>
      <c r="G16" s="22">
        <f t="shared" si="17"/>
        <v>0.10911452230956882</v>
      </c>
      <c r="H16" s="22">
        <f t="shared" si="18"/>
        <v>6.7432774787313532</v>
      </c>
      <c r="J16" t="str">
        <f t="shared" si="13"/>
        <v>Manure management</v>
      </c>
      <c r="K16" t="str">
        <f t="shared" si="14"/>
        <v>CH4</v>
      </c>
      <c r="L16" s="21">
        <v>0.88</v>
      </c>
      <c r="M16" t="s">
        <v>144</v>
      </c>
      <c r="N16" s="22">
        <f t="shared" si="2"/>
        <v>9.6020779632420561E-2</v>
      </c>
      <c r="P16" t="str">
        <f t="shared" si="15"/>
        <v>Manure management</v>
      </c>
      <c r="Q16" t="str">
        <f t="shared" si="16"/>
        <v>N2O</v>
      </c>
      <c r="R16" s="21">
        <v>76.573350000000005</v>
      </c>
      <c r="S16" t="s">
        <v>311</v>
      </c>
      <c r="T16" s="22">
        <f t="shared" si="3"/>
        <v>8.3552645068934215</v>
      </c>
    </row>
    <row r="17" spans="1:20" x14ac:dyDescent="0.25">
      <c r="A17" s="14" t="s">
        <v>167</v>
      </c>
      <c r="B17" t="str">
        <f t="shared" si="11"/>
        <v>Enteric fermentation</v>
      </c>
      <c r="C17" t="str">
        <f t="shared" si="12"/>
        <v>CH4</v>
      </c>
      <c r="D17" s="21">
        <v>21.5</v>
      </c>
      <c r="E17" t="s">
        <v>144</v>
      </c>
      <c r="F17" s="21">
        <v>71401.24789683758</v>
      </c>
      <c r="G17" s="22">
        <f t="shared" si="17"/>
        <v>0.10598779281968941</v>
      </c>
      <c r="H17" s="22">
        <f t="shared" si="18"/>
        <v>2.2787375456233225</v>
      </c>
      <c r="J17" t="str">
        <f t="shared" si="13"/>
        <v>Manure management</v>
      </c>
      <c r="K17" t="str">
        <f t="shared" si="14"/>
        <v>CH4</v>
      </c>
      <c r="L17" s="21">
        <v>0.21</v>
      </c>
      <c r="M17" t="s">
        <v>144</v>
      </c>
      <c r="N17" s="22">
        <f t="shared" si="2"/>
        <v>2.2257436492134776E-2</v>
      </c>
      <c r="P17" t="str">
        <f t="shared" si="15"/>
        <v>Manure management</v>
      </c>
      <c r="Q17" t="str">
        <f t="shared" si="16"/>
        <v>N2O</v>
      </c>
      <c r="R17" s="21">
        <v>8.0482500000000012</v>
      </c>
      <c r="S17" t="s">
        <v>311</v>
      </c>
      <c r="T17" s="22">
        <f t="shared" si="3"/>
        <v>0.85301625356106547</v>
      </c>
    </row>
    <row r="18" spans="1:20" x14ac:dyDescent="0.25">
      <c r="A18" s="14" t="s">
        <v>168</v>
      </c>
      <c r="B18" t="str">
        <f t="shared" si="11"/>
        <v>Enteric fermentation</v>
      </c>
      <c r="C18" t="str">
        <f t="shared" si="12"/>
        <v>CH4</v>
      </c>
      <c r="D18" s="21">
        <v>62.6</v>
      </c>
      <c r="E18" t="s">
        <v>144</v>
      </c>
      <c r="F18" s="21">
        <v>71401.24789683758</v>
      </c>
      <c r="G18" s="22">
        <f t="shared" si="17"/>
        <v>0.10598779281968941</v>
      </c>
      <c r="H18" s="22">
        <f t="shared" si="18"/>
        <v>6.6348358305125572</v>
      </c>
      <c r="J18" t="str">
        <f t="shared" si="13"/>
        <v>Manure management</v>
      </c>
      <c r="K18" t="str">
        <f t="shared" si="14"/>
        <v>CH4</v>
      </c>
      <c r="L18" s="21">
        <v>1.19</v>
      </c>
      <c r="M18" t="s">
        <v>144</v>
      </c>
      <c r="N18" s="22">
        <f t="shared" si="2"/>
        <v>0.1261254734554304</v>
      </c>
      <c r="P18" t="str">
        <f t="shared" si="15"/>
        <v>Manure management</v>
      </c>
      <c r="Q18" t="str">
        <f t="shared" si="16"/>
        <v>N2O</v>
      </c>
      <c r="R18" s="21">
        <v>12.64725</v>
      </c>
      <c r="S18" t="s">
        <v>311</v>
      </c>
      <c r="T18" s="22">
        <f t="shared" si="3"/>
        <v>1.3404541127388168</v>
      </c>
    </row>
    <row r="19" spans="1:20" x14ac:dyDescent="0.25">
      <c r="A19" s="14" t="s">
        <v>169</v>
      </c>
      <c r="B19" t="str">
        <f t="shared" si="11"/>
        <v>Enteric fermentation</v>
      </c>
      <c r="C19" t="str">
        <f t="shared" si="12"/>
        <v>CH4</v>
      </c>
      <c r="D19" s="21">
        <v>42.1</v>
      </c>
      <c r="E19" t="s">
        <v>144</v>
      </c>
      <c r="F19" s="21">
        <v>107101.87184525639</v>
      </c>
      <c r="G19" s="22">
        <f t="shared" si="17"/>
        <v>0.15898168922953415</v>
      </c>
      <c r="H19" s="22">
        <f t="shared" si="18"/>
        <v>6.6931291165633882</v>
      </c>
      <c r="J19" t="str">
        <f t="shared" si="13"/>
        <v>Manure management</v>
      </c>
      <c r="K19" t="str">
        <f t="shared" si="14"/>
        <v>CH4</v>
      </c>
      <c r="L19" s="21">
        <v>0.75</v>
      </c>
      <c r="M19" t="s">
        <v>144</v>
      </c>
      <c r="N19" s="22">
        <f t="shared" si="2"/>
        <v>0.11923626692215061</v>
      </c>
      <c r="P19" t="str">
        <f t="shared" si="15"/>
        <v>Manure management</v>
      </c>
      <c r="Q19" t="str">
        <f t="shared" si="16"/>
        <v>N2O</v>
      </c>
      <c r="R19" s="21">
        <v>39.551400000000001</v>
      </c>
      <c r="S19" t="s">
        <v>311</v>
      </c>
      <c r="T19" s="22">
        <f t="shared" si="3"/>
        <v>6.2879483833929974</v>
      </c>
    </row>
    <row r="20" spans="1:20" x14ac:dyDescent="0.25">
      <c r="A20" s="14" t="s">
        <v>170</v>
      </c>
      <c r="B20" t="str">
        <f t="shared" si="11"/>
        <v>Enteric fermentation</v>
      </c>
      <c r="C20" t="str">
        <f t="shared" si="12"/>
        <v>CH4</v>
      </c>
      <c r="D20" s="21">
        <v>22.5</v>
      </c>
      <c r="E20" t="s">
        <v>144</v>
      </c>
      <c r="F20" s="21">
        <v>30644.887933681304</v>
      </c>
      <c r="G20" s="22">
        <f t="shared" si="17"/>
        <v>4.5489177415923988E-2</v>
      </c>
      <c r="H20" s="22">
        <f t="shared" si="18"/>
        <v>1.0235064918582897</v>
      </c>
      <c r="J20" t="str">
        <f t="shared" si="13"/>
        <v>Manure management</v>
      </c>
      <c r="K20" t="str">
        <f t="shared" si="14"/>
        <v>CH4</v>
      </c>
      <c r="L20" s="21">
        <v>0.37</v>
      </c>
      <c r="M20" t="s">
        <v>144</v>
      </c>
      <c r="N20" s="22">
        <f t="shared" si="2"/>
        <v>1.6830995643891875E-2</v>
      </c>
      <c r="P20" t="str">
        <f t="shared" si="15"/>
        <v>Manure management</v>
      </c>
      <c r="Q20" t="str">
        <f t="shared" si="16"/>
        <v>N2O</v>
      </c>
      <c r="R20" s="21">
        <v>74.043900000000008</v>
      </c>
      <c r="S20" t="s">
        <v>311</v>
      </c>
      <c r="T20" s="22">
        <f t="shared" si="3"/>
        <v>3.3681961036669343</v>
      </c>
    </row>
    <row r="21" spans="1:20" x14ac:dyDescent="0.25">
      <c r="A21" s="14" t="s">
        <v>171</v>
      </c>
      <c r="B21" t="str">
        <f t="shared" si="11"/>
        <v>Enteric fermentation</v>
      </c>
      <c r="C21" t="str">
        <f t="shared" si="12"/>
        <v>CH4</v>
      </c>
      <c r="D21" s="21">
        <v>67.7</v>
      </c>
      <c r="E21" t="s">
        <v>144</v>
      </c>
      <c r="F21" s="21">
        <v>89692.354927847715</v>
      </c>
      <c r="G21" s="22">
        <f t="shared" si="17"/>
        <v>0.13313905585148483</v>
      </c>
      <c r="H21" s="22">
        <f t="shared" si="18"/>
        <v>9.013514081145523</v>
      </c>
      <c r="J21" t="str">
        <f t="shared" si="13"/>
        <v>Manure management</v>
      </c>
      <c r="K21" t="str">
        <f t="shared" si="14"/>
        <v>CH4</v>
      </c>
      <c r="L21" s="21">
        <v>1.24</v>
      </c>
      <c r="M21" t="s">
        <v>144</v>
      </c>
      <c r="N21" s="22">
        <f t="shared" si="2"/>
        <v>0.16509242925584119</v>
      </c>
      <c r="P21" t="str">
        <f t="shared" si="15"/>
        <v>Manure management</v>
      </c>
      <c r="Q21" t="str">
        <f t="shared" si="16"/>
        <v>N2O</v>
      </c>
      <c r="R21" s="21">
        <v>90.600300000000004</v>
      </c>
      <c r="S21" t="s">
        <v>311</v>
      </c>
      <c r="T21" s="22">
        <f t="shared" si="3"/>
        <v>12.062438401861282</v>
      </c>
    </row>
    <row r="22" spans="1:20" x14ac:dyDescent="0.25">
      <c r="A22" s="14" t="s">
        <v>172</v>
      </c>
      <c r="B22" t="str">
        <f t="shared" si="11"/>
        <v>Enteric fermentation</v>
      </c>
      <c r="C22" t="str">
        <f t="shared" si="12"/>
        <v>CH4</v>
      </c>
      <c r="D22" s="21">
        <v>113</v>
      </c>
      <c r="E22" t="s">
        <v>144</v>
      </c>
      <c r="F22" s="21">
        <v>160017.76666666666</v>
      </c>
      <c r="G22" s="22">
        <f>F22/SUM($F$22:$F$24,$F$26:$F$28)</f>
        <v>2.6554920846633981E-2</v>
      </c>
      <c r="H22" s="22">
        <f>D22*G22</f>
        <v>3.0007060556696397</v>
      </c>
      <c r="J22" t="str">
        <f t="shared" si="13"/>
        <v>Manure management</v>
      </c>
      <c r="K22" t="str">
        <f t="shared" si="14"/>
        <v>CH4</v>
      </c>
      <c r="L22" s="21">
        <v>2.1999999999999999E-2</v>
      </c>
      <c r="M22" t="s">
        <v>144</v>
      </c>
      <c r="N22" s="22">
        <f t="shared" si="2"/>
        <v>5.842082586259475E-4</v>
      </c>
      <c r="P22" t="str">
        <f t="shared" si="15"/>
        <v>Manure management</v>
      </c>
      <c r="Q22" t="str">
        <f t="shared" si="16"/>
        <v>N2O</v>
      </c>
      <c r="R22" s="21">
        <v>168.55334999999999</v>
      </c>
      <c r="S22" t="s">
        <v>311</v>
      </c>
      <c r="T22" s="22">
        <f t="shared" si="3"/>
        <v>4.4759208676849935</v>
      </c>
    </row>
    <row r="23" spans="1:20" x14ac:dyDescent="0.25">
      <c r="A23" s="14" t="s">
        <v>173</v>
      </c>
      <c r="B23" t="str">
        <f t="shared" si="11"/>
        <v>Enteric fermentation</v>
      </c>
      <c r="C23" t="str">
        <f t="shared" si="12"/>
        <v>CH4</v>
      </c>
      <c r="D23" s="21">
        <v>51.6</v>
      </c>
      <c r="E23" t="s">
        <v>144</v>
      </c>
      <c r="F23" s="21">
        <v>1455775.5333333332</v>
      </c>
      <c r="G23" s="22">
        <f t="shared" ref="G23:G28" si="19">F23/SUM($F$22:$F$24,$F$26:$F$28)</f>
        <v>0.24158569928464005</v>
      </c>
      <c r="H23" s="22">
        <f t="shared" si="18"/>
        <v>12.465822083087426</v>
      </c>
      <c r="J23" t="str">
        <f t="shared" si="13"/>
        <v>Manure management</v>
      </c>
      <c r="K23" t="str">
        <f t="shared" si="14"/>
        <v>CH4</v>
      </c>
      <c r="L23" s="21">
        <v>1.2E-2</v>
      </c>
      <c r="M23" t="s">
        <v>144</v>
      </c>
      <c r="N23" s="22">
        <f t="shared" si="2"/>
        <v>2.8990283914156808E-3</v>
      </c>
      <c r="P23" t="str">
        <f t="shared" si="15"/>
        <v>Manure management</v>
      </c>
      <c r="Q23" t="str">
        <f t="shared" si="16"/>
        <v>N2O</v>
      </c>
      <c r="R23" s="21">
        <v>43.6905</v>
      </c>
      <c r="S23" t="s">
        <v>311</v>
      </c>
      <c r="T23" s="22">
        <f t="shared" si="3"/>
        <v>10.554999994595565</v>
      </c>
    </row>
    <row r="24" spans="1:20" x14ac:dyDescent="0.25">
      <c r="A24" s="14" t="s">
        <v>174</v>
      </c>
      <c r="B24" t="str">
        <f t="shared" si="11"/>
        <v>Enteric fermentation</v>
      </c>
      <c r="C24" t="str">
        <f t="shared" si="12"/>
        <v>CH4</v>
      </c>
      <c r="D24" s="21">
        <v>92.6</v>
      </c>
      <c r="E24" t="s">
        <v>144</v>
      </c>
      <c r="F24" s="21">
        <v>2980000</v>
      </c>
      <c r="G24" s="22">
        <f t="shared" si="19"/>
        <v>0.49453048727903293</v>
      </c>
      <c r="H24" s="22">
        <f t="shared" si="18"/>
        <v>45.793523122038444</v>
      </c>
      <c r="J24" t="str">
        <f t="shared" si="13"/>
        <v>Manure management</v>
      </c>
      <c r="K24" t="str">
        <f t="shared" si="14"/>
        <v>CH4</v>
      </c>
      <c r="L24" s="21">
        <v>1.7999999999999999E-2</v>
      </c>
      <c r="M24" t="s">
        <v>144</v>
      </c>
      <c r="N24" s="22">
        <f t="shared" si="2"/>
        <v>8.9015487710225917E-3</v>
      </c>
      <c r="P24" t="str">
        <f t="shared" si="15"/>
        <v>Manure management</v>
      </c>
      <c r="Q24" t="str">
        <f t="shared" si="16"/>
        <v>N2O</v>
      </c>
      <c r="R24" s="21">
        <v>109.22624999999998</v>
      </c>
      <c r="S24" t="s">
        <v>311</v>
      </c>
      <c r="T24" s="22">
        <f t="shared" si="3"/>
        <v>54.015710636161458</v>
      </c>
    </row>
    <row r="25" spans="1:20" x14ac:dyDescent="0.25">
      <c r="A25" s="14" t="s">
        <v>175</v>
      </c>
      <c r="B25" t="str">
        <f t="shared" si="11"/>
        <v>Enteric fermentation</v>
      </c>
      <c r="C25" t="str">
        <f t="shared" si="12"/>
        <v>CH4</v>
      </c>
      <c r="D25" s="21">
        <v>58.9</v>
      </c>
      <c r="E25" t="s">
        <v>144</v>
      </c>
      <c r="F25" s="21">
        <v>399822.33333333331</v>
      </c>
      <c r="G25" s="22">
        <v>1</v>
      </c>
      <c r="H25" s="22">
        <f>D25*G25</f>
        <v>58.9</v>
      </c>
      <c r="J25" t="str">
        <f t="shared" si="13"/>
        <v>Manure management</v>
      </c>
      <c r="K25" t="str">
        <f t="shared" si="14"/>
        <v>CH4</v>
      </c>
      <c r="L25" s="21">
        <v>0.87</v>
      </c>
      <c r="M25" t="s">
        <v>144</v>
      </c>
      <c r="N25" s="22">
        <f t="shared" si="2"/>
        <v>0.87</v>
      </c>
      <c r="P25" t="str">
        <f t="shared" si="15"/>
        <v>Manure management</v>
      </c>
      <c r="Q25" t="str">
        <f t="shared" si="16"/>
        <v>N2O</v>
      </c>
      <c r="R25" s="21">
        <v>65.765699999999995</v>
      </c>
      <c r="S25" t="s">
        <v>311</v>
      </c>
      <c r="T25" s="22">
        <f t="shared" si="3"/>
        <v>65.765699999999995</v>
      </c>
    </row>
    <row r="26" spans="1:20" x14ac:dyDescent="0.25">
      <c r="A26" s="14" t="s">
        <v>176</v>
      </c>
      <c r="B26" t="str">
        <f t="shared" si="11"/>
        <v>Enteric fermentation</v>
      </c>
      <c r="C26" t="str">
        <f t="shared" si="12"/>
        <v>CH4</v>
      </c>
      <c r="D26" s="21">
        <v>75.900000000000006</v>
      </c>
      <c r="E26" t="s">
        <v>144</v>
      </c>
      <c r="F26" s="21">
        <v>798049.7466666667</v>
      </c>
      <c r="G26" s="22">
        <f t="shared" si="19"/>
        <v>0.13243621815166962</v>
      </c>
      <c r="H26" s="22">
        <f t="shared" si="18"/>
        <v>10.051908957711724</v>
      </c>
      <c r="J26" t="str">
        <f t="shared" si="13"/>
        <v>Manure management</v>
      </c>
      <c r="K26" t="str">
        <f t="shared" si="14"/>
        <v>CH4</v>
      </c>
      <c r="L26" s="21">
        <v>1.6E-2</v>
      </c>
      <c r="M26" t="s">
        <v>144</v>
      </c>
      <c r="N26" s="22">
        <f t="shared" si="2"/>
        <v>2.118979490426714E-3</v>
      </c>
      <c r="P26" t="str">
        <f t="shared" si="15"/>
        <v>Manure management</v>
      </c>
      <c r="Q26" t="str">
        <f t="shared" si="16"/>
        <v>N2O</v>
      </c>
      <c r="R26" s="21">
        <v>83.931749999999994</v>
      </c>
      <c r="S26" t="s">
        <v>311</v>
      </c>
      <c r="T26" s="22">
        <f t="shared" si="3"/>
        <v>11.115603552851395</v>
      </c>
    </row>
    <row r="27" spans="1:20" x14ac:dyDescent="0.25">
      <c r="A27" s="14" t="s">
        <v>177</v>
      </c>
      <c r="B27" t="str">
        <f t="shared" si="11"/>
        <v>Enteric fermentation</v>
      </c>
      <c r="C27" t="str">
        <f t="shared" si="12"/>
        <v>CH4</v>
      </c>
      <c r="D27" s="21">
        <v>89.4</v>
      </c>
      <c r="E27" t="s">
        <v>144</v>
      </c>
      <c r="F27" s="21">
        <v>170000</v>
      </c>
      <c r="G27" s="22">
        <f t="shared" si="19"/>
        <v>2.8211470750817317E-2</v>
      </c>
      <c r="H27" s="22">
        <f t="shared" si="18"/>
        <v>2.5221054851230682</v>
      </c>
      <c r="J27" t="str">
        <f t="shared" si="13"/>
        <v>Manure management</v>
      </c>
      <c r="K27" t="str">
        <f t="shared" si="14"/>
        <v>CH4</v>
      </c>
      <c r="L27" s="21">
        <v>1.7999999999999999E-2</v>
      </c>
      <c r="M27" t="s">
        <v>144</v>
      </c>
      <c r="N27" s="22">
        <f t="shared" si="2"/>
        <v>5.0780647351471168E-4</v>
      </c>
      <c r="P27" t="str">
        <f t="shared" si="15"/>
        <v>Manure management</v>
      </c>
      <c r="Q27" t="str">
        <f t="shared" si="16"/>
        <v>N2O</v>
      </c>
      <c r="R27" s="21">
        <v>98.878499999999988</v>
      </c>
      <c r="S27" t="s">
        <v>311</v>
      </c>
      <c r="T27" s="22">
        <f t="shared" si="3"/>
        <v>2.7895079106346898</v>
      </c>
    </row>
    <row r="28" spans="1:20" x14ac:dyDescent="0.25">
      <c r="A28" s="14" t="s">
        <v>178</v>
      </c>
      <c r="B28" t="str">
        <f t="shared" si="11"/>
        <v>Enteric fermentation</v>
      </c>
      <c r="C28" t="str">
        <f t="shared" si="12"/>
        <v>CH4</v>
      </c>
      <c r="D28" s="21">
        <v>51.6</v>
      </c>
      <c r="E28" t="s">
        <v>144</v>
      </c>
      <c r="F28" s="21">
        <v>462074.62</v>
      </c>
      <c r="G28" s="22">
        <f t="shared" si="19"/>
        <v>7.6681203687206032E-2</v>
      </c>
      <c r="H28" s="22">
        <f>D28*G28</f>
        <v>3.9567501102598315</v>
      </c>
      <c r="J28" t="str">
        <f t="shared" si="13"/>
        <v>Manure management</v>
      </c>
      <c r="K28" t="str">
        <f t="shared" si="14"/>
        <v>CH4</v>
      </c>
      <c r="L28" s="21">
        <v>1.2E-2</v>
      </c>
      <c r="M28" t="s">
        <v>144</v>
      </c>
      <c r="N28" s="22">
        <f t="shared" si="2"/>
        <v>9.2017444424647235E-4</v>
      </c>
      <c r="P28" t="str">
        <f t="shared" si="15"/>
        <v>Manure management</v>
      </c>
      <c r="Q28" t="str">
        <f t="shared" si="16"/>
        <v>N2O</v>
      </c>
      <c r="R28" s="21">
        <v>44.38035</v>
      </c>
      <c r="S28" t="s">
        <v>311</v>
      </c>
      <c r="T28" s="22">
        <f t="shared" si="3"/>
        <v>3.4031386580594942</v>
      </c>
    </row>
    <row r="29" spans="1:20" x14ac:dyDescent="0.25">
      <c r="A29" s="14" t="s">
        <v>179</v>
      </c>
      <c r="B29" t="str">
        <f t="shared" si="11"/>
        <v>Enteric fermentation</v>
      </c>
      <c r="C29" t="str">
        <f t="shared" si="12"/>
        <v>CH4</v>
      </c>
      <c r="D29" s="21">
        <v>83.8</v>
      </c>
      <c r="E29" t="s">
        <v>144</v>
      </c>
      <c r="F29" s="21">
        <v>181104.56017404376</v>
      </c>
      <c r="G29" s="22">
        <f>F29/SUM($F$29:$F$34)</f>
        <v>2.6554920846633981E-2</v>
      </c>
      <c r="H29" s="22">
        <f t="shared" si="18"/>
        <v>2.2253023669479277</v>
      </c>
      <c r="J29" t="str">
        <f t="shared" si="13"/>
        <v>Manure management</v>
      </c>
      <c r="K29" t="str">
        <f t="shared" si="14"/>
        <v>CH4</v>
      </c>
      <c r="L29" s="21">
        <v>1.7000000000000001E-2</v>
      </c>
      <c r="M29" t="s">
        <v>144</v>
      </c>
      <c r="N29" s="22">
        <f t="shared" si="2"/>
        <v>4.514336543927777E-4</v>
      </c>
      <c r="P29" t="str">
        <f t="shared" si="15"/>
        <v>Manure management</v>
      </c>
      <c r="Q29" t="str">
        <f t="shared" si="16"/>
        <v>N2O</v>
      </c>
      <c r="R29" s="21">
        <v>134.52074999999999</v>
      </c>
      <c r="S29" t="s">
        <v>311</v>
      </c>
      <c r="T29" s="22">
        <f t="shared" si="3"/>
        <v>3.5721878684798378</v>
      </c>
    </row>
    <row r="30" spans="1:20" x14ac:dyDescent="0.25">
      <c r="A30" s="14" t="s">
        <v>180</v>
      </c>
      <c r="B30" t="str">
        <f t="shared" si="11"/>
        <v>Enteric fermentation</v>
      </c>
      <c r="C30" t="str">
        <f t="shared" si="12"/>
        <v>CH4</v>
      </c>
      <c r="D30" s="21">
        <v>40.9</v>
      </c>
      <c r="E30" t="s">
        <v>144</v>
      </c>
      <c r="F30" s="21">
        <v>1647614.4691212452</v>
      </c>
      <c r="G30" s="22">
        <f t="shared" ref="G30:G34" si="20">F30/SUM($F$29:$F$34)</f>
        <v>0.24158569928464005</v>
      </c>
      <c r="H30" s="22">
        <f t="shared" si="18"/>
        <v>9.880855100741778</v>
      </c>
      <c r="J30" t="str">
        <f t="shared" si="13"/>
        <v>Manure management</v>
      </c>
      <c r="K30" t="str">
        <f t="shared" si="14"/>
        <v>CH4</v>
      </c>
      <c r="L30" s="21">
        <v>0.01</v>
      </c>
      <c r="M30" t="s">
        <v>144</v>
      </c>
      <c r="N30" s="22">
        <f t="shared" si="2"/>
        <v>2.4158569928464007E-3</v>
      </c>
      <c r="P30" t="str">
        <f t="shared" si="15"/>
        <v>Manure management</v>
      </c>
      <c r="Q30" t="str">
        <f t="shared" si="16"/>
        <v>N2O</v>
      </c>
      <c r="R30" s="21">
        <v>19.545750000000002</v>
      </c>
      <c r="S30" t="s">
        <v>311</v>
      </c>
      <c r="T30" s="22">
        <f t="shared" si="3"/>
        <v>4.721973681792754</v>
      </c>
    </row>
    <row r="31" spans="1:20" x14ac:dyDescent="0.25">
      <c r="A31" s="14" t="s">
        <v>181</v>
      </c>
      <c r="B31" t="str">
        <f t="shared" si="11"/>
        <v>Enteric fermentation</v>
      </c>
      <c r="C31" t="str">
        <f t="shared" si="12"/>
        <v>CH4</v>
      </c>
      <c r="D31" s="21">
        <v>73.099999999999994</v>
      </c>
      <c r="E31" t="s">
        <v>144</v>
      </c>
      <c r="F31" s="21">
        <v>3372697.9232430048</v>
      </c>
      <c r="G31" s="22">
        <f t="shared" si="20"/>
        <v>0.49453048727903298</v>
      </c>
      <c r="H31" s="22">
        <f t="shared" si="18"/>
        <v>36.150178620097307</v>
      </c>
      <c r="J31" t="str">
        <f t="shared" si="13"/>
        <v>Manure management</v>
      </c>
      <c r="K31" t="str">
        <f t="shared" si="14"/>
        <v>CH4</v>
      </c>
      <c r="L31" s="21">
        <v>1.4999999999999999E-2</v>
      </c>
      <c r="M31" t="s">
        <v>144</v>
      </c>
      <c r="N31" s="22">
        <f t="shared" si="2"/>
        <v>7.4179573091854942E-3</v>
      </c>
      <c r="P31" t="str">
        <f t="shared" si="15"/>
        <v>Manure management</v>
      </c>
      <c r="Q31" t="str">
        <f t="shared" si="16"/>
        <v>N2O</v>
      </c>
      <c r="R31" s="21">
        <v>84.851550000000003</v>
      </c>
      <c r="S31" t="s">
        <v>311</v>
      </c>
      <c r="T31" s="22">
        <f t="shared" si="3"/>
        <v>41.961678367881234</v>
      </c>
    </row>
    <row r="32" spans="1:20" x14ac:dyDescent="0.25">
      <c r="A32" s="14" t="s">
        <v>182</v>
      </c>
      <c r="B32" t="str">
        <f t="shared" si="11"/>
        <v>Enteric fermentation</v>
      </c>
      <c r="C32" t="str">
        <f t="shared" si="12"/>
        <v>CH4</v>
      </c>
      <c r="D32" s="21">
        <v>62.5</v>
      </c>
      <c r="E32" t="s">
        <v>144</v>
      </c>
      <c r="F32" s="21">
        <v>903215.00779438682</v>
      </c>
      <c r="G32" s="22">
        <f t="shared" si="20"/>
        <v>0.13243621815166962</v>
      </c>
      <c r="H32" s="22">
        <f t="shared" si="18"/>
        <v>8.2772636344793504</v>
      </c>
      <c r="J32" t="str">
        <f t="shared" si="13"/>
        <v>Manure management</v>
      </c>
      <c r="K32" t="str">
        <f t="shared" si="14"/>
        <v>CH4</v>
      </c>
      <c r="L32" s="21">
        <v>1.2999999999999999E-2</v>
      </c>
      <c r="M32" t="s">
        <v>144</v>
      </c>
      <c r="N32" s="22">
        <f t="shared" si="2"/>
        <v>1.7216708359717049E-3</v>
      </c>
      <c r="P32" t="str">
        <f t="shared" si="15"/>
        <v>Manure management</v>
      </c>
      <c r="Q32" t="str">
        <f t="shared" si="16"/>
        <v>N2O</v>
      </c>
      <c r="R32" s="21">
        <v>48.979350000000004</v>
      </c>
      <c r="S32" t="s">
        <v>311</v>
      </c>
      <c r="T32" s="22">
        <f t="shared" si="3"/>
        <v>6.4866398815269797</v>
      </c>
    </row>
    <row r="33" spans="1:20" x14ac:dyDescent="0.25">
      <c r="A33" s="14" t="s">
        <v>183</v>
      </c>
      <c r="B33" t="str">
        <f t="shared" si="11"/>
        <v>Enteric fermentation</v>
      </c>
      <c r="C33" t="str">
        <f t="shared" si="12"/>
        <v>CH4</v>
      </c>
      <c r="D33" s="21">
        <v>72.599999999999994</v>
      </c>
      <c r="E33" t="s">
        <v>144</v>
      </c>
      <c r="F33" s="21">
        <v>192402.23052057408</v>
      </c>
      <c r="G33" s="22">
        <f t="shared" si="20"/>
        <v>2.8211470750817313E-2</v>
      </c>
      <c r="H33" s="22">
        <f t="shared" si="18"/>
        <v>2.0481527765093368</v>
      </c>
      <c r="J33" t="str">
        <f t="shared" si="13"/>
        <v>Manure management</v>
      </c>
      <c r="K33" t="str">
        <f t="shared" si="14"/>
        <v>CH4</v>
      </c>
      <c r="L33" s="21">
        <v>1.4999999999999999E-2</v>
      </c>
      <c r="M33" t="s">
        <v>144</v>
      </c>
      <c r="N33" s="22">
        <f t="shared" si="2"/>
        <v>4.2317206126225968E-4</v>
      </c>
      <c r="P33" t="str">
        <f t="shared" si="15"/>
        <v>Manure management</v>
      </c>
      <c r="Q33" t="str">
        <f t="shared" si="16"/>
        <v>N2O</v>
      </c>
      <c r="R33" s="21">
        <v>92.209950000000006</v>
      </c>
      <c r="S33" t="s">
        <v>311</v>
      </c>
      <c r="T33" s="22">
        <f t="shared" si="3"/>
        <v>2.6013783073593273</v>
      </c>
    </row>
    <row r="34" spans="1:20" x14ac:dyDescent="0.25">
      <c r="A34" s="14" t="s">
        <v>184</v>
      </c>
      <c r="B34" t="str">
        <f t="shared" si="11"/>
        <v>Enteric fermentation</v>
      </c>
      <c r="C34" t="str">
        <f t="shared" si="12"/>
        <v>CH4</v>
      </c>
      <c r="D34" s="21">
        <v>41.6</v>
      </c>
      <c r="E34" t="s">
        <v>144</v>
      </c>
      <c r="F34" s="21">
        <v>522965.80914674513</v>
      </c>
      <c r="G34" s="22">
        <f t="shared" si="20"/>
        <v>7.6681203687206032E-2</v>
      </c>
      <c r="H34" s="22">
        <f t="shared" si="18"/>
        <v>3.1899380733877711</v>
      </c>
      <c r="J34" t="str">
        <f t="shared" si="13"/>
        <v>Manure management</v>
      </c>
      <c r="K34" t="str">
        <f t="shared" si="14"/>
        <v>CH4</v>
      </c>
      <c r="L34" s="21">
        <v>0.01</v>
      </c>
      <c r="M34" t="s">
        <v>144</v>
      </c>
      <c r="N34" s="22">
        <f t="shared" si="2"/>
        <v>7.6681203687206038E-4</v>
      </c>
      <c r="P34" t="str">
        <f t="shared" si="15"/>
        <v>Manure management</v>
      </c>
      <c r="Q34" t="str">
        <f t="shared" si="16"/>
        <v>N2O</v>
      </c>
      <c r="R34" s="21">
        <v>68.984999999999999</v>
      </c>
      <c r="S34" t="s">
        <v>311</v>
      </c>
      <c r="T34" s="22">
        <f t="shared" si="3"/>
        <v>5.2898528363619084</v>
      </c>
    </row>
    <row r="35" spans="1:20" x14ac:dyDescent="0.25">
      <c r="A35" s="13" t="s">
        <v>152</v>
      </c>
      <c r="M35" s="13"/>
    </row>
    <row r="36" spans="1:20" x14ac:dyDescent="0.25">
      <c r="A36" s="14" t="s">
        <v>185</v>
      </c>
      <c r="B36" t="str">
        <f t="shared" ref="B36:B83" si="21">$B$5</f>
        <v>Enteric fermentation</v>
      </c>
      <c r="C36" t="str">
        <f t="shared" ref="C36:C83" si="22">$C$5</f>
        <v>CH4</v>
      </c>
      <c r="D36" s="21">
        <v>7.28</v>
      </c>
      <c r="E36" t="s">
        <v>144</v>
      </c>
      <c r="F36" s="21">
        <v>11250</v>
      </c>
      <c r="G36" s="22">
        <f>F36/SUM($F$36:$F$59)</f>
        <v>5.2342623179639882E-4</v>
      </c>
      <c r="H36" s="22">
        <f t="shared" si="18"/>
        <v>3.8105429674777837E-3</v>
      </c>
      <c r="J36" t="str">
        <f t="shared" ref="J36:J83" si="23">$J$5</f>
        <v>Manure management</v>
      </c>
      <c r="K36" t="str">
        <f t="shared" ref="K36:K83" si="24">$K$5</f>
        <v>CH4</v>
      </c>
      <c r="L36" s="21">
        <v>2E-3</v>
      </c>
      <c r="M36" t="s">
        <v>144</v>
      </c>
      <c r="N36" s="22">
        <f t="shared" si="2"/>
        <v>1.0468524635927976E-6</v>
      </c>
      <c r="P36" t="str">
        <f t="shared" ref="P36:P83" si="25">$P$5</f>
        <v>Manure management</v>
      </c>
      <c r="Q36" t="str">
        <f t="shared" ref="Q36:Q83" si="26">$Q$5</f>
        <v>N2O</v>
      </c>
      <c r="R36" s="21">
        <v>20.498399999999997</v>
      </c>
      <c r="S36" t="s">
        <v>311</v>
      </c>
      <c r="T36" s="22">
        <f t="shared" si="3"/>
        <v>1.07294002698553E-2</v>
      </c>
    </row>
    <row r="37" spans="1:20" x14ac:dyDescent="0.25">
      <c r="A37" s="14" t="s">
        <v>186</v>
      </c>
      <c r="B37" t="str">
        <f t="shared" si="21"/>
        <v>Enteric fermentation</v>
      </c>
      <c r="C37" t="str">
        <f t="shared" si="22"/>
        <v>CH4</v>
      </c>
      <c r="D37" s="21">
        <v>10.5</v>
      </c>
      <c r="E37" t="s">
        <v>144</v>
      </c>
      <c r="F37" s="21">
        <v>250</v>
      </c>
      <c r="G37" s="22">
        <f t="shared" ref="G37:G59" si="27">F37/SUM($F$36:$F$59)</f>
        <v>1.1631694039919974E-5</v>
      </c>
      <c r="H37" s="22">
        <f t="shared" si="18"/>
        <v>1.2213278741915972E-4</v>
      </c>
      <c r="J37" t="str">
        <f t="shared" si="23"/>
        <v>Manure management</v>
      </c>
      <c r="K37" t="str">
        <f t="shared" si="24"/>
        <v>CH4</v>
      </c>
      <c r="L37" s="21">
        <v>3.0000000000000001E-3</v>
      </c>
      <c r="M37" t="s">
        <v>144</v>
      </c>
      <c r="N37" s="22">
        <f t="shared" si="2"/>
        <v>3.4895082119759926E-8</v>
      </c>
      <c r="P37" t="str">
        <f t="shared" si="25"/>
        <v>Manure management</v>
      </c>
      <c r="Q37" t="str">
        <f t="shared" si="26"/>
        <v>N2O</v>
      </c>
      <c r="R37" s="21">
        <v>30.961124999999996</v>
      </c>
      <c r="S37" t="s">
        <v>311</v>
      </c>
      <c r="T37" s="22">
        <f t="shared" si="3"/>
        <v>3.6013033313171726E-4</v>
      </c>
    </row>
    <row r="38" spans="1:20" x14ac:dyDescent="0.25">
      <c r="A38" s="14" t="s">
        <v>187</v>
      </c>
      <c r="B38" t="str">
        <f t="shared" si="21"/>
        <v>Enteric fermentation</v>
      </c>
      <c r="C38" t="str">
        <f t="shared" si="22"/>
        <v>CH4</v>
      </c>
      <c r="D38" s="21">
        <v>3.62</v>
      </c>
      <c r="E38" t="s">
        <v>144</v>
      </c>
      <c r="F38" s="21">
        <v>6000</v>
      </c>
      <c r="G38" s="22">
        <f t="shared" si="27"/>
        <v>2.7916065695807939E-4</v>
      </c>
      <c r="H38" s="22">
        <f t="shared" si="18"/>
        <v>1.0105615781882474E-3</v>
      </c>
      <c r="J38" t="str">
        <f t="shared" si="23"/>
        <v>Manure management</v>
      </c>
      <c r="K38" t="str">
        <f t="shared" si="24"/>
        <v>CH4</v>
      </c>
      <c r="L38" s="21">
        <v>1E-3</v>
      </c>
      <c r="M38" t="s">
        <v>144</v>
      </c>
      <c r="N38" s="22">
        <f t="shared" si="2"/>
        <v>2.7916065695807941E-7</v>
      </c>
      <c r="P38" t="str">
        <f t="shared" si="25"/>
        <v>Manure management</v>
      </c>
      <c r="Q38" t="str">
        <f t="shared" si="26"/>
        <v>N2O</v>
      </c>
      <c r="R38" s="21">
        <v>9.608625</v>
      </c>
      <c r="S38" t="s">
        <v>311</v>
      </c>
      <c r="T38" s="22">
        <f t="shared" si="3"/>
        <v>2.6823500674638253E-3</v>
      </c>
    </row>
    <row r="39" spans="1:20" x14ac:dyDescent="0.25">
      <c r="A39" s="14" t="s">
        <v>188</v>
      </c>
      <c r="B39" t="str">
        <f t="shared" si="21"/>
        <v>Enteric fermentation</v>
      </c>
      <c r="C39" t="str">
        <f t="shared" si="22"/>
        <v>CH4</v>
      </c>
      <c r="D39" s="21">
        <v>5.0199999999999996</v>
      </c>
      <c r="E39" t="s">
        <v>144</v>
      </c>
      <c r="F39" s="21">
        <v>4000</v>
      </c>
      <c r="G39" s="22">
        <f t="shared" si="27"/>
        <v>1.8610710463871959E-4</v>
      </c>
      <c r="H39" s="22">
        <f t="shared" si="18"/>
        <v>9.3425766528637229E-4</v>
      </c>
      <c r="J39" t="str">
        <f t="shared" si="23"/>
        <v>Manure management</v>
      </c>
      <c r="K39" t="str">
        <f t="shared" si="24"/>
        <v>CH4</v>
      </c>
      <c r="L39" s="21">
        <v>1.2999999999999999E-3</v>
      </c>
      <c r="M39" t="s">
        <v>144</v>
      </c>
      <c r="N39" s="22">
        <f t="shared" si="2"/>
        <v>2.4193923603033547E-7</v>
      </c>
      <c r="P39" t="str">
        <f t="shared" si="25"/>
        <v>Manure management</v>
      </c>
      <c r="Q39" t="str">
        <f t="shared" si="26"/>
        <v>N2O</v>
      </c>
      <c r="R39" s="21">
        <v>14.306175</v>
      </c>
      <c r="S39" t="s">
        <v>311</v>
      </c>
      <c r="T39" s="22">
        <f t="shared" si="3"/>
        <v>2.6624808077048341E-3</v>
      </c>
    </row>
    <row r="40" spans="1:20" x14ac:dyDescent="0.25">
      <c r="A40" s="14" t="s">
        <v>189</v>
      </c>
      <c r="B40" t="str">
        <f t="shared" si="21"/>
        <v>Enteric fermentation</v>
      </c>
      <c r="C40" t="str">
        <f t="shared" si="22"/>
        <v>CH4</v>
      </c>
      <c r="D40" s="21">
        <v>5.94</v>
      </c>
      <c r="E40" t="s">
        <v>144</v>
      </c>
      <c r="F40" s="21">
        <v>3000</v>
      </c>
      <c r="G40" s="22">
        <f t="shared" si="27"/>
        <v>1.3958032847903969E-4</v>
      </c>
      <c r="H40" s="22">
        <f t="shared" si="18"/>
        <v>8.2910715116549585E-4</v>
      </c>
      <c r="J40" t="str">
        <f t="shared" si="23"/>
        <v>Manure management</v>
      </c>
      <c r="K40" t="str">
        <f t="shared" si="24"/>
        <v>CH4</v>
      </c>
      <c r="L40" s="21">
        <v>1.6000000000000001E-3</v>
      </c>
      <c r="M40" t="s">
        <v>144</v>
      </c>
      <c r="N40" s="22">
        <f t="shared" si="2"/>
        <v>2.2332852556646353E-7</v>
      </c>
      <c r="P40" t="str">
        <f t="shared" si="25"/>
        <v>Manure management</v>
      </c>
      <c r="Q40" t="str">
        <f t="shared" si="26"/>
        <v>N2O</v>
      </c>
      <c r="R40" s="21">
        <v>17.295524999999998</v>
      </c>
      <c r="S40" t="s">
        <v>311</v>
      </c>
      <c r="T40" s="22">
        <f t="shared" si="3"/>
        <v>2.4141150607174425E-3</v>
      </c>
    </row>
    <row r="41" spans="1:20" x14ac:dyDescent="0.25">
      <c r="A41" s="14" t="s">
        <v>190</v>
      </c>
      <c r="B41" t="str">
        <f t="shared" si="21"/>
        <v>Enteric fermentation</v>
      </c>
      <c r="C41" t="str">
        <f t="shared" si="22"/>
        <v>CH4</v>
      </c>
      <c r="D41" s="21">
        <v>7.64</v>
      </c>
      <c r="E41" t="s">
        <v>144</v>
      </c>
      <c r="F41" s="21">
        <v>500</v>
      </c>
      <c r="G41" s="22">
        <f t="shared" si="27"/>
        <v>2.3263388079839949E-5</v>
      </c>
      <c r="H41" s="22">
        <f t="shared" si="18"/>
        <v>1.7773228492997721E-4</v>
      </c>
      <c r="J41" t="str">
        <f t="shared" si="23"/>
        <v>Manure management</v>
      </c>
      <c r="K41" t="str">
        <f t="shared" si="24"/>
        <v>CH4</v>
      </c>
      <c r="L41" s="21">
        <v>2E-3</v>
      </c>
      <c r="M41" t="s">
        <v>144</v>
      </c>
      <c r="N41" s="22">
        <f t="shared" si="2"/>
        <v>4.6526776159679897E-8</v>
      </c>
      <c r="P41" t="str">
        <f t="shared" si="25"/>
        <v>Manure management</v>
      </c>
      <c r="Q41" t="str">
        <f t="shared" si="26"/>
        <v>N2O</v>
      </c>
      <c r="R41" s="21">
        <v>22.633649999999999</v>
      </c>
      <c r="S41" t="s">
        <v>311</v>
      </c>
      <c r="T41" s="22">
        <f t="shared" si="3"/>
        <v>5.2653538361326947E-4</v>
      </c>
    </row>
    <row r="42" spans="1:20" x14ac:dyDescent="0.25">
      <c r="A42" s="14" t="s">
        <v>191</v>
      </c>
      <c r="B42" t="str">
        <f t="shared" si="21"/>
        <v>Enteric fermentation</v>
      </c>
      <c r="C42" t="str">
        <f t="shared" si="22"/>
        <v>CH4</v>
      </c>
      <c r="D42" s="21">
        <v>8.07</v>
      </c>
      <c r="E42" t="s">
        <v>144</v>
      </c>
      <c r="F42" s="21">
        <v>5062950</v>
      </c>
      <c r="G42" s="22">
        <f t="shared" si="27"/>
        <v>0.23556274135765132</v>
      </c>
      <c r="H42" s="22">
        <f t="shared" si="18"/>
        <v>1.9009913227562463</v>
      </c>
      <c r="J42" t="str">
        <f t="shared" si="23"/>
        <v>Manure management</v>
      </c>
      <c r="K42" t="str">
        <f t="shared" si="24"/>
        <v>CH4</v>
      </c>
      <c r="L42" s="21">
        <v>2.2000000000000001E-3</v>
      </c>
      <c r="M42" t="s">
        <v>144</v>
      </c>
      <c r="N42" s="22">
        <f t="shared" si="2"/>
        <v>5.1823803098683297E-4</v>
      </c>
      <c r="P42" t="str">
        <f t="shared" si="25"/>
        <v>Manure management</v>
      </c>
      <c r="Q42" t="str">
        <f t="shared" si="26"/>
        <v>N2O</v>
      </c>
      <c r="R42" s="21">
        <v>22.633649999999999</v>
      </c>
      <c r="S42" t="s">
        <v>311</v>
      </c>
      <c r="T42" s="22">
        <f t="shared" si="3"/>
        <v>5.3316446409296043</v>
      </c>
    </row>
    <row r="43" spans="1:20" x14ac:dyDescent="0.25">
      <c r="A43" s="14" t="s">
        <v>192</v>
      </c>
      <c r="B43" t="str">
        <f t="shared" si="21"/>
        <v>Enteric fermentation</v>
      </c>
      <c r="C43" t="str">
        <f t="shared" si="22"/>
        <v>CH4</v>
      </c>
      <c r="D43" s="21">
        <v>14.7</v>
      </c>
      <c r="E43" t="s">
        <v>144</v>
      </c>
      <c r="F43" s="21">
        <v>112510</v>
      </c>
      <c r="G43" s="22">
        <f t="shared" si="27"/>
        <v>5.234727585725585E-3</v>
      </c>
      <c r="H43" s="22">
        <f t="shared" si="18"/>
        <v>7.6950495510166098E-2</v>
      </c>
      <c r="J43" t="str">
        <f t="shared" si="23"/>
        <v>Manure management</v>
      </c>
      <c r="K43" t="str">
        <f t="shared" si="24"/>
        <v>CH4</v>
      </c>
      <c r="L43" s="21">
        <v>4.1999999999999997E-3</v>
      </c>
      <c r="M43" t="s">
        <v>144</v>
      </c>
      <c r="N43" s="22">
        <f t="shared" si="2"/>
        <v>2.1985855860047455E-5</v>
      </c>
      <c r="P43" t="str">
        <f t="shared" si="25"/>
        <v>Manure management</v>
      </c>
      <c r="Q43" t="str">
        <f t="shared" si="26"/>
        <v>N2O</v>
      </c>
      <c r="R43" s="21">
        <v>41.637374999999999</v>
      </c>
      <c r="S43" t="s">
        <v>311</v>
      </c>
      <c r="T43" s="22">
        <f t="shared" si="3"/>
        <v>0.21796031550970082</v>
      </c>
    </row>
    <row r="44" spans="1:20" x14ac:dyDescent="0.25">
      <c r="A44" s="14" t="s">
        <v>193</v>
      </c>
      <c r="B44" t="str">
        <f t="shared" si="21"/>
        <v>Enteric fermentation</v>
      </c>
      <c r="C44" t="str">
        <f t="shared" si="22"/>
        <v>CH4</v>
      </c>
      <c r="D44" s="21">
        <v>3.62</v>
      </c>
      <c r="E44" t="s">
        <v>144</v>
      </c>
      <c r="F44" s="21">
        <v>2700240</v>
      </c>
      <c r="G44" s="22">
        <f t="shared" si="27"/>
        <v>0.12563346205741405</v>
      </c>
      <c r="H44" s="22">
        <f t="shared" si="18"/>
        <v>0.45479313264783888</v>
      </c>
      <c r="J44" t="str">
        <f t="shared" si="23"/>
        <v>Manure management</v>
      </c>
      <c r="K44" t="str">
        <f t="shared" si="24"/>
        <v>CH4</v>
      </c>
      <c r="L44" s="21">
        <v>1E-3</v>
      </c>
      <c r="M44" t="s">
        <v>144</v>
      </c>
      <c r="N44" s="22">
        <f t="shared" si="2"/>
        <v>1.2563346205741405E-4</v>
      </c>
      <c r="P44" t="str">
        <f t="shared" si="25"/>
        <v>Manure management</v>
      </c>
      <c r="Q44" t="str">
        <f t="shared" si="26"/>
        <v>N2O</v>
      </c>
      <c r="R44" s="21">
        <v>9.608625</v>
      </c>
      <c r="S44" t="s">
        <v>311</v>
      </c>
      <c r="T44" s="22">
        <f t="shared" si="3"/>
        <v>1.2071648243614201</v>
      </c>
    </row>
    <row r="45" spans="1:20" x14ac:dyDescent="0.25">
      <c r="A45" s="14" t="s">
        <v>194</v>
      </c>
      <c r="B45" t="str">
        <f t="shared" si="21"/>
        <v>Enteric fermentation</v>
      </c>
      <c r="C45" t="str">
        <f t="shared" si="22"/>
        <v>CH4</v>
      </c>
      <c r="D45" s="21">
        <v>5.54</v>
      </c>
      <c r="E45" t="s">
        <v>144</v>
      </c>
      <c r="F45" s="21">
        <v>1800160</v>
      </c>
      <c r="G45" s="22">
        <f t="shared" si="27"/>
        <v>8.375564137160936E-2</v>
      </c>
      <c r="H45" s="22">
        <f t="shared" si="18"/>
        <v>0.46400625319871586</v>
      </c>
      <c r="J45" t="str">
        <f t="shared" si="23"/>
        <v>Manure management</v>
      </c>
      <c r="K45" t="str">
        <f t="shared" si="24"/>
        <v>CH4</v>
      </c>
      <c r="L45" s="21">
        <v>1.4E-3</v>
      </c>
      <c r="M45" t="s">
        <v>144</v>
      </c>
      <c r="N45" s="22">
        <f t="shared" si="2"/>
        <v>1.172578979202531E-4</v>
      </c>
      <c r="P45" t="str">
        <f t="shared" si="25"/>
        <v>Manure management</v>
      </c>
      <c r="Q45" t="str">
        <f t="shared" si="26"/>
        <v>N2O</v>
      </c>
      <c r="R45" s="21">
        <v>16.014374999999998</v>
      </c>
      <c r="S45" t="s">
        <v>311</v>
      </c>
      <c r="T45" s="22">
        <f t="shared" si="3"/>
        <v>1.3412942492904665</v>
      </c>
    </row>
    <row r="46" spans="1:20" x14ac:dyDescent="0.25">
      <c r="A46" s="14" t="s">
        <v>195</v>
      </c>
      <c r="B46" t="str">
        <f t="shared" si="21"/>
        <v>Enteric fermentation</v>
      </c>
      <c r="C46" t="str">
        <f t="shared" si="22"/>
        <v>CH4</v>
      </c>
      <c r="D46" s="21">
        <v>6.21</v>
      </c>
      <c r="E46" t="s">
        <v>144</v>
      </c>
      <c r="F46" s="21">
        <v>1350120</v>
      </c>
      <c r="G46" s="22">
        <f t="shared" si="27"/>
        <v>6.2816731028707024E-2</v>
      </c>
      <c r="H46" s="22">
        <f t="shared" si="18"/>
        <v>0.39009189968827063</v>
      </c>
      <c r="J46" t="str">
        <f t="shared" si="23"/>
        <v>Manure management</v>
      </c>
      <c r="K46" t="str">
        <f t="shared" si="24"/>
        <v>CH4</v>
      </c>
      <c r="L46" s="21">
        <v>1.6000000000000001E-3</v>
      </c>
      <c r="M46" t="s">
        <v>144</v>
      </c>
      <c r="N46" s="22">
        <f t="shared" si="2"/>
        <v>1.0050676964593125E-4</v>
      </c>
      <c r="P46" t="str">
        <f t="shared" si="25"/>
        <v>Manure management</v>
      </c>
      <c r="Q46" t="str">
        <f t="shared" si="26"/>
        <v>N2O</v>
      </c>
      <c r="R46" s="21">
        <v>18.149625</v>
      </c>
      <c r="S46" t="s">
        <v>311</v>
      </c>
      <c r="T46" s="22">
        <f t="shared" si="3"/>
        <v>1.1401001118968968</v>
      </c>
    </row>
    <row r="47" spans="1:20" x14ac:dyDescent="0.25">
      <c r="A47" s="14" t="s">
        <v>196</v>
      </c>
      <c r="B47" t="str">
        <f t="shared" si="21"/>
        <v>Enteric fermentation</v>
      </c>
      <c r="C47" t="str">
        <f t="shared" si="22"/>
        <v>CH4</v>
      </c>
      <c r="D47" s="21">
        <v>11.5</v>
      </c>
      <c r="E47" t="s">
        <v>144</v>
      </c>
      <c r="F47" s="21">
        <v>225020</v>
      </c>
      <c r="G47" s="22">
        <f t="shared" si="27"/>
        <v>1.046945517145117E-2</v>
      </c>
      <c r="H47" s="22">
        <f t="shared" si="18"/>
        <v>0.12039873447168846</v>
      </c>
      <c r="J47" t="str">
        <f t="shared" si="23"/>
        <v>Manure management</v>
      </c>
      <c r="K47" t="str">
        <f t="shared" si="24"/>
        <v>CH4</v>
      </c>
      <c r="L47" s="21">
        <v>3.2000000000000002E-3</v>
      </c>
      <c r="M47" t="s">
        <v>144</v>
      </c>
      <c r="N47" s="22">
        <f t="shared" si="2"/>
        <v>3.3502256548643744E-5</v>
      </c>
      <c r="P47" t="str">
        <f t="shared" si="25"/>
        <v>Manure management</v>
      </c>
      <c r="Q47" t="str">
        <f t="shared" si="26"/>
        <v>N2O</v>
      </c>
      <c r="R47" s="21">
        <v>33.438014999999993</v>
      </c>
      <c r="S47" t="s">
        <v>311</v>
      </c>
      <c r="T47" s="22">
        <f t="shared" si="3"/>
        <v>0.35007779906481173</v>
      </c>
    </row>
    <row r="48" spans="1:20" x14ac:dyDescent="0.25">
      <c r="A48" s="14" t="s">
        <v>197</v>
      </c>
      <c r="B48" t="str">
        <f t="shared" si="21"/>
        <v>Enteric fermentation</v>
      </c>
      <c r="C48" t="str">
        <f t="shared" si="22"/>
        <v>CH4</v>
      </c>
      <c r="D48" s="21">
        <v>9.66</v>
      </c>
      <c r="E48" t="s">
        <v>144</v>
      </c>
      <c r="F48" s="21">
        <v>2725650</v>
      </c>
      <c r="G48" s="22">
        <f t="shared" si="27"/>
        <v>0.1268157074396315</v>
      </c>
      <c r="H48" s="22">
        <f t="shared" si="18"/>
        <v>1.2250397338668402</v>
      </c>
      <c r="J48" t="str">
        <f t="shared" si="23"/>
        <v>Manure management</v>
      </c>
      <c r="K48" t="str">
        <f t="shared" si="24"/>
        <v>CH4</v>
      </c>
      <c r="L48" s="21">
        <v>2.7000000000000001E-3</v>
      </c>
      <c r="M48" t="s">
        <v>144</v>
      </c>
      <c r="N48" s="22">
        <f t="shared" si="2"/>
        <v>3.4240241008700505E-4</v>
      </c>
      <c r="P48" t="str">
        <f t="shared" si="25"/>
        <v>Manure management</v>
      </c>
      <c r="Q48" t="str">
        <f t="shared" si="26"/>
        <v>N2O</v>
      </c>
      <c r="R48" s="21">
        <v>27.117674999999998</v>
      </c>
      <c r="S48" t="s">
        <v>311</v>
      </c>
      <c r="T48" s="22">
        <f t="shared" si="3"/>
        <v>3.4389471392430089</v>
      </c>
    </row>
    <row r="49" spans="1:20" x14ac:dyDescent="0.25">
      <c r="A49" s="14" t="s">
        <v>198</v>
      </c>
      <c r="B49" t="str">
        <f t="shared" si="21"/>
        <v>Enteric fermentation</v>
      </c>
      <c r="C49" t="str">
        <f t="shared" si="22"/>
        <v>CH4</v>
      </c>
      <c r="D49" s="21">
        <v>14.7</v>
      </c>
      <c r="E49" t="s">
        <v>144</v>
      </c>
      <c r="F49" s="21">
        <v>60570</v>
      </c>
      <c r="G49" s="22">
        <f t="shared" si="27"/>
        <v>2.8181268319918112E-3</v>
      </c>
      <c r="H49" s="22">
        <f t="shared" si="18"/>
        <v>4.1426464430279621E-2</v>
      </c>
      <c r="J49" t="str">
        <f t="shared" si="23"/>
        <v>Manure management</v>
      </c>
      <c r="K49" t="str">
        <f t="shared" si="24"/>
        <v>CH4</v>
      </c>
      <c r="L49" s="21">
        <v>4.1000000000000003E-3</v>
      </c>
      <c r="M49" t="s">
        <v>144</v>
      </c>
      <c r="N49" s="22">
        <f t="shared" si="2"/>
        <v>1.1554320011166427E-5</v>
      </c>
      <c r="P49" t="str">
        <f t="shared" si="25"/>
        <v>Manure management</v>
      </c>
      <c r="Q49" t="str">
        <f t="shared" si="26"/>
        <v>N2O</v>
      </c>
      <c r="R49" s="21">
        <v>41.637374999999999</v>
      </c>
      <c r="S49" t="s">
        <v>311</v>
      </c>
      <c r="T49" s="22">
        <f t="shared" si="3"/>
        <v>0.11733940370120503</v>
      </c>
    </row>
    <row r="50" spans="1:20" x14ac:dyDescent="0.25">
      <c r="A50" s="14" t="s">
        <v>199</v>
      </c>
      <c r="B50" t="str">
        <f t="shared" si="21"/>
        <v>Enteric fermentation</v>
      </c>
      <c r="C50" t="str">
        <f t="shared" si="22"/>
        <v>CH4</v>
      </c>
      <c r="D50" s="21">
        <v>3.62</v>
      </c>
      <c r="E50" t="s">
        <v>144</v>
      </c>
      <c r="F50" s="21">
        <v>1453680</v>
      </c>
      <c r="G50" s="22">
        <f t="shared" si="27"/>
        <v>6.7635043967803468E-2</v>
      </c>
      <c r="H50" s="22">
        <f t="shared" si="18"/>
        <v>0.24483885916344855</v>
      </c>
      <c r="J50" t="str">
        <f t="shared" si="23"/>
        <v>Manure management</v>
      </c>
      <c r="K50" t="str">
        <f t="shared" si="24"/>
        <v>CH4</v>
      </c>
      <c r="L50" s="21">
        <v>1E-3</v>
      </c>
      <c r="M50" t="s">
        <v>144</v>
      </c>
      <c r="N50" s="22">
        <f t="shared" si="2"/>
        <v>6.7635043967803464E-5</v>
      </c>
      <c r="P50" t="str">
        <f t="shared" si="25"/>
        <v>Manure management</v>
      </c>
      <c r="Q50" t="str">
        <f t="shared" si="26"/>
        <v>N2O</v>
      </c>
      <c r="R50" s="21">
        <v>9.608625</v>
      </c>
      <c r="S50" t="s">
        <v>311</v>
      </c>
      <c r="T50" s="22">
        <f t="shared" si="3"/>
        <v>0.64987977434513555</v>
      </c>
    </row>
    <row r="51" spans="1:20" x14ac:dyDescent="0.25">
      <c r="A51" s="14" t="s">
        <v>200</v>
      </c>
      <c r="B51" t="str">
        <f t="shared" si="21"/>
        <v>Enteric fermentation</v>
      </c>
      <c r="C51" t="str">
        <f t="shared" si="22"/>
        <v>CH4</v>
      </c>
      <c r="D51" s="21">
        <v>5.54</v>
      </c>
      <c r="E51" t="s">
        <v>144</v>
      </c>
      <c r="F51" s="21">
        <v>969120</v>
      </c>
      <c r="G51" s="22">
        <f t="shared" si="27"/>
        <v>4.5090029311868979E-2</v>
      </c>
      <c r="H51" s="22">
        <f t="shared" si="18"/>
        <v>0.24979876238775414</v>
      </c>
      <c r="J51" t="str">
        <f t="shared" si="23"/>
        <v>Manure management</v>
      </c>
      <c r="K51" t="str">
        <f t="shared" si="24"/>
        <v>CH4</v>
      </c>
      <c r="L51" s="21">
        <v>1.4E-3</v>
      </c>
      <c r="M51" t="s">
        <v>144</v>
      </c>
      <c r="N51" s="22">
        <f t="shared" si="2"/>
        <v>6.3126041036616574E-5</v>
      </c>
      <c r="P51" t="str">
        <f t="shared" si="25"/>
        <v>Manure management</v>
      </c>
      <c r="Q51" t="str">
        <f t="shared" si="26"/>
        <v>N2O</v>
      </c>
      <c r="R51" s="21">
        <v>16.014374999999998</v>
      </c>
      <c r="S51" t="s">
        <v>311</v>
      </c>
      <c r="T51" s="22">
        <f t="shared" si="3"/>
        <v>0.72208863816126168</v>
      </c>
    </row>
    <row r="52" spans="1:20" x14ac:dyDescent="0.25">
      <c r="A52" s="14" t="s">
        <v>201</v>
      </c>
      <c r="B52" t="str">
        <f t="shared" si="21"/>
        <v>Enteric fermentation</v>
      </c>
      <c r="C52" t="str">
        <f t="shared" si="22"/>
        <v>CH4</v>
      </c>
      <c r="D52" s="21">
        <v>6.88</v>
      </c>
      <c r="E52" t="s">
        <v>144</v>
      </c>
      <c r="F52" s="21">
        <v>726840</v>
      </c>
      <c r="G52" s="22">
        <f t="shared" si="27"/>
        <v>3.3817521983901734E-2</v>
      </c>
      <c r="H52" s="22">
        <f t="shared" si="18"/>
        <v>0.23266455124924393</v>
      </c>
      <c r="J52" t="str">
        <f t="shared" si="23"/>
        <v>Manure management</v>
      </c>
      <c r="K52" t="str">
        <f t="shared" si="24"/>
        <v>CH4</v>
      </c>
      <c r="L52" s="21">
        <v>1.8E-3</v>
      </c>
      <c r="M52" t="s">
        <v>144</v>
      </c>
      <c r="N52" s="22">
        <f t="shared" si="2"/>
        <v>6.0871539571023123E-5</v>
      </c>
      <c r="P52" t="str">
        <f t="shared" si="25"/>
        <v>Manure management</v>
      </c>
      <c r="Q52" t="str">
        <f t="shared" si="26"/>
        <v>N2O</v>
      </c>
      <c r="R52" s="21">
        <v>20.284875</v>
      </c>
      <c r="S52" t="s">
        <v>311</v>
      </c>
      <c r="T52" s="22">
        <f t="shared" si="3"/>
        <v>0.68598420625319867</v>
      </c>
    </row>
    <row r="53" spans="1:20" x14ac:dyDescent="0.25">
      <c r="A53" s="14" t="s">
        <v>202</v>
      </c>
      <c r="B53" t="str">
        <f t="shared" si="21"/>
        <v>Enteric fermentation</v>
      </c>
      <c r="C53" t="str">
        <f t="shared" si="22"/>
        <v>CH4</v>
      </c>
      <c r="D53" s="21">
        <v>9.8800000000000008</v>
      </c>
      <c r="E53" t="s">
        <v>144</v>
      </c>
      <c r="F53" s="21">
        <v>121140</v>
      </c>
      <c r="G53" s="22">
        <f t="shared" si="27"/>
        <v>5.6362536639836223E-3</v>
      </c>
      <c r="H53" s="22">
        <f t="shared" si="18"/>
        <v>5.5686186200158194E-2</v>
      </c>
      <c r="J53" t="str">
        <f t="shared" si="23"/>
        <v>Manure management</v>
      </c>
      <c r="K53" t="str">
        <f t="shared" si="24"/>
        <v>CH4</v>
      </c>
      <c r="L53" s="21">
        <v>2.7000000000000001E-3</v>
      </c>
      <c r="M53" t="s">
        <v>144</v>
      </c>
      <c r="N53" s="22">
        <f t="shared" si="2"/>
        <v>1.5217884892755781E-5</v>
      </c>
      <c r="P53" t="str">
        <f t="shared" si="25"/>
        <v>Manure management</v>
      </c>
      <c r="Q53" t="str">
        <f t="shared" si="26"/>
        <v>N2O</v>
      </c>
      <c r="R53" s="21">
        <v>29.167514999999998</v>
      </c>
      <c r="S53" t="s">
        <v>311</v>
      </c>
      <c r="T53" s="22">
        <f t="shared" si="3"/>
        <v>0.16439551328804725</v>
      </c>
    </row>
    <row r="54" spans="1:20" x14ac:dyDescent="0.25">
      <c r="A54" s="14" t="s">
        <v>203</v>
      </c>
      <c r="B54" t="str">
        <f t="shared" si="21"/>
        <v>Enteric fermentation</v>
      </c>
      <c r="C54" t="str">
        <f t="shared" si="22"/>
        <v>CH4</v>
      </c>
      <c r="D54" s="21">
        <v>10.4</v>
      </c>
      <c r="E54" t="s">
        <v>144</v>
      </c>
      <c r="F54" s="21">
        <v>1872000</v>
      </c>
      <c r="G54" s="22">
        <f t="shared" si="27"/>
        <v>8.7098124970920759E-2</v>
      </c>
      <c r="H54" s="22">
        <f t="shared" si="18"/>
        <v>0.90582049969757594</v>
      </c>
      <c r="J54" t="str">
        <f t="shared" si="23"/>
        <v>Manure management</v>
      </c>
      <c r="K54" t="str">
        <f t="shared" si="24"/>
        <v>CH4</v>
      </c>
      <c r="L54" s="21">
        <v>2.8999999999999998E-3</v>
      </c>
      <c r="M54" t="s">
        <v>144</v>
      </c>
      <c r="N54" s="22">
        <f t="shared" si="2"/>
        <v>2.5258456241567017E-4</v>
      </c>
      <c r="P54" t="str">
        <f t="shared" si="25"/>
        <v>Manure management</v>
      </c>
      <c r="Q54" t="str">
        <f t="shared" si="26"/>
        <v>N2O</v>
      </c>
      <c r="R54" s="21">
        <v>29.039400000000001</v>
      </c>
      <c r="S54" t="s">
        <v>311</v>
      </c>
      <c r="T54" s="22">
        <f t="shared" si="3"/>
        <v>2.5292772902805565</v>
      </c>
    </row>
    <row r="55" spans="1:20" x14ac:dyDescent="0.25">
      <c r="A55" s="14" t="s">
        <v>204</v>
      </c>
      <c r="B55" t="str">
        <f t="shared" si="21"/>
        <v>Enteric fermentation</v>
      </c>
      <c r="C55" t="str">
        <f t="shared" si="22"/>
        <v>CH4</v>
      </c>
      <c r="D55" s="21">
        <v>22.2</v>
      </c>
      <c r="E55" t="s">
        <v>144</v>
      </c>
      <c r="F55" s="21">
        <v>41600</v>
      </c>
      <c r="G55" s="22">
        <f t="shared" si="27"/>
        <v>1.9355138882426836E-3</v>
      </c>
      <c r="H55" s="22">
        <f t="shared" si="18"/>
        <v>4.2968408318987579E-2</v>
      </c>
      <c r="J55" t="str">
        <f t="shared" si="23"/>
        <v>Manure management</v>
      </c>
      <c r="K55" t="str">
        <f t="shared" si="24"/>
        <v>CH4</v>
      </c>
      <c r="L55" s="21">
        <v>6.4000000000000003E-3</v>
      </c>
      <c r="M55" t="s">
        <v>144</v>
      </c>
      <c r="N55" s="22">
        <f t="shared" si="2"/>
        <v>1.2387288884753176E-5</v>
      </c>
      <c r="P55" t="str">
        <f t="shared" si="25"/>
        <v>Manure management</v>
      </c>
      <c r="Q55" t="str">
        <f t="shared" si="26"/>
        <v>N2O</v>
      </c>
      <c r="R55" s="21">
        <v>58.932899999999997</v>
      </c>
      <c r="S55" t="s">
        <v>311</v>
      </c>
      <c r="T55" s="22">
        <f t="shared" si="3"/>
        <v>0.11406544642441724</v>
      </c>
    </row>
    <row r="56" spans="1:20" x14ac:dyDescent="0.25">
      <c r="A56" s="14" t="s">
        <v>205</v>
      </c>
      <c r="B56" t="str">
        <f t="shared" si="21"/>
        <v>Enteric fermentation</v>
      </c>
      <c r="C56" t="str">
        <f t="shared" si="22"/>
        <v>CH4</v>
      </c>
      <c r="D56" s="21">
        <v>3.62</v>
      </c>
      <c r="E56" t="s">
        <v>144</v>
      </c>
      <c r="F56" s="21">
        <v>998400</v>
      </c>
      <c r="G56" s="22">
        <f t="shared" si="27"/>
        <v>4.6452333317824411E-2</v>
      </c>
      <c r="H56" s="22">
        <f t="shared" si="18"/>
        <v>0.16815744661052437</v>
      </c>
      <c r="J56" t="str">
        <f t="shared" si="23"/>
        <v>Manure management</v>
      </c>
      <c r="K56" t="str">
        <f t="shared" si="24"/>
        <v>CH4</v>
      </c>
      <c r="L56" s="21">
        <v>1E-3</v>
      </c>
      <c r="M56" t="s">
        <v>144</v>
      </c>
      <c r="N56" s="22">
        <f t="shared" si="2"/>
        <v>4.6452333317824413E-5</v>
      </c>
      <c r="P56" t="str">
        <f t="shared" si="25"/>
        <v>Manure management</v>
      </c>
      <c r="Q56" t="str">
        <f t="shared" si="26"/>
        <v>N2O</v>
      </c>
      <c r="R56" s="21">
        <v>9.608625</v>
      </c>
      <c r="S56" t="s">
        <v>311</v>
      </c>
      <c r="T56" s="22">
        <f t="shared" si="3"/>
        <v>0.44634305122598056</v>
      </c>
    </row>
    <row r="57" spans="1:20" x14ac:dyDescent="0.25">
      <c r="A57" s="14" t="s">
        <v>206</v>
      </c>
      <c r="B57" t="str">
        <f t="shared" si="21"/>
        <v>Enteric fermentation</v>
      </c>
      <c r="C57" t="str">
        <f t="shared" si="22"/>
        <v>CH4</v>
      </c>
      <c r="D57" s="21">
        <v>4.7699999999999996</v>
      </c>
      <c r="E57" t="s">
        <v>144</v>
      </c>
      <c r="F57" s="21">
        <v>665600</v>
      </c>
      <c r="G57" s="22">
        <f t="shared" si="27"/>
        <v>3.0968222211882938E-2</v>
      </c>
      <c r="H57" s="22">
        <f t="shared" si="18"/>
        <v>0.14771841995068161</v>
      </c>
      <c r="J57" t="str">
        <f t="shared" si="23"/>
        <v>Manure management</v>
      </c>
      <c r="K57" t="str">
        <f t="shared" si="24"/>
        <v>CH4</v>
      </c>
      <c r="L57" s="21">
        <v>1.1999999999999999E-3</v>
      </c>
      <c r="M57" t="s">
        <v>144</v>
      </c>
      <c r="N57" s="22">
        <f t="shared" si="2"/>
        <v>3.7161866654259525E-5</v>
      </c>
      <c r="P57" t="str">
        <f t="shared" si="25"/>
        <v>Manure management</v>
      </c>
      <c r="Q57" t="str">
        <f t="shared" si="26"/>
        <v>N2O</v>
      </c>
      <c r="R57" s="21">
        <v>13.452074999999999</v>
      </c>
      <c r="S57" t="s">
        <v>311</v>
      </c>
      <c r="T57" s="22">
        <f t="shared" si="3"/>
        <v>0.41658684781091515</v>
      </c>
    </row>
    <row r="58" spans="1:20" x14ac:dyDescent="0.25">
      <c r="A58" s="14" t="s">
        <v>207</v>
      </c>
      <c r="B58" t="str">
        <f t="shared" si="21"/>
        <v>Enteric fermentation</v>
      </c>
      <c r="C58" t="str">
        <f t="shared" si="22"/>
        <v>CH4</v>
      </c>
      <c r="D58" s="21">
        <v>8.01</v>
      </c>
      <c r="E58" t="s">
        <v>144</v>
      </c>
      <c r="F58" s="21">
        <v>499200</v>
      </c>
      <c r="G58" s="22">
        <f t="shared" si="27"/>
        <v>2.3226166658912206E-2</v>
      </c>
      <c r="H58" s="22">
        <f t="shared" si="18"/>
        <v>0.18604159493788677</v>
      </c>
      <c r="J58" t="str">
        <f t="shared" si="23"/>
        <v>Manure management</v>
      </c>
      <c r="K58" t="str">
        <f t="shared" si="24"/>
        <v>CH4</v>
      </c>
      <c r="L58" s="21">
        <v>2.2000000000000001E-3</v>
      </c>
      <c r="M58" t="s">
        <v>144</v>
      </c>
      <c r="N58" s="22">
        <f t="shared" si="2"/>
        <v>5.1097566649606857E-5</v>
      </c>
      <c r="P58" t="str">
        <f t="shared" si="25"/>
        <v>Manure management</v>
      </c>
      <c r="Q58" t="str">
        <f t="shared" si="26"/>
        <v>N2O</v>
      </c>
      <c r="R58" s="21">
        <v>23.701274999999999</v>
      </c>
      <c r="S58" t="s">
        <v>311</v>
      </c>
      <c r="T58" s="22">
        <f t="shared" si="3"/>
        <v>0.55048976317870935</v>
      </c>
    </row>
    <row r="59" spans="1:20" x14ac:dyDescent="0.25">
      <c r="A59" s="14" t="s">
        <v>208</v>
      </c>
      <c r="B59" t="str">
        <f t="shared" si="21"/>
        <v>Enteric fermentation</v>
      </c>
      <c r="C59" t="str">
        <f t="shared" si="22"/>
        <v>CH4</v>
      </c>
      <c r="D59" s="21">
        <v>14.8</v>
      </c>
      <c r="E59" t="s">
        <v>144</v>
      </c>
      <c r="F59" s="21">
        <v>83200</v>
      </c>
      <c r="G59" s="22">
        <f t="shared" si="27"/>
        <v>3.8710277764853673E-3</v>
      </c>
      <c r="H59" s="22">
        <f t="shared" si="18"/>
        <v>5.7291211091983436E-2</v>
      </c>
      <c r="J59" t="str">
        <f t="shared" si="23"/>
        <v>Manure management</v>
      </c>
      <c r="K59" t="str">
        <f t="shared" si="24"/>
        <v>CH4</v>
      </c>
      <c r="L59" s="21">
        <v>4.1999999999999997E-3</v>
      </c>
      <c r="M59" t="s">
        <v>144</v>
      </c>
      <c r="N59" s="22">
        <f t="shared" si="2"/>
        <v>1.6258316661238541E-5</v>
      </c>
      <c r="P59" t="str">
        <f t="shared" si="25"/>
        <v>Manure management</v>
      </c>
      <c r="Q59" t="str">
        <f t="shared" si="26"/>
        <v>N2O</v>
      </c>
      <c r="R59" s="21">
        <v>41.979014999999997</v>
      </c>
      <c r="S59" t="s">
        <v>311</v>
      </c>
      <c r="T59" s="22">
        <f t="shared" si="3"/>
        <v>0.16250193309449587</v>
      </c>
    </row>
    <row r="60" spans="1:20" x14ac:dyDescent="0.25">
      <c r="A60" s="14" t="s">
        <v>209</v>
      </c>
      <c r="B60" t="str">
        <f t="shared" si="21"/>
        <v>Enteric fermentation</v>
      </c>
      <c r="C60" t="str">
        <f t="shared" si="22"/>
        <v>CH4</v>
      </c>
      <c r="D60" s="21">
        <v>5.27</v>
      </c>
      <c r="E60" t="s">
        <v>144</v>
      </c>
      <c r="F60" s="21">
        <v>1570.0475704490825</v>
      </c>
      <c r="G60" s="22">
        <f>F60/SUM($F$60:$F$83)</f>
        <v>5.2342623179639871E-4</v>
      </c>
      <c r="H60" s="22">
        <f t="shared" si="18"/>
        <v>2.758456241567021E-3</v>
      </c>
      <c r="J60" t="str">
        <f t="shared" si="23"/>
        <v>Manure management</v>
      </c>
      <c r="K60" t="str">
        <f t="shared" si="24"/>
        <v>CH4</v>
      </c>
      <c r="L60" s="21">
        <v>1.5E-3</v>
      </c>
      <c r="M60" t="s">
        <v>144</v>
      </c>
      <c r="N60" s="22">
        <f t="shared" si="2"/>
        <v>7.8513934769459805E-7</v>
      </c>
      <c r="P60" t="str">
        <f t="shared" si="25"/>
        <v>Manure management</v>
      </c>
      <c r="Q60" t="str">
        <f t="shared" si="26"/>
        <v>N2O</v>
      </c>
      <c r="R60" s="21">
        <v>16.398719999999997</v>
      </c>
      <c r="S60" t="s">
        <v>311</v>
      </c>
      <c r="T60" s="22">
        <f t="shared" si="3"/>
        <v>8.5835202158842383E-3</v>
      </c>
    </row>
    <row r="61" spans="1:20" x14ac:dyDescent="0.25">
      <c r="A61" s="14" t="s">
        <v>210</v>
      </c>
      <c r="B61" t="str">
        <f t="shared" si="21"/>
        <v>Enteric fermentation</v>
      </c>
      <c r="C61" t="str">
        <f t="shared" si="22"/>
        <v>CH4</v>
      </c>
      <c r="D61" s="21">
        <v>7.62</v>
      </c>
      <c r="E61" t="s">
        <v>144</v>
      </c>
      <c r="F61" s="21">
        <v>34.88994600997961</v>
      </c>
      <c r="G61" s="22">
        <f t="shared" ref="G61:G83" si="28">F61/SUM($F$60:$F$83)</f>
        <v>1.1631694039919973E-5</v>
      </c>
      <c r="H61" s="22">
        <f t="shared" si="18"/>
        <v>8.8633508584190187E-5</v>
      </c>
      <c r="J61" t="str">
        <f t="shared" si="23"/>
        <v>Manure management</v>
      </c>
      <c r="K61" t="str">
        <f t="shared" si="24"/>
        <v>CH4</v>
      </c>
      <c r="L61" s="21">
        <v>2.2000000000000001E-3</v>
      </c>
      <c r="M61" t="s">
        <v>144</v>
      </c>
      <c r="N61" s="22">
        <f t="shared" si="2"/>
        <v>2.5589726887823941E-8</v>
      </c>
      <c r="P61" t="str">
        <f t="shared" si="25"/>
        <v>Manure management</v>
      </c>
      <c r="Q61" t="str">
        <f t="shared" si="26"/>
        <v>N2O</v>
      </c>
      <c r="R61" s="21">
        <v>24.768900000000002</v>
      </c>
      <c r="S61" t="s">
        <v>311</v>
      </c>
      <c r="T61" s="22">
        <f t="shared" si="3"/>
        <v>2.8810426650537383E-4</v>
      </c>
    </row>
    <row r="62" spans="1:20" x14ac:dyDescent="0.25">
      <c r="A62" s="14" t="s">
        <v>211</v>
      </c>
      <c r="B62" t="str">
        <f t="shared" si="21"/>
        <v>Enteric fermentation</v>
      </c>
      <c r="C62" t="str">
        <f t="shared" si="22"/>
        <v>CH4</v>
      </c>
      <c r="D62" s="21">
        <v>2.76</v>
      </c>
      <c r="E62" t="s">
        <v>144</v>
      </c>
      <c r="F62" s="21">
        <v>837.35870423951064</v>
      </c>
      <c r="G62" s="22">
        <f t="shared" si="28"/>
        <v>2.7916065695807933E-4</v>
      </c>
      <c r="H62" s="22">
        <f t="shared" si="18"/>
        <v>7.7048341320429888E-4</v>
      </c>
      <c r="J62" t="str">
        <f t="shared" si="23"/>
        <v>Manure management</v>
      </c>
      <c r="K62" t="str">
        <f t="shared" si="24"/>
        <v>CH4</v>
      </c>
      <c r="L62" s="21">
        <v>6.9999999999999999E-4</v>
      </c>
      <c r="M62" t="s">
        <v>144</v>
      </c>
      <c r="N62" s="22">
        <f t="shared" si="2"/>
        <v>1.9541245987065553E-7</v>
      </c>
      <c r="P62" t="str">
        <f t="shared" si="25"/>
        <v>Manure management</v>
      </c>
      <c r="Q62" t="str">
        <f t="shared" si="26"/>
        <v>N2O</v>
      </c>
      <c r="R62" s="21">
        <v>7.6868999999999996</v>
      </c>
      <c r="S62" t="s">
        <v>311</v>
      </c>
      <c r="T62" s="22">
        <f t="shared" si="3"/>
        <v>2.14588005397106E-3</v>
      </c>
    </row>
    <row r="63" spans="1:20" x14ac:dyDescent="0.25">
      <c r="A63" s="14" t="s">
        <v>212</v>
      </c>
      <c r="B63" t="str">
        <f t="shared" si="21"/>
        <v>Enteric fermentation</v>
      </c>
      <c r="C63" t="str">
        <f t="shared" si="22"/>
        <v>CH4</v>
      </c>
      <c r="D63" s="21">
        <v>3.76</v>
      </c>
      <c r="E63" t="s">
        <v>144</v>
      </c>
      <c r="F63" s="21">
        <v>558.23913615967376</v>
      </c>
      <c r="G63" s="22">
        <f t="shared" si="28"/>
        <v>1.8610710463871956E-4</v>
      </c>
      <c r="H63" s="22">
        <f t="shared" si="18"/>
        <v>6.9976271344158547E-4</v>
      </c>
      <c r="J63" t="str">
        <f t="shared" si="23"/>
        <v>Manure management</v>
      </c>
      <c r="K63" t="str">
        <f t="shared" si="24"/>
        <v>CH4</v>
      </c>
      <c r="L63" s="21">
        <v>1E-3</v>
      </c>
      <c r="M63" t="s">
        <v>144</v>
      </c>
      <c r="N63" s="22">
        <f t="shared" si="2"/>
        <v>1.8610710463871956E-7</v>
      </c>
      <c r="P63" t="str">
        <f t="shared" si="25"/>
        <v>Manure management</v>
      </c>
      <c r="Q63" t="str">
        <f t="shared" si="26"/>
        <v>N2O</v>
      </c>
      <c r="R63" s="21">
        <v>11.444940000000001</v>
      </c>
      <c r="S63" t="s">
        <v>311</v>
      </c>
      <c r="T63" s="22">
        <f t="shared" si="3"/>
        <v>2.1299846461638673E-3</v>
      </c>
    </row>
    <row r="64" spans="1:20" x14ac:dyDescent="0.25">
      <c r="A64" s="14" t="s">
        <v>213</v>
      </c>
      <c r="B64" t="str">
        <f t="shared" si="21"/>
        <v>Enteric fermentation</v>
      </c>
      <c r="C64" t="str">
        <f t="shared" si="22"/>
        <v>CH4</v>
      </c>
      <c r="D64" s="21">
        <v>4.4000000000000004</v>
      </c>
      <c r="E64" t="s">
        <v>144</v>
      </c>
      <c r="F64" s="21">
        <v>418.67935211975532</v>
      </c>
      <c r="G64" s="22">
        <f t="shared" si="28"/>
        <v>1.3958032847903967E-4</v>
      </c>
      <c r="H64" s="22">
        <f t="shared" si="18"/>
        <v>6.1415344530777458E-4</v>
      </c>
      <c r="J64" t="str">
        <f t="shared" si="23"/>
        <v>Manure management</v>
      </c>
      <c r="K64" t="str">
        <f t="shared" si="24"/>
        <v>CH4</v>
      </c>
      <c r="L64" s="21">
        <v>1.1999999999999999E-3</v>
      </c>
      <c r="M64" t="s">
        <v>144</v>
      </c>
      <c r="N64" s="22">
        <f t="shared" si="2"/>
        <v>1.6749639417484759E-7</v>
      </c>
      <c r="P64" t="str">
        <f t="shared" si="25"/>
        <v>Manure management</v>
      </c>
      <c r="Q64" t="str">
        <f t="shared" si="26"/>
        <v>N2O</v>
      </c>
      <c r="R64" s="21">
        <v>13.836419999999999</v>
      </c>
      <c r="S64" t="s">
        <v>311</v>
      </c>
      <c r="T64" s="22">
        <f t="shared" si="3"/>
        <v>1.9312920485739537E-3</v>
      </c>
    </row>
    <row r="65" spans="1:20" x14ac:dyDescent="0.25">
      <c r="A65" s="14" t="s">
        <v>214</v>
      </c>
      <c r="B65" t="str">
        <f t="shared" si="21"/>
        <v>Enteric fermentation</v>
      </c>
      <c r="C65" t="str">
        <f t="shared" si="22"/>
        <v>CH4</v>
      </c>
      <c r="D65" s="21">
        <v>5.6</v>
      </c>
      <c r="E65" t="s">
        <v>144</v>
      </c>
      <c r="F65" s="21">
        <v>69.77989201995922</v>
      </c>
      <c r="G65" s="22">
        <f t="shared" si="28"/>
        <v>2.3263388079839945E-5</v>
      </c>
      <c r="H65" s="22">
        <f t="shared" si="18"/>
        <v>1.302749732471037E-4</v>
      </c>
      <c r="J65" t="str">
        <f t="shared" si="23"/>
        <v>Manure management</v>
      </c>
      <c r="K65" t="str">
        <f t="shared" si="24"/>
        <v>CH4</v>
      </c>
      <c r="L65" s="21">
        <v>1.6000000000000001E-3</v>
      </c>
      <c r="M65" t="s">
        <v>144</v>
      </c>
      <c r="N65" s="22">
        <f t="shared" si="2"/>
        <v>3.7221420927743912E-8</v>
      </c>
      <c r="P65" t="str">
        <f t="shared" si="25"/>
        <v>Manure management</v>
      </c>
      <c r="Q65" t="str">
        <f t="shared" si="26"/>
        <v>N2O</v>
      </c>
      <c r="R65" s="21">
        <v>18.106919999999999</v>
      </c>
      <c r="S65" t="s">
        <v>311</v>
      </c>
      <c r="T65" s="22">
        <f t="shared" si="3"/>
        <v>4.2122830689061546E-4</v>
      </c>
    </row>
    <row r="66" spans="1:20" x14ac:dyDescent="0.25">
      <c r="A66" s="14" t="s">
        <v>215</v>
      </c>
      <c r="B66" t="str">
        <f t="shared" si="21"/>
        <v>Enteric fermentation</v>
      </c>
      <c r="C66" t="str">
        <f t="shared" si="22"/>
        <v>CH4</v>
      </c>
      <c r="D66" s="21">
        <v>5.79</v>
      </c>
      <c r="E66" t="s">
        <v>144</v>
      </c>
      <c r="F66" s="21">
        <v>706584.20860490517</v>
      </c>
      <c r="G66" s="22">
        <f t="shared" si="28"/>
        <v>0.23556274135765132</v>
      </c>
      <c r="H66" s="22">
        <f t="shared" si="18"/>
        <v>1.3639082724608012</v>
      </c>
      <c r="J66" t="str">
        <f t="shared" si="23"/>
        <v>Manure management</v>
      </c>
      <c r="K66" t="str">
        <f t="shared" si="24"/>
        <v>CH4</v>
      </c>
      <c r="L66" s="21">
        <v>1.6999999999999999E-3</v>
      </c>
      <c r="M66" t="s">
        <v>144</v>
      </c>
      <c r="N66" s="22">
        <f t="shared" si="2"/>
        <v>4.0045666030800721E-4</v>
      </c>
      <c r="P66" t="str">
        <f t="shared" si="25"/>
        <v>Manure management</v>
      </c>
      <c r="Q66" t="str">
        <f t="shared" si="26"/>
        <v>N2O</v>
      </c>
      <c r="R66" s="21">
        <v>17.978804999999998</v>
      </c>
      <c r="S66" t="s">
        <v>311</v>
      </c>
      <c r="T66" s="22">
        <f t="shared" si="3"/>
        <v>4.2351365921346478</v>
      </c>
    </row>
    <row r="67" spans="1:20" x14ac:dyDescent="0.25">
      <c r="A67" s="14" t="s">
        <v>216</v>
      </c>
      <c r="B67" t="str">
        <f t="shared" si="21"/>
        <v>Enteric fermentation</v>
      </c>
      <c r="C67" t="str">
        <f t="shared" si="22"/>
        <v>CH4</v>
      </c>
      <c r="D67" s="21">
        <v>10.5</v>
      </c>
      <c r="E67" t="s">
        <v>144</v>
      </c>
      <c r="F67" s="21">
        <v>15701.871302331225</v>
      </c>
      <c r="G67" s="22">
        <f t="shared" si="28"/>
        <v>5.234727585725585E-3</v>
      </c>
      <c r="H67" s="22">
        <f t="shared" si="18"/>
        <v>5.4964639650118642E-2</v>
      </c>
      <c r="J67" t="str">
        <f t="shared" si="23"/>
        <v>Manure management</v>
      </c>
      <c r="K67" t="str">
        <f t="shared" si="24"/>
        <v>CH4</v>
      </c>
      <c r="L67" s="21">
        <v>3.2000000000000002E-3</v>
      </c>
      <c r="M67" t="s">
        <v>144</v>
      </c>
      <c r="N67" s="22">
        <f t="shared" si="2"/>
        <v>1.6751128274321872E-5</v>
      </c>
      <c r="P67" t="str">
        <f t="shared" si="25"/>
        <v>Manure management</v>
      </c>
      <c r="Q67" t="str">
        <f t="shared" si="26"/>
        <v>N2O</v>
      </c>
      <c r="R67" s="21">
        <v>33.309899999999999</v>
      </c>
      <c r="S67" t="s">
        <v>311</v>
      </c>
      <c r="T67" s="22">
        <f t="shared" si="3"/>
        <v>0.17436825240776066</v>
      </c>
    </row>
    <row r="68" spans="1:20" x14ac:dyDescent="0.25">
      <c r="A68" s="14" t="s">
        <v>217</v>
      </c>
      <c r="B68" t="str">
        <f t="shared" si="21"/>
        <v>Enteric fermentation</v>
      </c>
      <c r="C68" t="str">
        <f t="shared" si="22"/>
        <v>CH4</v>
      </c>
      <c r="D68" s="21">
        <v>2.76</v>
      </c>
      <c r="E68" t="s">
        <v>144</v>
      </c>
      <c r="F68" s="21">
        <v>376844.91125594941</v>
      </c>
      <c r="G68" s="22">
        <f t="shared" si="28"/>
        <v>0.12563346205741405</v>
      </c>
      <c r="H68" s="22">
        <f t="shared" si="18"/>
        <v>0.34674835527846276</v>
      </c>
      <c r="J68" t="str">
        <f t="shared" si="23"/>
        <v>Manure management</v>
      </c>
      <c r="K68" t="str">
        <f t="shared" si="24"/>
        <v>CH4</v>
      </c>
      <c r="L68" s="21">
        <v>6.9999999999999999E-4</v>
      </c>
      <c r="M68" t="s">
        <v>144</v>
      </c>
      <c r="N68" s="22">
        <f t="shared" si="2"/>
        <v>8.7943423440189835E-5</v>
      </c>
      <c r="P68" t="str">
        <f t="shared" si="25"/>
        <v>Manure management</v>
      </c>
      <c r="Q68" t="str">
        <f t="shared" si="26"/>
        <v>N2O</v>
      </c>
      <c r="R68" s="21">
        <v>7.6868999999999996</v>
      </c>
      <c r="S68" t="s">
        <v>311</v>
      </c>
      <c r="T68" s="22">
        <f t="shared" si="3"/>
        <v>0.96573185948913598</v>
      </c>
    </row>
    <row r="69" spans="1:20" x14ac:dyDescent="0.25">
      <c r="A69" s="14" t="s">
        <v>218</v>
      </c>
      <c r="B69" t="str">
        <f t="shared" si="21"/>
        <v>Enteric fermentation</v>
      </c>
      <c r="C69" t="str">
        <f t="shared" si="22"/>
        <v>CH4</v>
      </c>
      <c r="D69" s="21">
        <v>4.12</v>
      </c>
      <c r="E69" t="s">
        <v>144</v>
      </c>
      <c r="F69" s="21">
        <v>251229.9408372996</v>
      </c>
      <c r="G69" s="22">
        <f t="shared" si="28"/>
        <v>8.375564137160936E-2</v>
      </c>
      <c r="H69" s="22">
        <f t="shared" si="18"/>
        <v>0.34507324245103055</v>
      </c>
      <c r="J69" t="str">
        <f t="shared" si="23"/>
        <v>Manure management</v>
      </c>
      <c r="K69" t="str">
        <f t="shared" si="24"/>
        <v>CH4</v>
      </c>
      <c r="L69" s="21">
        <v>1.1000000000000001E-3</v>
      </c>
      <c r="M69" t="s">
        <v>144</v>
      </c>
      <c r="N69" s="22">
        <f t="shared" si="2"/>
        <v>9.2131205508770296E-5</v>
      </c>
      <c r="P69" t="str">
        <f t="shared" si="25"/>
        <v>Manure management</v>
      </c>
      <c r="Q69" t="str">
        <f t="shared" si="26"/>
        <v>N2O</v>
      </c>
      <c r="R69" s="21">
        <v>12.811500000000001</v>
      </c>
      <c r="S69" t="s">
        <v>311</v>
      </c>
      <c r="T69" s="22">
        <f t="shared" si="3"/>
        <v>1.0730353994323734</v>
      </c>
    </row>
    <row r="70" spans="1:20" x14ac:dyDescent="0.25">
      <c r="A70" s="14" t="s">
        <v>219</v>
      </c>
      <c r="B70" t="str">
        <f t="shared" si="21"/>
        <v>Enteric fermentation</v>
      </c>
      <c r="C70" t="str">
        <f t="shared" si="22"/>
        <v>CH4</v>
      </c>
      <c r="D70" s="21">
        <v>4.59</v>
      </c>
      <c r="E70" t="s">
        <v>144</v>
      </c>
      <c r="F70" s="21">
        <v>188422.4556279747</v>
      </c>
      <c r="G70" s="22">
        <f t="shared" si="28"/>
        <v>6.2816731028707024E-2</v>
      </c>
      <c r="H70" s="22">
        <f t="shared" si="18"/>
        <v>0.2883287954217652</v>
      </c>
      <c r="J70" t="str">
        <f t="shared" si="23"/>
        <v>Manure management</v>
      </c>
      <c r="K70" t="str">
        <f t="shared" si="24"/>
        <v>CH4</v>
      </c>
      <c r="L70" s="21">
        <v>1.2999999999999999E-3</v>
      </c>
      <c r="M70" t="s">
        <v>144</v>
      </c>
      <c r="N70" s="22">
        <f t="shared" ref="N70:N108" si="29">L70*G70</f>
        <v>8.1661750337319122E-5</v>
      </c>
      <c r="P70" t="str">
        <f t="shared" si="25"/>
        <v>Manure management</v>
      </c>
      <c r="Q70" t="str">
        <f t="shared" si="26"/>
        <v>N2O</v>
      </c>
      <c r="R70" s="21">
        <v>14.5197</v>
      </c>
      <c r="S70" t="s">
        <v>311</v>
      </c>
      <c r="T70" s="22">
        <f t="shared" ref="T70:T83" si="30">R70*G70</f>
        <v>0.9120800895175174</v>
      </c>
    </row>
    <row r="71" spans="1:20" x14ac:dyDescent="0.25">
      <c r="A71" s="14" t="s">
        <v>220</v>
      </c>
      <c r="B71" t="str">
        <f t="shared" si="21"/>
        <v>Enteric fermentation</v>
      </c>
      <c r="C71" t="str">
        <f t="shared" si="22"/>
        <v>CH4</v>
      </c>
      <c r="D71" s="21">
        <v>8.25</v>
      </c>
      <c r="E71" t="s">
        <v>144</v>
      </c>
      <c r="F71" s="21">
        <v>31403.74260466245</v>
      </c>
      <c r="G71" s="22">
        <f t="shared" si="28"/>
        <v>1.046945517145117E-2</v>
      </c>
      <c r="H71" s="22">
        <f t="shared" si="18"/>
        <v>8.6373005164472147E-2</v>
      </c>
      <c r="J71" t="str">
        <f t="shared" si="23"/>
        <v>Manure management</v>
      </c>
      <c r="K71" t="str">
        <f t="shared" si="24"/>
        <v>CH4</v>
      </c>
      <c r="L71" s="21">
        <v>2.5000000000000001E-3</v>
      </c>
      <c r="M71" t="s">
        <v>144</v>
      </c>
      <c r="N71" s="22">
        <f t="shared" si="29"/>
        <v>2.6173637928627927E-5</v>
      </c>
      <c r="P71" t="str">
        <f t="shared" si="25"/>
        <v>Manure management</v>
      </c>
      <c r="Q71" t="str">
        <f t="shared" si="26"/>
        <v>N2O</v>
      </c>
      <c r="R71" s="21">
        <v>26.733330000000002</v>
      </c>
      <c r="S71" t="s">
        <v>311</v>
      </c>
      <c r="T71" s="22">
        <f t="shared" si="30"/>
        <v>0.27988340001861073</v>
      </c>
    </row>
    <row r="72" spans="1:20" x14ac:dyDescent="0.25">
      <c r="A72" s="14" t="s">
        <v>221</v>
      </c>
      <c r="B72" t="str">
        <f t="shared" si="21"/>
        <v>Enteric fermentation</v>
      </c>
      <c r="C72" t="str">
        <f t="shared" si="22"/>
        <v>CH4</v>
      </c>
      <c r="D72" s="21">
        <v>6.83</v>
      </c>
      <c r="E72" t="s">
        <v>144</v>
      </c>
      <c r="F72" s="21">
        <v>380391.12536840374</v>
      </c>
      <c r="G72" s="22">
        <f t="shared" si="28"/>
        <v>0.1268157074396315</v>
      </c>
      <c r="H72" s="22">
        <f t="shared" si="18"/>
        <v>0.86615128181268308</v>
      </c>
      <c r="J72" t="str">
        <f t="shared" si="23"/>
        <v>Manure management</v>
      </c>
      <c r="K72" t="str">
        <f t="shared" si="24"/>
        <v>CH4</v>
      </c>
      <c r="L72" s="21">
        <v>2E-3</v>
      </c>
      <c r="M72" t="s">
        <v>144</v>
      </c>
      <c r="N72" s="22">
        <f t="shared" si="29"/>
        <v>2.5363141487926298E-4</v>
      </c>
      <c r="P72" t="str">
        <f t="shared" si="25"/>
        <v>Manure management</v>
      </c>
      <c r="Q72" t="str">
        <f t="shared" si="26"/>
        <v>N2O</v>
      </c>
      <c r="R72" s="21">
        <v>21.480614999999997</v>
      </c>
      <c r="S72" t="s">
        <v>311</v>
      </c>
      <c r="T72" s="22">
        <f t="shared" si="30"/>
        <v>2.7240793874633593</v>
      </c>
    </row>
    <row r="73" spans="1:20" x14ac:dyDescent="0.25">
      <c r="A73" s="14" t="s">
        <v>222</v>
      </c>
      <c r="B73" t="str">
        <f t="shared" si="21"/>
        <v>Enteric fermentation</v>
      </c>
      <c r="C73" t="str">
        <f t="shared" si="22"/>
        <v>CH4</v>
      </c>
      <c r="D73" s="21">
        <v>10.5</v>
      </c>
      <c r="E73" t="s">
        <v>144</v>
      </c>
      <c r="F73" s="21">
        <v>8453.1361192978602</v>
      </c>
      <c r="G73" s="22">
        <f t="shared" si="28"/>
        <v>2.8181268319918107E-3</v>
      </c>
      <c r="H73" s="22">
        <f t="shared" si="18"/>
        <v>2.9590331735914011E-2</v>
      </c>
      <c r="J73" t="str">
        <f t="shared" si="23"/>
        <v>Manure management</v>
      </c>
      <c r="K73" t="str">
        <f t="shared" si="24"/>
        <v>CH4</v>
      </c>
      <c r="L73" s="21">
        <v>3.2000000000000002E-3</v>
      </c>
      <c r="M73" t="s">
        <v>144</v>
      </c>
      <c r="N73" s="22">
        <f t="shared" si="29"/>
        <v>9.0180058623737941E-6</v>
      </c>
      <c r="P73" t="str">
        <f t="shared" si="25"/>
        <v>Manure management</v>
      </c>
      <c r="Q73" t="str">
        <f t="shared" si="26"/>
        <v>N2O</v>
      </c>
      <c r="R73" s="21">
        <v>33.352604999999997</v>
      </c>
      <c r="S73" t="s">
        <v>311</v>
      </c>
      <c r="T73" s="22">
        <f t="shared" si="30"/>
        <v>9.399187106732422E-2</v>
      </c>
    </row>
    <row r="74" spans="1:20" x14ac:dyDescent="0.25">
      <c r="A74" s="14" t="s">
        <v>223</v>
      </c>
      <c r="B74" t="str">
        <f t="shared" si="21"/>
        <v>Enteric fermentation</v>
      </c>
      <c r="C74" t="str">
        <f t="shared" si="22"/>
        <v>CH4</v>
      </c>
      <c r="D74" s="21">
        <v>2.76</v>
      </c>
      <c r="E74" t="s">
        <v>144</v>
      </c>
      <c r="F74" s="21">
        <v>202875.26686314863</v>
      </c>
      <c r="G74" s="22">
        <f t="shared" si="28"/>
        <v>6.7635043967803454E-2</v>
      </c>
      <c r="H74" s="22">
        <f t="shared" si="18"/>
        <v>0.18667272135113752</v>
      </c>
      <c r="J74" t="str">
        <f t="shared" si="23"/>
        <v>Manure management</v>
      </c>
      <c r="K74" t="str">
        <f t="shared" si="24"/>
        <v>CH4</v>
      </c>
      <c r="L74" s="21">
        <v>6.9999999999999999E-4</v>
      </c>
      <c r="M74" t="s">
        <v>144</v>
      </c>
      <c r="N74" s="22">
        <f t="shared" si="29"/>
        <v>4.734453077746242E-5</v>
      </c>
      <c r="P74" t="str">
        <f t="shared" si="25"/>
        <v>Manure management</v>
      </c>
      <c r="Q74" t="str">
        <f t="shared" si="26"/>
        <v>N2O</v>
      </c>
      <c r="R74" s="21">
        <v>7.6868999999999996</v>
      </c>
      <c r="S74" t="s">
        <v>311</v>
      </c>
      <c r="T74" s="22">
        <f t="shared" si="30"/>
        <v>0.51990381947610831</v>
      </c>
    </row>
    <row r="75" spans="1:20" x14ac:dyDescent="0.25">
      <c r="A75" s="14" t="s">
        <v>224</v>
      </c>
      <c r="B75" t="str">
        <f t="shared" si="21"/>
        <v>Enteric fermentation</v>
      </c>
      <c r="C75" t="str">
        <f t="shared" si="22"/>
        <v>CH4</v>
      </c>
      <c r="D75" s="21">
        <v>4.12</v>
      </c>
      <c r="E75" t="s">
        <v>144</v>
      </c>
      <c r="F75" s="21">
        <v>135250.17790876576</v>
      </c>
      <c r="G75" s="22">
        <f t="shared" si="28"/>
        <v>4.5090029311868972E-2</v>
      </c>
      <c r="H75" s="22">
        <f t="shared" si="18"/>
        <v>0.18577092076490018</v>
      </c>
      <c r="J75" t="str">
        <f t="shared" si="23"/>
        <v>Manure management</v>
      </c>
      <c r="K75" t="str">
        <f t="shared" si="24"/>
        <v>CH4</v>
      </c>
      <c r="L75" s="21">
        <v>1.1000000000000001E-3</v>
      </c>
      <c r="M75" t="s">
        <v>144</v>
      </c>
      <c r="N75" s="22">
        <f t="shared" si="29"/>
        <v>4.9599032243055872E-5</v>
      </c>
      <c r="P75" t="str">
        <f t="shared" si="25"/>
        <v>Manure management</v>
      </c>
      <c r="Q75" t="str">
        <f t="shared" si="26"/>
        <v>N2O</v>
      </c>
      <c r="R75" s="21">
        <v>12.811500000000001</v>
      </c>
      <c r="S75" t="s">
        <v>311</v>
      </c>
      <c r="T75" s="22">
        <f t="shared" si="30"/>
        <v>0.57767091052900932</v>
      </c>
    </row>
    <row r="76" spans="1:20" x14ac:dyDescent="0.25">
      <c r="A76" s="14" t="s">
        <v>225</v>
      </c>
      <c r="B76" t="str">
        <f t="shared" si="21"/>
        <v>Enteric fermentation</v>
      </c>
      <c r="C76" t="str">
        <f t="shared" si="22"/>
        <v>CH4</v>
      </c>
      <c r="D76" s="21">
        <v>5.07</v>
      </c>
      <c r="E76" t="s">
        <v>144</v>
      </c>
      <c r="F76" s="21">
        <v>101437.63343157432</v>
      </c>
      <c r="G76" s="22">
        <f t="shared" si="28"/>
        <v>3.3817521983901727E-2</v>
      </c>
      <c r="H76" s="22">
        <f t="shared" si="18"/>
        <v>0.17145483645838178</v>
      </c>
      <c r="J76" t="str">
        <f t="shared" si="23"/>
        <v>Manure management</v>
      </c>
      <c r="K76" t="str">
        <f t="shared" si="24"/>
        <v>CH4</v>
      </c>
      <c r="L76" s="21">
        <v>1.4E-3</v>
      </c>
      <c r="M76" t="s">
        <v>144</v>
      </c>
      <c r="N76" s="22">
        <f t="shared" si="29"/>
        <v>4.734453077746242E-5</v>
      </c>
      <c r="P76" t="str">
        <f t="shared" si="25"/>
        <v>Manure management</v>
      </c>
      <c r="Q76" t="str">
        <f t="shared" si="26"/>
        <v>N2O</v>
      </c>
      <c r="R76" s="21">
        <v>16.227899999999998</v>
      </c>
      <c r="S76" t="s">
        <v>311</v>
      </c>
      <c r="T76" s="22">
        <f t="shared" si="30"/>
        <v>0.54878736500255876</v>
      </c>
    </row>
    <row r="77" spans="1:20" x14ac:dyDescent="0.25">
      <c r="A77" s="14" t="s">
        <v>226</v>
      </c>
      <c r="B77" t="str">
        <f t="shared" si="21"/>
        <v>Enteric fermentation</v>
      </c>
      <c r="C77" t="str">
        <f t="shared" si="22"/>
        <v>CH4</v>
      </c>
      <c r="D77" s="21">
        <v>6.94</v>
      </c>
      <c r="E77" t="s">
        <v>144</v>
      </c>
      <c r="F77" s="21">
        <v>16906.27223859572</v>
      </c>
      <c r="G77" s="22">
        <f t="shared" si="28"/>
        <v>5.6362536639836215E-3</v>
      </c>
      <c r="H77" s="22">
        <f t="shared" ref="H77:H108" si="31">D77*G77</f>
        <v>3.9115600428046335E-2</v>
      </c>
      <c r="J77" t="str">
        <f t="shared" si="23"/>
        <v>Manure management</v>
      </c>
      <c r="K77" t="str">
        <f t="shared" si="24"/>
        <v>CH4</v>
      </c>
      <c r="L77" s="21">
        <v>2.0999999999999999E-3</v>
      </c>
      <c r="M77" t="s">
        <v>144</v>
      </c>
      <c r="N77" s="22">
        <f t="shared" si="29"/>
        <v>1.1836132694365605E-5</v>
      </c>
      <c r="P77" t="str">
        <f t="shared" si="25"/>
        <v>Manure management</v>
      </c>
      <c r="Q77" t="str">
        <f t="shared" si="26"/>
        <v>N2O</v>
      </c>
      <c r="R77" s="21">
        <v>23.188814999999998</v>
      </c>
      <c r="S77" t="s">
        <v>311</v>
      </c>
      <c r="T77" s="22">
        <f t="shared" si="30"/>
        <v>0.13069804350718836</v>
      </c>
    </row>
    <row r="78" spans="1:20" x14ac:dyDescent="0.25">
      <c r="A78" s="14" t="s">
        <v>227</v>
      </c>
      <c r="B78" t="str">
        <f t="shared" si="21"/>
        <v>Enteric fermentation</v>
      </c>
      <c r="C78" t="str">
        <f t="shared" si="22"/>
        <v>CH4</v>
      </c>
      <c r="D78" s="21">
        <v>7.4</v>
      </c>
      <c r="E78" t="s">
        <v>144</v>
      </c>
      <c r="F78" s="21">
        <v>261255.91572272734</v>
      </c>
      <c r="G78" s="22">
        <f t="shared" si="28"/>
        <v>8.7098124970920759E-2</v>
      </c>
      <c r="H78" s="22">
        <f t="shared" si="31"/>
        <v>0.64452612478481364</v>
      </c>
      <c r="J78" t="str">
        <f t="shared" si="23"/>
        <v>Manure management</v>
      </c>
      <c r="K78" t="str">
        <f t="shared" si="24"/>
        <v>CH4</v>
      </c>
      <c r="L78" s="21">
        <v>2.2000000000000001E-3</v>
      </c>
      <c r="M78" t="s">
        <v>144</v>
      </c>
      <c r="N78" s="22">
        <f t="shared" si="29"/>
        <v>1.9161587493602569E-4</v>
      </c>
      <c r="P78" t="str">
        <f t="shared" si="25"/>
        <v>Manure management</v>
      </c>
      <c r="Q78" t="str">
        <f t="shared" si="26"/>
        <v>N2O</v>
      </c>
      <c r="R78" s="21">
        <v>23.274225000000001</v>
      </c>
      <c r="S78" t="s">
        <v>311</v>
      </c>
      <c r="T78" s="22">
        <f t="shared" si="30"/>
        <v>2.0271413576513284</v>
      </c>
    </row>
    <row r="79" spans="1:20" x14ac:dyDescent="0.25">
      <c r="A79" s="14" t="s">
        <v>228</v>
      </c>
      <c r="B79" t="str">
        <f t="shared" si="21"/>
        <v>Enteric fermentation</v>
      </c>
      <c r="C79" t="str">
        <f t="shared" si="22"/>
        <v>CH4</v>
      </c>
      <c r="D79" s="21">
        <v>15</v>
      </c>
      <c r="E79" t="s">
        <v>144</v>
      </c>
      <c r="F79" s="21">
        <v>5805.6870160606077</v>
      </c>
      <c r="G79" s="22">
        <f t="shared" si="28"/>
        <v>1.9355138882426836E-3</v>
      </c>
      <c r="H79" s="22">
        <f t="shared" si="31"/>
        <v>2.9032708323640254E-2</v>
      </c>
      <c r="J79" t="str">
        <f t="shared" si="23"/>
        <v>Manure management</v>
      </c>
      <c r="K79" t="str">
        <f t="shared" si="24"/>
        <v>CH4</v>
      </c>
      <c r="L79" s="21">
        <v>5.0000000000000001E-3</v>
      </c>
      <c r="M79" t="s">
        <v>144</v>
      </c>
      <c r="N79" s="22">
        <f t="shared" si="29"/>
        <v>9.6775694412134183E-6</v>
      </c>
      <c r="P79" t="str">
        <f t="shared" si="25"/>
        <v>Manure management</v>
      </c>
      <c r="Q79" t="str">
        <f t="shared" si="26"/>
        <v>N2O</v>
      </c>
      <c r="R79" s="21">
        <v>46.97549999999999</v>
      </c>
      <c r="S79" t="s">
        <v>311</v>
      </c>
      <c r="T79" s="22">
        <f t="shared" si="30"/>
        <v>9.0921732657144164E-2</v>
      </c>
    </row>
    <row r="80" spans="1:20" x14ac:dyDescent="0.25">
      <c r="A80" s="14" t="s">
        <v>229</v>
      </c>
      <c r="B80" t="str">
        <f t="shared" si="21"/>
        <v>Enteric fermentation</v>
      </c>
      <c r="C80" t="str">
        <f t="shared" si="22"/>
        <v>CH4</v>
      </c>
      <c r="D80" s="21">
        <v>2.76</v>
      </c>
      <c r="E80" t="s">
        <v>144</v>
      </c>
      <c r="F80" s="21">
        <v>139336.48838545458</v>
      </c>
      <c r="G80" s="22">
        <f t="shared" si="28"/>
        <v>4.6452333317824404E-2</v>
      </c>
      <c r="H80" s="22">
        <f t="shared" si="31"/>
        <v>0.12820843995719536</v>
      </c>
      <c r="J80" t="str">
        <f t="shared" si="23"/>
        <v>Manure management</v>
      </c>
      <c r="K80" t="str">
        <f t="shared" si="24"/>
        <v>CH4</v>
      </c>
      <c r="L80" s="21">
        <v>6.9999999999999999E-4</v>
      </c>
      <c r="M80" t="s">
        <v>144</v>
      </c>
      <c r="N80" s="22">
        <f t="shared" si="29"/>
        <v>3.2516633322477081E-5</v>
      </c>
      <c r="P80" t="str">
        <f t="shared" si="25"/>
        <v>Manure management</v>
      </c>
      <c r="Q80" t="str">
        <f t="shared" si="26"/>
        <v>N2O</v>
      </c>
      <c r="R80" s="21">
        <v>7.6868999999999996</v>
      </c>
      <c r="S80" t="s">
        <v>311</v>
      </c>
      <c r="T80" s="22">
        <f t="shared" si="30"/>
        <v>0.35707444098078439</v>
      </c>
    </row>
    <row r="81" spans="1:20" x14ac:dyDescent="0.25">
      <c r="A81" s="14" t="s">
        <v>230</v>
      </c>
      <c r="B81" t="str">
        <f t="shared" si="21"/>
        <v>Enteric fermentation</v>
      </c>
      <c r="C81" t="str">
        <f t="shared" si="22"/>
        <v>CH4</v>
      </c>
      <c r="D81" s="21">
        <v>3.55</v>
      </c>
      <c r="E81" t="s">
        <v>144</v>
      </c>
      <c r="F81" s="21">
        <v>92890.992256969723</v>
      </c>
      <c r="G81" s="22">
        <f t="shared" si="28"/>
        <v>3.0968222211882938E-2</v>
      </c>
      <c r="H81" s="22">
        <f t="shared" si="31"/>
        <v>0.10993718885218443</v>
      </c>
      <c r="J81" t="str">
        <f t="shared" si="23"/>
        <v>Manure management</v>
      </c>
      <c r="K81" t="str">
        <f t="shared" si="24"/>
        <v>CH4</v>
      </c>
      <c r="L81" s="21">
        <v>1E-3</v>
      </c>
      <c r="M81" t="s">
        <v>144</v>
      </c>
      <c r="N81" s="22">
        <f t="shared" si="29"/>
        <v>3.096822221188294E-5</v>
      </c>
      <c r="P81" t="str">
        <f t="shared" si="25"/>
        <v>Manure management</v>
      </c>
      <c r="Q81" t="str">
        <f t="shared" si="26"/>
        <v>N2O</v>
      </c>
      <c r="R81" s="21">
        <v>10.67625</v>
      </c>
      <c r="S81" t="s">
        <v>311</v>
      </c>
      <c r="T81" s="22">
        <f t="shared" si="30"/>
        <v>0.33062448238961523</v>
      </c>
    </row>
    <row r="82" spans="1:20" x14ac:dyDescent="0.25">
      <c r="A82" s="14" t="s">
        <v>231</v>
      </c>
      <c r="B82" t="str">
        <f t="shared" si="21"/>
        <v>Enteric fermentation</v>
      </c>
      <c r="C82" t="str">
        <f t="shared" si="22"/>
        <v>CH4</v>
      </c>
      <c r="D82" s="21">
        <v>5.8</v>
      </c>
      <c r="E82" t="s">
        <v>144</v>
      </c>
      <c r="F82" s="21">
        <v>69668.244192727288</v>
      </c>
      <c r="G82" s="22">
        <f t="shared" si="28"/>
        <v>2.3226166658912202E-2</v>
      </c>
      <c r="H82" s="22">
        <f t="shared" si="31"/>
        <v>0.13471176662169076</v>
      </c>
      <c r="J82" t="str">
        <f t="shared" si="23"/>
        <v>Manure management</v>
      </c>
      <c r="K82" t="str">
        <f t="shared" si="24"/>
        <v>CH4</v>
      </c>
      <c r="L82" s="21">
        <v>2E-3</v>
      </c>
      <c r="M82" t="s">
        <v>144</v>
      </c>
      <c r="N82" s="22">
        <f t="shared" si="29"/>
        <v>4.6452333317824407E-5</v>
      </c>
      <c r="P82" t="str">
        <f t="shared" si="25"/>
        <v>Manure management</v>
      </c>
      <c r="Q82" t="str">
        <f t="shared" si="26"/>
        <v>N2O</v>
      </c>
      <c r="R82" s="21">
        <v>18.790199999999995</v>
      </c>
      <c r="S82" t="s">
        <v>311</v>
      </c>
      <c r="T82" s="22">
        <f t="shared" si="30"/>
        <v>0.43642431675429194</v>
      </c>
    </row>
    <row r="83" spans="1:20" x14ac:dyDescent="0.25">
      <c r="A83" s="14" t="s">
        <v>232</v>
      </c>
      <c r="B83" t="str">
        <f t="shared" si="21"/>
        <v>Enteric fermentation</v>
      </c>
      <c r="C83" t="str">
        <f t="shared" si="22"/>
        <v>CH4</v>
      </c>
      <c r="D83" s="21">
        <v>10.5</v>
      </c>
      <c r="E83" t="s">
        <v>144</v>
      </c>
      <c r="F83" s="21">
        <v>11611.374032121215</v>
      </c>
      <c r="G83" s="22">
        <f t="shared" si="28"/>
        <v>3.8710277764853673E-3</v>
      </c>
      <c r="H83" s="22">
        <f t="shared" si="31"/>
        <v>4.0645791653096355E-2</v>
      </c>
      <c r="J83" t="str">
        <f t="shared" si="23"/>
        <v>Manure management</v>
      </c>
      <c r="K83" t="str">
        <f t="shared" si="24"/>
        <v>CH4</v>
      </c>
      <c r="L83" s="21">
        <v>3.2000000000000002E-3</v>
      </c>
      <c r="M83" t="s">
        <v>144</v>
      </c>
      <c r="N83" s="22">
        <f t="shared" si="29"/>
        <v>1.2387288884753176E-5</v>
      </c>
      <c r="P83" t="str">
        <f t="shared" si="25"/>
        <v>Manure management</v>
      </c>
      <c r="Q83" t="str">
        <f t="shared" si="26"/>
        <v>N2O</v>
      </c>
      <c r="R83" s="21">
        <v>25.409474999999997</v>
      </c>
      <c r="S83" t="s">
        <v>311</v>
      </c>
      <c r="T83" s="22">
        <f t="shared" si="30"/>
        <v>9.8360783510910516E-2</v>
      </c>
    </row>
    <row r="84" spans="1:20" x14ac:dyDescent="0.25">
      <c r="A84" s="13" t="s">
        <v>153</v>
      </c>
      <c r="M84" s="13"/>
    </row>
    <row r="85" spans="1:20" x14ac:dyDescent="0.25">
      <c r="A85" s="14" t="s">
        <v>233</v>
      </c>
      <c r="B85" t="str">
        <f t="shared" ref="B85:B108" si="32">$B$5</f>
        <v>Enteric fermentation</v>
      </c>
      <c r="C85" t="str">
        <f t="shared" ref="C85:C108" si="33">$C$5</f>
        <v>CH4</v>
      </c>
      <c r="D85" s="21">
        <v>6.01</v>
      </c>
      <c r="E85" t="s">
        <v>144</v>
      </c>
      <c r="F85" s="21">
        <v>7463.5068944892591</v>
      </c>
      <c r="G85" s="22">
        <f>F85/SUM($F$85:$F$102)</f>
        <v>3.6371865957549993E-3</v>
      </c>
      <c r="H85" s="22">
        <f t="shared" si="31"/>
        <v>2.1859491440487544E-2</v>
      </c>
      <c r="J85" t="str">
        <f t="shared" ref="J85:J108" si="34">$J$5</f>
        <v>Manure management</v>
      </c>
      <c r="K85" t="str">
        <f t="shared" ref="K85:K108" si="35">$K$5</f>
        <v>CH4</v>
      </c>
      <c r="L85" s="21">
        <v>6.1999999999999998E-3</v>
      </c>
      <c r="M85" t="s">
        <v>144</v>
      </c>
      <c r="N85" s="22">
        <f t="shared" si="29"/>
        <v>2.2550556893680993E-5</v>
      </c>
      <c r="P85" t="str">
        <f t="shared" ref="P85:P108" si="36">$P$5</f>
        <v>Manure management</v>
      </c>
      <c r="Q85" t="str">
        <f t="shared" ref="Q85:Q108" si="37">$Q$5</f>
        <v>N2O</v>
      </c>
      <c r="R85" s="21">
        <v>20.752075000000005</v>
      </c>
      <c r="S85" t="s">
        <v>311</v>
      </c>
      <c r="T85" s="22">
        <f t="shared" ref="T85:T108" si="38">R85*G85</f>
        <v>7.5479169024102441E-2</v>
      </c>
    </row>
    <row r="86" spans="1:20" x14ac:dyDescent="0.25">
      <c r="A86" s="14" t="s">
        <v>234</v>
      </c>
      <c r="B86" t="str">
        <f t="shared" si="32"/>
        <v>Enteric fermentation</v>
      </c>
      <c r="C86" t="str">
        <f t="shared" si="33"/>
        <v>CH4</v>
      </c>
      <c r="D86" s="21">
        <v>4.76</v>
      </c>
      <c r="E86" t="s">
        <v>144</v>
      </c>
      <c r="F86" s="21">
        <v>339589.56369926129</v>
      </c>
      <c r="G86" s="22">
        <f t="shared" ref="G86:G102" si="39">F86/SUM($F$85:$F$102)</f>
        <v>0.16549199010685245</v>
      </c>
      <c r="H86" s="22">
        <f t="shared" si="31"/>
        <v>0.78774187290861764</v>
      </c>
      <c r="J86" t="str">
        <f t="shared" si="34"/>
        <v>Manure management</v>
      </c>
      <c r="K86" t="str">
        <f t="shared" si="35"/>
        <v>CH4</v>
      </c>
      <c r="L86" s="21">
        <v>5.0000000000000001E-3</v>
      </c>
      <c r="M86" t="s">
        <v>144</v>
      </c>
      <c r="N86" s="22">
        <f t="shared" si="29"/>
        <v>8.2745995053426231E-4</v>
      </c>
      <c r="P86" t="str">
        <f t="shared" si="36"/>
        <v>Manure management</v>
      </c>
      <c r="Q86" t="str">
        <f t="shared" si="37"/>
        <v>N2O</v>
      </c>
      <c r="R86" s="21">
        <v>15.001500000000002</v>
      </c>
      <c r="S86" t="s">
        <v>311</v>
      </c>
      <c r="T86" s="22">
        <f t="shared" si="38"/>
        <v>2.4826280895879473</v>
      </c>
    </row>
    <row r="87" spans="1:20" x14ac:dyDescent="0.25">
      <c r="A87" s="14" t="s">
        <v>235</v>
      </c>
      <c r="B87" t="str">
        <f t="shared" si="32"/>
        <v>Enteric fermentation</v>
      </c>
      <c r="C87" t="str">
        <f t="shared" si="33"/>
        <v>CH4</v>
      </c>
      <c r="D87" s="21">
        <v>2.63</v>
      </c>
      <c r="E87" t="s">
        <v>144</v>
      </c>
      <c r="F87" s="21">
        <v>173153.35995215081</v>
      </c>
      <c r="G87" s="22">
        <f t="shared" si="39"/>
        <v>8.4382729021515987E-2</v>
      </c>
      <c r="H87" s="22">
        <f t="shared" si="31"/>
        <v>0.22192657732658705</v>
      </c>
      <c r="J87" t="str">
        <f t="shared" si="34"/>
        <v>Manure management</v>
      </c>
      <c r="K87" t="str">
        <f t="shared" si="35"/>
        <v>CH4</v>
      </c>
      <c r="L87" s="21">
        <v>2E-3</v>
      </c>
      <c r="M87" t="s">
        <v>144</v>
      </c>
      <c r="N87" s="22">
        <f t="shared" si="29"/>
        <v>1.6876545804303197E-4</v>
      </c>
      <c r="P87" t="str">
        <f t="shared" si="36"/>
        <v>Manure management</v>
      </c>
      <c r="Q87" t="str">
        <f t="shared" si="37"/>
        <v>N2O</v>
      </c>
      <c r="R87" s="21">
        <v>7.2507250000000019</v>
      </c>
      <c r="S87" t="s">
        <v>311</v>
      </c>
      <c r="T87" s="22">
        <f t="shared" si="38"/>
        <v>0.61183596288453168</v>
      </c>
    </row>
    <row r="88" spans="1:20" x14ac:dyDescent="0.25">
      <c r="A88" s="14" t="s">
        <v>236</v>
      </c>
      <c r="B88" t="str">
        <f t="shared" si="32"/>
        <v>Enteric fermentation</v>
      </c>
      <c r="C88" t="str">
        <f t="shared" si="33"/>
        <v>CH4</v>
      </c>
      <c r="D88" s="21">
        <v>3.39</v>
      </c>
      <c r="E88" t="s">
        <v>144</v>
      </c>
      <c r="F88" s="21">
        <v>120908.811690726</v>
      </c>
      <c r="G88" s="22">
        <f t="shared" si="39"/>
        <v>5.8922422851230984E-2</v>
      </c>
      <c r="H88" s="22">
        <f t="shared" si="31"/>
        <v>0.19974701346567303</v>
      </c>
      <c r="J88" t="str">
        <f t="shared" si="34"/>
        <v>Manure management</v>
      </c>
      <c r="K88" t="str">
        <f t="shared" si="35"/>
        <v>CH4</v>
      </c>
      <c r="L88" s="21">
        <v>3.0000000000000001E-3</v>
      </c>
      <c r="M88" t="s">
        <v>144</v>
      </c>
      <c r="N88" s="22">
        <f t="shared" si="29"/>
        <v>1.7676726855369297E-4</v>
      </c>
      <c r="P88" t="str">
        <f t="shared" si="36"/>
        <v>Manure management</v>
      </c>
      <c r="Q88" t="str">
        <f t="shared" si="37"/>
        <v>N2O</v>
      </c>
      <c r="R88" s="21">
        <v>10.251025</v>
      </c>
      <c r="S88" t="s">
        <v>311</v>
      </c>
      <c r="T88" s="22">
        <f t="shared" si="38"/>
        <v>0.60401522970854016</v>
      </c>
    </row>
    <row r="89" spans="1:20" x14ac:dyDescent="0.25">
      <c r="A89" s="14" t="s">
        <v>237</v>
      </c>
      <c r="B89" t="str">
        <f t="shared" si="32"/>
        <v>Enteric fermentation</v>
      </c>
      <c r="C89" t="str">
        <f t="shared" si="33"/>
        <v>CH4</v>
      </c>
      <c r="D89" s="21">
        <v>4.51</v>
      </c>
      <c r="E89" t="s">
        <v>144</v>
      </c>
      <c r="F89" s="21">
        <v>14927.013788978518</v>
      </c>
      <c r="G89" s="22">
        <f t="shared" si="39"/>
        <v>7.2743731915099986E-3</v>
      </c>
      <c r="H89" s="22">
        <f t="shared" si="31"/>
        <v>3.2807423093710091E-2</v>
      </c>
      <c r="J89" t="str">
        <f t="shared" si="34"/>
        <v>Manure management</v>
      </c>
      <c r="K89" t="str">
        <f t="shared" si="35"/>
        <v>CH4</v>
      </c>
      <c r="L89" s="21">
        <v>4.0000000000000001E-3</v>
      </c>
      <c r="M89" t="s">
        <v>144</v>
      </c>
      <c r="N89" s="22">
        <f t="shared" si="29"/>
        <v>2.9097492766039994E-5</v>
      </c>
      <c r="P89" t="str">
        <f t="shared" si="36"/>
        <v>Manure management</v>
      </c>
      <c r="Q89" t="str">
        <f t="shared" si="37"/>
        <v>N2O</v>
      </c>
      <c r="R89" s="21">
        <v>14.751474999999999</v>
      </c>
      <c r="S89" t="s">
        <v>311</v>
      </c>
      <c r="T89" s="22">
        <f t="shared" si="38"/>
        <v>0.10730773427522995</v>
      </c>
    </row>
    <row r="90" spans="1:20" x14ac:dyDescent="0.25">
      <c r="A90" s="14" t="s">
        <v>238</v>
      </c>
      <c r="B90" t="str">
        <f t="shared" si="32"/>
        <v>Enteric fermentation</v>
      </c>
      <c r="C90" t="str">
        <f t="shared" si="33"/>
        <v>CH4</v>
      </c>
      <c r="D90" s="21">
        <v>3.64</v>
      </c>
      <c r="E90" t="s">
        <v>144</v>
      </c>
      <c r="F90" s="21">
        <v>90308.433423320035</v>
      </c>
      <c r="G90" s="22">
        <f t="shared" si="39"/>
        <v>4.4009957808635487E-2</v>
      </c>
      <c r="H90" s="22">
        <f t="shared" si="31"/>
        <v>0.16019624642343319</v>
      </c>
      <c r="J90" t="str">
        <f t="shared" si="34"/>
        <v>Manure management</v>
      </c>
      <c r="K90" t="str">
        <f t="shared" si="35"/>
        <v>CH4</v>
      </c>
      <c r="L90" s="21">
        <v>3.0000000000000001E-3</v>
      </c>
      <c r="M90" t="s">
        <v>144</v>
      </c>
      <c r="N90" s="22">
        <f t="shared" si="29"/>
        <v>1.3202987342590648E-4</v>
      </c>
      <c r="P90" t="str">
        <f t="shared" si="36"/>
        <v>Manure management</v>
      </c>
      <c r="Q90" t="str">
        <f t="shared" si="37"/>
        <v>N2O</v>
      </c>
      <c r="R90" s="21">
        <v>11.251125</v>
      </c>
      <c r="S90" t="s">
        <v>311</v>
      </c>
      <c r="T90" s="22">
        <f t="shared" si="38"/>
        <v>0.49516153654968392</v>
      </c>
    </row>
    <row r="91" spans="1:20" x14ac:dyDescent="0.25">
      <c r="A91" s="14" t="s">
        <v>239</v>
      </c>
      <c r="B91" t="str">
        <f t="shared" si="32"/>
        <v>Enteric fermentation</v>
      </c>
      <c r="C91" t="str">
        <f t="shared" si="33"/>
        <v>CH4</v>
      </c>
      <c r="D91" s="21">
        <v>18.3</v>
      </c>
      <c r="E91" t="s">
        <v>144</v>
      </c>
      <c r="F91" s="21">
        <v>110948.49938645436</v>
      </c>
      <c r="G91" s="22">
        <f t="shared" si="39"/>
        <v>5.4068469486576197E-2</v>
      </c>
      <c r="H91" s="22">
        <f t="shared" si="31"/>
        <v>0.98945299160434441</v>
      </c>
      <c r="J91" t="str">
        <f t="shared" si="34"/>
        <v>Manure management</v>
      </c>
      <c r="K91" t="str">
        <f t="shared" si="35"/>
        <v>CH4</v>
      </c>
      <c r="L91" s="21">
        <v>0.02</v>
      </c>
      <c r="M91" t="s">
        <v>144</v>
      </c>
      <c r="N91" s="22">
        <f t="shared" si="29"/>
        <v>1.081369389731524E-3</v>
      </c>
      <c r="P91" t="str">
        <f t="shared" si="36"/>
        <v>Manure management</v>
      </c>
      <c r="Q91" t="str">
        <f t="shared" si="37"/>
        <v>N2O</v>
      </c>
      <c r="R91" s="21">
        <v>59.005899999999997</v>
      </c>
      <c r="S91" t="s">
        <v>311</v>
      </c>
      <c r="T91" s="22">
        <f t="shared" si="38"/>
        <v>3.1903587036779664</v>
      </c>
    </row>
    <row r="92" spans="1:20" x14ac:dyDescent="0.25">
      <c r="A92" s="14" t="s">
        <v>240</v>
      </c>
      <c r="B92" t="str">
        <f t="shared" si="32"/>
        <v>Enteric fermentation</v>
      </c>
      <c r="C92" t="str">
        <f t="shared" si="33"/>
        <v>CH4</v>
      </c>
      <c r="D92" s="21">
        <v>12.1</v>
      </c>
      <c r="E92" t="s">
        <v>144</v>
      </c>
      <c r="F92" s="21">
        <v>457985.08467664308</v>
      </c>
      <c r="G92" s="22">
        <f t="shared" si="39"/>
        <v>0.22318961241551805</v>
      </c>
      <c r="H92" s="22">
        <f t="shared" si="31"/>
        <v>2.7005943102277681</v>
      </c>
      <c r="J92" t="str">
        <f t="shared" si="34"/>
        <v>Manure management</v>
      </c>
      <c r="K92" t="str">
        <f t="shared" si="35"/>
        <v>CH4</v>
      </c>
      <c r="L92" s="21">
        <v>1.2999999999999999E-2</v>
      </c>
      <c r="M92" t="s">
        <v>144</v>
      </c>
      <c r="N92" s="22">
        <f t="shared" si="29"/>
        <v>2.9014649614017346E-3</v>
      </c>
      <c r="P92" t="str">
        <f t="shared" si="36"/>
        <v>Manure management</v>
      </c>
      <c r="Q92" t="str">
        <f t="shared" si="37"/>
        <v>N2O</v>
      </c>
      <c r="R92" s="21">
        <v>39.003900000000002</v>
      </c>
      <c r="S92" t="s">
        <v>311</v>
      </c>
      <c r="T92" s="22">
        <f t="shared" si="38"/>
        <v>8.7052653236936255</v>
      </c>
    </row>
    <row r="93" spans="1:20" x14ac:dyDescent="0.25">
      <c r="A93" s="14" t="s">
        <v>241</v>
      </c>
      <c r="B93" t="str">
        <f t="shared" si="32"/>
        <v>Enteric fermentation</v>
      </c>
      <c r="C93" t="str">
        <f t="shared" si="33"/>
        <v>CH4</v>
      </c>
      <c r="D93" s="21">
        <v>3.62</v>
      </c>
      <c r="E93" t="s">
        <v>144</v>
      </c>
      <c r="F93" s="21">
        <v>202545.51632178301</v>
      </c>
      <c r="G93" s="22">
        <f t="shared" si="39"/>
        <v>9.8706391969679813E-2</v>
      </c>
      <c r="H93" s="22">
        <f t="shared" si="31"/>
        <v>0.35731713893024092</v>
      </c>
      <c r="J93" t="str">
        <f t="shared" si="34"/>
        <v>Manure management</v>
      </c>
      <c r="K93" t="str">
        <f t="shared" si="35"/>
        <v>CH4</v>
      </c>
      <c r="L93" s="21">
        <v>3.3999999999999998E-3</v>
      </c>
      <c r="M93" t="s">
        <v>144</v>
      </c>
      <c r="N93" s="22">
        <f t="shared" si="29"/>
        <v>3.3560173269691132E-4</v>
      </c>
      <c r="P93" t="str">
        <f t="shared" si="36"/>
        <v>Manure management</v>
      </c>
      <c r="Q93" t="str">
        <f t="shared" si="37"/>
        <v>N2O</v>
      </c>
      <c r="R93" s="21">
        <v>11.251125</v>
      </c>
      <c r="S93" t="s">
        <v>311</v>
      </c>
      <c r="T93" s="22">
        <f t="shared" si="38"/>
        <v>1.1105579543498638</v>
      </c>
    </row>
    <row r="94" spans="1:20" x14ac:dyDescent="0.25">
      <c r="A94" s="14" t="s">
        <v>242</v>
      </c>
      <c r="B94" t="str">
        <f t="shared" si="32"/>
        <v>Enteric fermentation</v>
      </c>
      <c r="C94" t="str">
        <f t="shared" si="33"/>
        <v>CH4</v>
      </c>
      <c r="D94" s="21">
        <v>5.54</v>
      </c>
      <c r="E94" t="s">
        <v>144</v>
      </c>
      <c r="F94" s="21">
        <v>336715.79464958829</v>
      </c>
      <c r="G94" s="22">
        <f t="shared" si="39"/>
        <v>0.16409151786042311</v>
      </c>
      <c r="H94" s="22">
        <f t="shared" si="31"/>
        <v>0.90906700894674408</v>
      </c>
      <c r="J94" t="str">
        <f t="shared" si="34"/>
        <v>Manure management</v>
      </c>
      <c r="K94" t="str">
        <f t="shared" si="35"/>
        <v>CH4</v>
      </c>
      <c r="L94" s="21">
        <v>6.0000000000000001E-3</v>
      </c>
      <c r="M94" t="s">
        <v>144</v>
      </c>
      <c r="N94" s="22">
        <f t="shared" si="29"/>
        <v>9.8454910716253875E-4</v>
      </c>
      <c r="P94" t="str">
        <f t="shared" si="36"/>
        <v>Manure management</v>
      </c>
      <c r="Q94" t="str">
        <f t="shared" si="37"/>
        <v>N2O</v>
      </c>
      <c r="R94" s="21">
        <v>16.751675000000002</v>
      </c>
      <c r="S94" t="s">
        <v>311</v>
      </c>
      <c r="T94" s="22">
        <f t="shared" si="38"/>
        <v>2.7488077774545037</v>
      </c>
    </row>
    <row r="95" spans="1:20" x14ac:dyDescent="0.25">
      <c r="A95" s="14" t="s">
        <v>243</v>
      </c>
      <c r="B95" t="str">
        <f t="shared" si="32"/>
        <v>Enteric fermentation</v>
      </c>
      <c r="C95" t="str">
        <f t="shared" si="33"/>
        <v>CH4</v>
      </c>
      <c r="D95" s="21">
        <v>13.1</v>
      </c>
      <c r="E95" t="s">
        <v>144</v>
      </c>
      <c r="F95" s="21">
        <v>69665.336824052749</v>
      </c>
      <c r="G95" s="22">
        <f t="shared" si="39"/>
        <v>3.3949969212501332E-2</v>
      </c>
      <c r="H95" s="22">
        <f t="shared" si="31"/>
        <v>0.44474459668376742</v>
      </c>
      <c r="J95" t="str">
        <f t="shared" si="34"/>
        <v>Manure management</v>
      </c>
      <c r="K95" t="str">
        <f t="shared" si="35"/>
        <v>CH4</v>
      </c>
      <c r="L95" s="21">
        <v>1.4E-2</v>
      </c>
      <c r="M95" t="s">
        <v>144</v>
      </c>
      <c r="N95" s="22">
        <f t="shared" si="29"/>
        <v>4.7529956897501867E-4</v>
      </c>
      <c r="P95" t="str">
        <f t="shared" si="36"/>
        <v>Manure management</v>
      </c>
      <c r="Q95" t="str">
        <f t="shared" si="37"/>
        <v>N2O</v>
      </c>
      <c r="R95" s="21">
        <v>26.502650000000003</v>
      </c>
      <c r="S95" t="s">
        <v>311</v>
      </c>
      <c r="T95" s="22">
        <f t="shared" si="38"/>
        <v>0.89976415154969858</v>
      </c>
    </row>
    <row r="96" spans="1:20" x14ac:dyDescent="0.25">
      <c r="A96" s="14" t="s">
        <v>244</v>
      </c>
      <c r="B96" t="str">
        <f t="shared" si="32"/>
        <v>Enteric fermentation</v>
      </c>
      <c r="C96" t="str">
        <f t="shared" si="33"/>
        <v>CH4</v>
      </c>
      <c r="D96" s="21">
        <v>8.01</v>
      </c>
      <c r="E96" t="s">
        <v>144</v>
      </c>
      <c r="F96" s="21">
        <v>112238.59821652943</v>
      </c>
      <c r="G96" s="22">
        <f t="shared" si="39"/>
        <v>5.4697172620141038E-2</v>
      </c>
      <c r="H96" s="22">
        <f t="shared" si="31"/>
        <v>0.43812435268732969</v>
      </c>
      <c r="J96" t="str">
        <f t="shared" si="34"/>
        <v>Manure management</v>
      </c>
      <c r="K96" t="str">
        <f t="shared" si="35"/>
        <v>CH4</v>
      </c>
      <c r="L96" s="21">
        <v>8.3999999999999995E-3</v>
      </c>
      <c r="M96" t="s">
        <v>144</v>
      </c>
      <c r="N96" s="22">
        <f t="shared" si="29"/>
        <v>4.594562500091847E-4</v>
      </c>
      <c r="P96" t="str">
        <f t="shared" si="36"/>
        <v>Manure management</v>
      </c>
      <c r="Q96" t="str">
        <f t="shared" si="37"/>
        <v>N2O</v>
      </c>
      <c r="R96" s="21">
        <v>20.252025000000003</v>
      </c>
      <c r="S96" t="s">
        <v>311</v>
      </c>
      <c r="T96" s="22">
        <f t="shared" si="38"/>
        <v>1.1077285073324119</v>
      </c>
    </row>
    <row r="97" spans="1:20" x14ac:dyDescent="0.25">
      <c r="A97" s="14" t="s">
        <v>245</v>
      </c>
      <c r="B97" t="str">
        <f t="shared" si="32"/>
        <v>Enteric fermentation</v>
      </c>
      <c r="C97" t="str">
        <f t="shared" si="33"/>
        <v>CH4</v>
      </c>
      <c r="D97" s="21">
        <v>10.5</v>
      </c>
      <c r="E97" t="s">
        <v>144</v>
      </c>
      <c r="F97" s="21">
        <v>155.50480476023225</v>
      </c>
      <c r="G97" s="22">
        <f t="shared" si="39"/>
        <v>7.5782068596604404E-5</v>
      </c>
      <c r="H97" s="22">
        <f t="shared" si="31"/>
        <v>7.9571172026434627E-4</v>
      </c>
      <c r="J97" t="str">
        <f t="shared" si="34"/>
        <v>Manure management</v>
      </c>
      <c r="K97" t="str">
        <f t="shared" si="35"/>
        <v>CH4</v>
      </c>
      <c r="L97" s="21">
        <v>8.9999999999999993E-3</v>
      </c>
      <c r="M97" t="s">
        <v>144</v>
      </c>
      <c r="N97" s="22">
        <f t="shared" si="29"/>
        <v>6.8203861736943956E-7</v>
      </c>
      <c r="P97" t="str">
        <f t="shared" si="36"/>
        <v>Manure management</v>
      </c>
      <c r="Q97" t="str">
        <f t="shared" si="37"/>
        <v>N2O</v>
      </c>
      <c r="R97" s="21">
        <v>36.253625</v>
      </c>
      <c r="S97" t="s">
        <v>311</v>
      </c>
      <c r="T97" s="22">
        <f t="shared" si="38"/>
        <v>2.7473746966255722E-3</v>
      </c>
    </row>
    <row r="98" spans="1:20" x14ac:dyDescent="0.25">
      <c r="A98" s="14" t="s">
        <v>246</v>
      </c>
      <c r="B98" t="str">
        <f t="shared" si="32"/>
        <v>Enteric fermentation</v>
      </c>
      <c r="C98" t="str">
        <f t="shared" si="33"/>
        <v>CH4</v>
      </c>
      <c r="D98" s="21">
        <v>8.48</v>
      </c>
      <c r="E98" t="s">
        <v>144</v>
      </c>
      <c r="F98" s="21">
        <v>7075.4686165905678</v>
      </c>
      <c r="G98" s="22">
        <f t="shared" si="39"/>
        <v>3.4480841211455004E-3</v>
      </c>
      <c r="H98" s="22">
        <f t="shared" si="31"/>
        <v>2.9239753347313845E-2</v>
      </c>
      <c r="J98" t="str">
        <f t="shared" si="34"/>
        <v>Manure management</v>
      </c>
      <c r="K98" t="str">
        <f t="shared" si="35"/>
        <v>CH4</v>
      </c>
      <c r="L98" s="21">
        <v>7.0000000000000001E-3</v>
      </c>
      <c r="M98" t="s">
        <v>144</v>
      </c>
      <c r="N98" s="22">
        <f t="shared" si="29"/>
        <v>2.4136588848018503E-5</v>
      </c>
      <c r="P98" t="str">
        <f t="shared" si="36"/>
        <v>Manure management</v>
      </c>
      <c r="Q98" t="str">
        <f t="shared" si="37"/>
        <v>N2O</v>
      </c>
      <c r="R98" s="21">
        <v>24.002400000000005</v>
      </c>
      <c r="S98" t="s">
        <v>311</v>
      </c>
      <c r="T98" s="22">
        <f t="shared" si="38"/>
        <v>8.2762294309382783E-2</v>
      </c>
    </row>
    <row r="99" spans="1:20" x14ac:dyDescent="0.25">
      <c r="A99" s="14" t="s">
        <v>247</v>
      </c>
      <c r="B99" t="str">
        <f t="shared" si="32"/>
        <v>Enteric fermentation</v>
      </c>
      <c r="C99" t="str">
        <f t="shared" si="33"/>
        <v>CH4</v>
      </c>
      <c r="D99" s="21">
        <v>3.62</v>
      </c>
      <c r="E99" t="s">
        <v>144</v>
      </c>
      <c r="F99" s="21">
        <v>3607.7114704373885</v>
      </c>
      <c r="G99" s="22">
        <f t="shared" si="39"/>
        <v>1.7581439914412223E-3</v>
      </c>
      <c r="H99" s="22">
        <f t="shared" si="31"/>
        <v>6.3644812490172252E-3</v>
      </c>
      <c r="J99" t="str">
        <f t="shared" si="34"/>
        <v>Manure management</v>
      </c>
      <c r="K99" t="str">
        <f t="shared" si="35"/>
        <v>CH4</v>
      </c>
      <c r="L99" s="21">
        <v>3.0000000000000001E-3</v>
      </c>
      <c r="M99" t="s">
        <v>144</v>
      </c>
      <c r="N99" s="22">
        <f t="shared" si="29"/>
        <v>5.2744319743236674E-6</v>
      </c>
      <c r="P99" t="str">
        <f t="shared" si="36"/>
        <v>Manure management</v>
      </c>
      <c r="Q99" t="str">
        <f t="shared" si="37"/>
        <v>N2O</v>
      </c>
      <c r="R99" s="21">
        <v>11.251125</v>
      </c>
      <c r="S99" t="s">
        <v>311</v>
      </c>
      <c r="T99" s="22">
        <f t="shared" si="38"/>
        <v>1.9781097815704123E-2</v>
      </c>
    </row>
    <row r="100" spans="1:20" x14ac:dyDescent="0.25">
      <c r="A100" s="14" t="s">
        <v>248</v>
      </c>
      <c r="B100" t="str">
        <f t="shared" si="32"/>
        <v>Enteric fermentation</v>
      </c>
      <c r="C100" t="str">
        <f t="shared" si="33"/>
        <v>CH4</v>
      </c>
      <c r="D100" s="21">
        <v>5.0199999999999996</v>
      </c>
      <c r="E100" t="s">
        <v>144</v>
      </c>
      <c r="F100" s="21">
        <v>2519.1778371157625</v>
      </c>
      <c r="G100" s="22">
        <f t="shared" si="39"/>
        <v>1.2276695112649913E-3</v>
      </c>
      <c r="H100" s="22">
        <f t="shared" si="31"/>
        <v>6.1629009465502555E-3</v>
      </c>
      <c r="J100" t="str">
        <f t="shared" si="34"/>
        <v>Manure management</v>
      </c>
      <c r="K100" t="str">
        <f t="shared" si="35"/>
        <v>CH4</v>
      </c>
      <c r="L100" s="21">
        <v>4.0000000000000001E-3</v>
      </c>
      <c r="M100" t="s">
        <v>144</v>
      </c>
      <c r="N100" s="22">
        <f t="shared" si="29"/>
        <v>4.910678045059965E-6</v>
      </c>
      <c r="P100" t="str">
        <f t="shared" si="36"/>
        <v>Manure management</v>
      </c>
      <c r="Q100" t="str">
        <f t="shared" si="37"/>
        <v>N2O</v>
      </c>
      <c r="R100" s="21">
        <v>16.751675000000002</v>
      </c>
      <c r="S100" t="s">
        <v>311</v>
      </c>
      <c r="T100" s="22">
        <f t="shared" si="38"/>
        <v>2.0565520660119976E-2</v>
      </c>
    </row>
    <row r="101" spans="1:20" x14ac:dyDescent="0.25">
      <c r="A101" s="14" t="s">
        <v>249</v>
      </c>
      <c r="B101" t="str">
        <f t="shared" si="32"/>
        <v>Enteric fermentation</v>
      </c>
      <c r="C101" t="str">
        <f t="shared" si="33"/>
        <v>CH4</v>
      </c>
      <c r="D101" s="21">
        <v>7.65</v>
      </c>
      <c r="E101" t="s">
        <v>144</v>
      </c>
      <c r="F101" s="21">
        <v>311.00960952046449</v>
      </c>
      <c r="G101" s="22">
        <f t="shared" si="39"/>
        <v>1.5156413719320881E-4</v>
      </c>
      <c r="H101" s="22">
        <f t="shared" si="31"/>
        <v>1.1594656495280474E-3</v>
      </c>
      <c r="J101" t="str">
        <f t="shared" si="34"/>
        <v>Manure management</v>
      </c>
      <c r="K101" t="str">
        <f t="shared" si="35"/>
        <v>CH4</v>
      </c>
      <c r="L101" s="21">
        <v>6.0000000000000001E-3</v>
      </c>
      <c r="M101" t="s">
        <v>144</v>
      </c>
      <c r="N101" s="22">
        <f t="shared" si="29"/>
        <v>9.0938482315925281E-7</v>
      </c>
      <c r="P101" t="str">
        <f t="shared" si="36"/>
        <v>Manure management</v>
      </c>
      <c r="Q101" t="str">
        <f t="shared" si="37"/>
        <v>N2O</v>
      </c>
      <c r="R101" s="21">
        <v>26.502650000000003</v>
      </c>
      <c r="S101" t="s">
        <v>311</v>
      </c>
      <c r="T101" s="22">
        <f t="shared" si="38"/>
        <v>4.0168512805835955E-3</v>
      </c>
    </row>
    <row r="102" spans="1:20" x14ac:dyDescent="0.25">
      <c r="A102" s="14" t="s">
        <v>250</v>
      </c>
      <c r="B102" t="str">
        <f t="shared" si="32"/>
        <v>Enteric fermentation</v>
      </c>
      <c r="C102" t="str">
        <f t="shared" si="33"/>
        <v>CH4</v>
      </c>
      <c r="D102" s="21">
        <v>5.94</v>
      </c>
      <c r="E102" t="s">
        <v>144</v>
      </c>
      <c r="F102" s="21">
        <v>1881.6081375988101</v>
      </c>
      <c r="G102" s="22">
        <f t="shared" si="39"/>
        <v>9.1696303001891316E-4</v>
      </c>
      <c r="H102" s="22">
        <f t="shared" si="31"/>
        <v>5.4467603983123442E-3</v>
      </c>
      <c r="J102" t="str">
        <f t="shared" si="34"/>
        <v>Manure management</v>
      </c>
      <c r="K102" t="str">
        <f t="shared" si="35"/>
        <v>CH4</v>
      </c>
      <c r="L102" s="21">
        <v>5.0000000000000001E-3</v>
      </c>
      <c r="M102" t="s">
        <v>144</v>
      </c>
      <c r="N102" s="22">
        <f t="shared" si="29"/>
        <v>4.584815150094566E-6</v>
      </c>
      <c r="P102" t="str">
        <f t="shared" si="36"/>
        <v>Manure management</v>
      </c>
      <c r="Q102" t="str">
        <f t="shared" si="37"/>
        <v>N2O</v>
      </c>
      <c r="R102" s="21">
        <v>20.252025000000003</v>
      </c>
      <c r="S102" t="s">
        <v>311</v>
      </c>
      <c r="T102" s="22">
        <f t="shared" si="38"/>
        <v>1.8570358208018781E-2</v>
      </c>
    </row>
    <row r="103" spans="1:20" x14ac:dyDescent="0.25">
      <c r="A103" s="14" t="s">
        <v>251</v>
      </c>
      <c r="B103" t="str">
        <f t="shared" si="32"/>
        <v>Enteric fermentation</v>
      </c>
      <c r="C103" t="str">
        <f t="shared" si="33"/>
        <v>CH4</v>
      </c>
      <c r="D103" s="21">
        <v>11.1</v>
      </c>
      <c r="E103" t="s">
        <v>144</v>
      </c>
      <c r="F103" s="21">
        <v>44584.86627064857</v>
      </c>
      <c r="G103" s="22">
        <f>F103/SUM($F$103:$F$108)</f>
        <v>1.0999999999999998E-2</v>
      </c>
      <c r="H103" s="22">
        <f t="shared" si="31"/>
        <v>0.12209999999999997</v>
      </c>
      <c r="J103" t="str">
        <f t="shared" si="34"/>
        <v>Manure management</v>
      </c>
      <c r="K103" t="str">
        <f t="shared" si="35"/>
        <v>CH4</v>
      </c>
      <c r="L103" s="21">
        <v>1.2999999999999999E-2</v>
      </c>
      <c r="M103" t="s">
        <v>144</v>
      </c>
      <c r="N103" s="22">
        <f t="shared" si="29"/>
        <v>1.4299999999999995E-4</v>
      </c>
      <c r="P103" t="str">
        <f t="shared" si="36"/>
        <v>Manure management</v>
      </c>
      <c r="Q103" t="str">
        <f t="shared" si="37"/>
        <v>N2O</v>
      </c>
      <c r="R103" s="21">
        <v>41.004100000000001</v>
      </c>
      <c r="S103" t="s">
        <v>311</v>
      </c>
      <c r="T103" s="22">
        <f t="shared" si="38"/>
        <v>0.45104509999999992</v>
      </c>
    </row>
    <row r="104" spans="1:20" x14ac:dyDescent="0.25">
      <c r="A104" s="14" t="s">
        <v>252</v>
      </c>
      <c r="B104" t="str">
        <f t="shared" si="32"/>
        <v>Enteric fermentation</v>
      </c>
      <c r="C104" t="str">
        <f t="shared" si="33"/>
        <v>CH4</v>
      </c>
      <c r="D104" s="21">
        <v>7.4</v>
      </c>
      <c r="E104" t="s">
        <v>144</v>
      </c>
      <c r="F104" s="21">
        <v>1921202.4192988568</v>
      </c>
      <c r="G104" s="22">
        <f t="shared" ref="G104:G108" si="40">F104/SUM($F$103:$F$108)</f>
        <v>0.47399999999999992</v>
      </c>
      <c r="H104" s="22">
        <f t="shared" si="31"/>
        <v>3.5075999999999996</v>
      </c>
      <c r="J104" t="str">
        <f t="shared" si="34"/>
        <v>Manure management</v>
      </c>
      <c r="K104" t="str">
        <f t="shared" si="35"/>
        <v>CH4</v>
      </c>
      <c r="L104" s="21">
        <v>8.9999999999999993E-3</v>
      </c>
      <c r="M104" t="s">
        <v>144</v>
      </c>
      <c r="N104" s="22">
        <f t="shared" si="29"/>
        <v>4.265999999999999E-3</v>
      </c>
      <c r="P104" t="str">
        <f t="shared" si="36"/>
        <v>Manure management</v>
      </c>
      <c r="Q104" t="str">
        <f t="shared" si="37"/>
        <v>N2O</v>
      </c>
      <c r="R104" s="21">
        <v>27.202719999999999</v>
      </c>
      <c r="S104" t="s">
        <v>311</v>
      </c>
      <c r="T104" s="22">
        <f t="shared" si="38"/>
        <v>12.894089279999998</v>
      </c>
    </row>
    <row r="105" spans="1:20" x14ac:dyDescent="0.25">
      <c r="A105" s="14" t="s">
        <v>253</v>
      </c>
      <c r="B105" t="str">
        <f t="shared" si="32"/>
        <v>Enteric fermentation</v>
      </c>
      <c r="C105" t="str">
        <f t="shared" si="33"/>
        <v>CH4</v>
      </c>
      <c r="D105" s="21">
        <v>2.54</v>
      </c>
      <c r="E105" t="s">
        <v>144</v>
      </c>
      <c r="F105" s="21">
        <v>806580.76253264246</v>
      </c>
      <c r="G105" s="22">
        <f t="shared" si="40"/>
        <v>0.19899999999999998</v>
      </c>
      <c r="H105" s="22">
        <f t="shared" si="31"/>
        <v>0.50545999999999991</v>
      </c>
      <c r="J105" t="str">
        <f t="shared" si="34"/>
        <v>Manure management</v>
      </c>
      <c r="K105" t="str">
        <f t="shared" si="35"/>
        <v>CH4</v>
      </c>
      <c r="L105" s="21">
        <v>3.0000000000000001E-3</v>
      </c>
      <c r="M105" t="s">
        <v>144</v>
      </c>
      <c r="N105" s="22">
        <f t="shared" si="29"/>
        <v>5.9699999999999998E-4</v>
      </c>
      <c r="P105" t="str">
        <f t="shared" si="36"/>
        <v>Manure management</v>
      </c>
      <c r="Q105" t="str">
        <f t="shared" si="37"/>
        <v>N2O</v>
      </c>
      <c r="R105" s="21">
        <v>8.0007999999999999</v>
      </c>
      <c r="S105" t="s">
        <v>311</v>
      </c>
      <c r="T105" s="22">
        <f t="shared" si="38"/>
        <v>1.5921591999999998</v>
      </c>
    </row>
    <row r="106" spans="1:20" x14ac:dyDescent="0.25">
      <c r="A106" s="14" t="s">
        <v>254</v>
      </c>
      <c r="B106" t="str">
        <f t="shared" si="32"/>
        <v>Enteric fermentation</v>
      </c>
      <c r="C106" t="str">
        <f t="shared" si="33"/>
        <v>CH4</v>
      </c>
      <c r="D106" s="21">
        <v>3.66</v>
      </c>
      <c r="E106" t="s">
        <v>144</v>
      </c>
      <c r="F106" s="21">
        <v>684985.67270360084</v>
      </c>
      <c r="G106" s="22">
        <f t="shared" si="40"/>
        <v>0.16899999999999998</v>
      </c>
      <c r="H106" s="22">
        <f t="shared" si="31"/>
        <v>0.61853999999999998</v>
      </c>
      <c r="J106" t="str">
        <f t="shared" si="34"/>
        <v>Manure management</v>
      </c>
      <c r="K106" t="str">
        <f t="shared" si="35"/>
        <v>CH4</v>
      </c>
      <c r="L106" s="21">
        <v>4.0000000000000001E-3</v>
      </c>
      <c r="M106" t="s">
        <v>144</v>
      </c>
      <c r="N106" s="22">
        <f t="shared" si="29"/>
        <v>6.7599999999999995E-4</v>
      </c>
      <c r="P106" t="str">
        <f t="shared" si="36"/>
        <v>Manure management</v>
      </c>
      <c r="Q106" t="str">
        <f t="shared" si="37"/>
        <v>N2O</v>
      </c>
      <c r="R106" s="21">
        <v>13.001299999999999</v>
      </c>
      <c r="S106" t="s">
        <v>311</v>
      </c>
      <c r="T106" s="22">
        <f t="shared" si="38"/>
        <v>2.1972196999999998</v>
      </c>
    </row>
    <row r="107" spans="1:20" x14ac:dyDescent="0.25">
      <c r="A107" s="14" t="s">
        <v>255</v>
      </c>
      <c r="B107" t="str">
        <f t="shared" si="32"/>
        <v>Enteric fermentation</v>
      </c>
      <c r="C107" t="str">
        <f t="shared" si="33"/>
        <v>CH4</v>
      </c>
      <c r="D107" s="21">
        <v>8.11</v>
      </c>
      <c r="E107" t="s">
        <v>144</v>
      </c>
      <c r="F107" s="21">
        <v>81063.393219361053</v>
      </c>
      <c r="G107" s="22">
        <f t="shared" si="40"/>
        <v>0.02</v>
      </c>
      <c r="H107" s="22">
        <f t="shared" si="31"/>
        <v>0.16219999999999998</v>
      </c>
      <c r="J107" t="str">
        <f t="shared" si="34"/>
        <v>Manure management</v>
      </c>
      <c r="K107" t="str">
        <f t="shared" si="35"/>
        <v>CH4</v>
      </c>
      <c r="L107" s="21">
        <v>8.9999999999999993E-3</v>
      </c>
      <c r="M107" t="s">
        <v>144</v>
      </c>
      <c r="N107" s="22">
        <f t="shared" si="29"/>
        <v>1.7999999999999998E-4</v>
      </c>
      <c r="P107" t="str">
        <f t="shared" si="36"/>
        <v>Manure management</v>
      </c>
      <c r="Q107" t="str">
        <f t="shared" si="37"/>
        <v>N2O</v>
      </c>
      <c r="R107" s="21">
        <v>30.803080000000005</v>
      </c>
      <c r="S107" t="s">
        <v>311</v>
      </c>
      <c r="T107" s="22">
        <f t="shared" si="38"/>
        <v>0.6160616000000001</v>
      </c>
    </row>
    <row r="108" spans="1:20" x14ac:dyDescent="0.25">
      <c r="A108" s="14" t="s">
        <v>256</v>
      </c>
      <c r="B108" t="str">
        <f t="shared" si="32"/>
        <v>Enteric fermentation</v>
      </c>
      <c r="C108" t="str">
        <f t="shared" si="33"/>
        <v>CH4</v>
      </c>
      <c r="D108" s="21">
        <v>5.19</v>
      </c>
      <c r="E108" t="s">
        <v>144</v>
      </c>
      <c r="F108" s="21">
        <v>514752.54694294266</v>
      </c>
      <c r="G108" s="22">
        <f t="shared" si="40"/>
        <v>0.127</v>
      </c>
      <c r="H108" s="22">
        <f t="shared" si="31"/>
        <v>0.6591300000000001</v>
      </c>
      <c r="J108" t="str">
        <f t="shared" si="34"/>
        <v>Manure management</v>
      </c>
      <c r="K108" t="str">
        <f t="shared" si="35"/>
        <v>CH4</v>
      </c>
      <c r="L108" s="21">
        <v>6.0000000000000001E-3</v>
      </c>
      <c r="M108" t="s">
        <v>144</v>
      </c>
      <c r="N108" s="22">
        <f t="shared" si="29"/>
        <v>7.6199999999999998E-4</v>
      </c>
      <c r="P108" t="str">
        <f t="shared" si="36"/>
        <v>Manure management</v>
      </c>
      <c r="Q108" t="str">
        <f t="shared" si="37"/>
        <v>N2O</v>
      </c>
      <c r="R108" s="21">
        <v>19.501950000000001</v>
      </c>
      <c r="S108" t="s">
        <v>311</v>
      </c>
      <c r="T108" s="22">
        <f t="shared" si="38"/>
        <v>2.4767476500000001</v>
      </c>
    </row>
    <row r="109" spans="1:20" x14ac:dyDescent="0.25">
      <c r="A109" s="13" t="s">
        <v>3</v>
      </c>
      <c r="M109" s="13"/>
    </row>
    <row r="110" spans="1:20" x14ac:dyDescent="0.25">
      <c r="A110" s="14" t="s">
        <v>3</v>
      </c>
      <c r="B110" t="str">
        <f>$B$5</f>
        <v>Enteric fermentation</v>
      </c>
      <c r="C110" t="str">
        <f>$C$5</f>
        <v>CH4</v>
      </c>
      <c r="D110" s="21">
        <v>18</v>
      </c>
      <c r="E110" t="s">
        <v>144</v>
      </c>
      <c r="H110" s="22">
        <f>D110</f>
        <v>18</v>
      </c>
      <c r="J110" t="str">
        <f>$J$5</f>
        <v>Manure management</v>
      </c>
      <c r="K110" t="str">
        <f>$K$5</f>
        <v>CH4</v>
      </c>
      <c r="L110" s="21">
        <v>1.34E-2</v>
      </c>
      <c r="M110" t="s">
        <v>144</v>
      </c>
      <c r="N110" s="22">
        <f>L110</f>
        <v>1.34E-2</v>
      </c>
      <c r="P110" t="str">
        <f>$P$5</f>
        <v>Manure management</v>
      </c>
      <c r="Q110" t="str">
        <f>$Q$5</f>
        <v>N2O</v>
      </c>
      <c r="R110" s="21">
        <v>39.5</v>
      </c>
      <c r="S110" t="s">
        <v>311</v>
      </c>
      <c r="T110" s="22">
        <f>R110</f>
        <v>39.5</v>
      </c>
    </row>
    <row r="111" spans="1:20" x14ac:dyDescent="0.25">
      <c r="A111" s="13" t="s">
        <v>154</v>
      </c>
      <c r="M111" s="13"/>
    </row>
    <row r="112" spans="1:20" x14ac:dyDescent="0.25">
      <c r="A112" s="14" t="s">
        <v>154</v>
      </c>
      <c r="B112" t="str">
        <f>$B$5</f>
        <v>Enteric fermentation</v>
      </c>
      <c r="C112" t="str">
        <f>$C$5</f>
        <v>CH4</v>
      </c>
      <c r="D112" s="21">
        <v>10</v>
      </c>
      <c r="E112" t="s">
        <v>144</v>
      </c>
      <c r="H112" s="22">
        <f>D112</f>
        <v>10</v>
      </c>
      <c r="J112" t="str">
        <f>$J$5</f>
        <v>Manure management</v>
      </c>
      <c r="K112" t="str">
        <f>$K$5</f>
        <v>CH4</v>
      </c>
      <c r="L112" s="21">
        <v>4.4999999999999997E-3</v>
      </c>
      <c r="M112" t="s">
        <v>144</v>
      </c>
      <c r="N112" s="22">
        <f>L112</f>
        <v>4.4999999999999997E-3</v>
      </c>
      <c r="P112" t="str">
        <f>$P$5</f>
        <v>Manure management</v>
      </c>
      <c r="Q112" t="str">
        <f>$Q$5</f>
        <v>N2O</v>
      </c>
      <c r="R112" s="21">
        <v>13.2</v>
      </c>
      <c r="S112" t="s">
        <v>311</v>
      </c>
      <c r="T112" s="22">
        <f>R112</f>
        <v>13.2</v>
      </c>
    </row>
    <row r="113" spans="1:20" x14ac:dyDescent="0.25">
      <c r="A113" s="13" t="s">
        <v>155</v>
      </c>
      <c r="M113" s="13"/>
    </row>
    <row r="114" spans="1:20" x14ac:dyDescent="0.25">
      <c r="A114" s="14" t="s">
        <v>257</v>
      </c>
      <c r="B114" t="str">
        <f t="shared" ref="B114:B133" si="41">$B$5</f>
        <v>Enteric fermentation</v>
      </c>
      <c r="C114" t="str">
        <f t="shared" ref="C114:C133" si="42">$C$5</f>
        <v>CH4</v>
      </c>
      <c r="D114" s="21">
        <v>0.99</v>
      </c>
      <c r="E114" t="s">
        <v>144</v>
      </c>
      <c r="F114" s="21">
        <v>78106</v>
      </c>
      <c r="G114">
        <f>F114/SUM($F$114:$F$123)</f>
        <v>4.9000000000000002E-2</v>
      </c>
      <c r="H114" s="22">
        <f t="shared" ref="H114:H133" si="43">D114*G114</f>
        <v>4.8510000000000005E-2</v>
      </c>
      <c r="J114" t="str">
        <f t="shared" ref="J114:J133" si="44">$J$5</f>
        <v>Manure management</v>
      </c>
      <c r="K114" t="str">
        <f t="shared" ref="K114:K133" si="45">$K$5</f>
        <v>CH4</v>
      </c>
      <c r="L114" s="21">
        <v>20.96</v>
      </c>
      <c r="M114" t="s">
        <v>144</v>
      </c>
      <c r="N114" s="22">
        <f t="shared" ref="N114:N133" si="46">L114*G114</f>
        <v>1.0270400000000002</v>
      </c>
      <c r="P114" t="str">
        <f t="shared" ref="P114:P133" si="47">$P$5</f>
        <v>Manure management</v>
      </c>
      <c r="Q114" t="str">
        <f t="shared" ref="Q114:Q133" si="48">$Q$5</f>
        <v>N2O</v>
      </c>
      <c r="R114" s="21">
        <v>11.04</v>
      </c>
      <c r="S114" t="s">
        <v>311</v>
      </c>
      <c r="T114" s="22">
        <f t="shared" ref="T114:T133" si="49">R114*G114</f>
        <v>0.54096</v>
      </c>
    </row>
    <row r="115" spans="1:20" x14ac:dyDescent="0.25">
      <c r="A115" s="14" t="s">
        <v>258</v>
      </c>
      <c r="B115" t="str">
        <f t="shared" si="41"/>
        <v>Enteric fermentation</v>
      </c>
      <c r="C115" t="str">
        <f t="shared" si="42"/>
        <v>CH4</v>
      </c>
      <c r="D115" s="21">
        <v>1.89</v>
      </c>
      <c r="E115" t="s">
        <v>144</v>
      </c>
      <c r="F115" s="21">
        <v>9564</v>
      </c>
      <c r="G115">
        <f t="shared" ref="G115:G123" si="50">F115/SUM($F$114:$F$123)</f>
        <v>6.0000000000000001E-3</v>
      </c>
      <c r="H115" s="22">
        <f t="shared" si="43"/>
        <v>1.1339999999999999E-2</v>
      </c>
      <c r="J115" t="str">
        <f t="shared" si="44"/>
        <v>Manure management</v>
      </c>
      <c r="K115" t="str">
        <f t="shared" si="45"/>
        <v>CH4</v>
      </c>
      <c r="L115" s="21">
        <v>16.47</v>
      </c>
      <c r="M115" t="s">
        <v>144</v>
      </c>
      <c r="N115" s="22">
        <f t="shared" si="46"/>
        <v>9.8819999999999991E-2</v>
      </c>
      <c r="P115" t="str">
        <f t="shared" si="47"/>
        <v>Manure management</v>
      </c>
      <c r="Q115" t="str">
        <f t="shared" si="48"/>
        <v>N2O</v>
      </c>
      <c r="R115" s="21">
        <v>14.59</v>
      </c>
      <c r="S115" t="s">
        <v>311</v>
      </c>
      <c r="T115" s="22">
        <f t="shared" si="49"/>
        <v>8.7540000000000007E-2</v>
      </c>
    </row>
    <row r="116" spans="1:20" x14ac:dyDescent="0.25">
      <c r="A116" s="14" t="s">
        <v>259</v>
      </c>
      <c r="B116" t="str">
        <f t="shared" si="41"/>
        <v>Enteric fermentation</v>
      </c>
      <c r="C116" t="str">
        <f t="shared" si="42"/>
        <v>CH4</v>
      </c>
      <c r="D116" s="21">
        <v>1.89</v>
      </c>
      <c r="E116" t="s">
        <v>144</v>
      </c>
      <c r="F116" s="21">
        <v>9564</v>
      </c>
      <c r="G116">
        <f t="shared" si="50"/>
        <v>6.0000000000000001E-3</v>
      </c>
      <c r="H116" s="22">
        <f t="shared" si="43"/>
        <v>1.1339999999999999E-2</v>
      </c>
      <c r="J116" t="str">
        <f t="shared" si="44"/>
        <v>Manure management</v>
      </c>
      <c r="K116" t="str">
        <f t="shared" si="45"/>
        <v>CH4</v>
      </c>
      <c r="L116" s="21">
        <v>16.47</v>
      </c>
      <c r="M116" t="s">
        <v>144</v>
      </c>
      <c r="N116" s="22">
        <f t="shared" si="46"/>
        <v>9.8819999999999991E-2</v>
      </c>
      <c r="P116" t="str">
        <f t="shared" si="47"/>
        <v>Manure management</v>
      </c>
      <c r="Q116" t="str">
        <f t="shared" si="48"/>
        <v>N2O</v>
      </c>
      <c r="R116" s="21">
        <v>14.59</v>
      </c>
      <c r="S116" t="s">
        <v>311</v>
      </c>
      <c r="T116" s="22">
        <f t="shared" si="49"/>
        <v>8.7540000000000007E-2</v>
      </c>
    </row>
    <row r="117" spans="1:20" x14ac:dyDescent="0.25">
      <c r="A117" s="14" t="s">
        <v>260</v>
      </c>
      <c r="B117" t="str">
        <f t="shared" si="41"/>
        <v>Enteric fermentation</v>
      </c>
      <c r="C117" t="str">
        <f t="shared" si="42"/>
        <v>CH4</v>
      </c>
      <c r="D117" s="21">
        <v>1.55</v>
      </c>
      <c r="E117" t="s">
        <v>144</v>
      </c>
      <c r="F117" s="21">
        <v>82888</v>
      </c>
      <c r="G117">
        <f t="shared" si="50"/>
        <v>5.1999999999999998E-2</v>
      </c>
      <c r="H117" s="22">
        <f t="shared" si="43"/>
        <v>8.0600000000000005E-2</v>
      </c>
      <c r="J117" t="str">
        <f t="shared" si="44"/>
        <v>Manure management</v>
      </c>
      <c r="K117" t="str">
        <f t="shared" si="45"/>
        <v>CH4</v>
      </c>
      <c r="L117" s="21">
        <v>13.47</v>
      </c>
      <c r="M117" t="s">
        <v>144</v>
      </c>
      <c r="N117" s="22">
        <f t="shared" si="46"/>
        <v>0.70043999999999995</v>
      </c>
      <c r="P117" t="str">
        <f t="shared" si="47"/>
        <v>Manure management</v>
      </c>
      <c r="Q117" t="str">
        <f t="shared" si="48"/>
        <v>N2O</v>
      </c>
      <c r="R117" s="21">
        <v>20.7</v>
      </c>
      <c r="S117" t="s">
        <v>311</v>
      </c>
      <c r="T117" s="22">
        <f t="shared" si="49"/>
        <v>1.0764</v>
      </c>
    </row>
    <row r="118" spans="1:20" x14ac:dyDescent="0.25">
      <c r="A118" s="14" t="s">
        <v>261</v>
      </c>
      <c r="B118" t="str">
        <f t="shared" si="41"/>
        <v>Enteric fermentation</v>
      </c>
      <c r="C118" t="str">
        <f t="shared" si="42"/>
        <v>CH4</v>
      </c>
      <c r="D118" s="21">
        <v>2.15</v>
      </c>
      <c r="E118" t="s">
        <v>144</v>
      </c>
      <c r="F118" s="21">
        <v>296484</v>
      </c>
      <c r="G118">
        <f t="shared" si="50"/>
        <v>0.186</v>
      </c>
      <c r="H118" s="22">
        <f t="shared" si="43"/>
        <v>0.39989999999999998</v>
      </c>
      <c r="J118" t="str">
        <f t="shared" si="44"/>
        <v>Manure management</v>
      </c>
      <c r="K118" t="str">
        <f t="shared" si="45"/>
        <v>CH4</v>
      </c>
      <c r="L118" s="21">
        <v>18.71</v>
      </c>
      <c r="M118" t="s">
        <v>144</v>
      </c>
      <c r="N118" s="22">
        <f t="shared" si="46"/>
        <v>3.4800599999999999</v>
      </c>
      <c r="P118" t="str">
        <f t="shared" si="47"/>
        <v>Manure management</v>
      </c>
      <c r="Q118" t="str">
        <f t="shared" si="48"/>
        <v>N2O</v>
      </c>
      <c r="R118" s="21">
        <v>20.7</v>
      </c>
      <c r="S118" t="s">
        <v>311</v>
      </c>
      <c r="T118" s="22">
        <f t="shared" si="49"/>
        <v>3.8501999999999996</v>
      </c>
    </row>
    <row r="119" spans="1:20" x14ac:dyDescent="0.25">
      <c r="A119" s="14" t="s">
        <v>262</v>
      </c>
      <c r="B119" t="str">
        <f t="shared" si="41"/>
        <v>Enteric fermentation</v>
      </c>
      <c r="C119" t="str">
        <f t="shared" si="42"/>
        <v>CH4</v>
      </c>
      <c r="D119" s="21">
        <v>4.09</v>
      </c>
      <c r="E119" t="s">
        <v>144</v>
      </c>
      <c r="F119" s="21">
        <v>52602</v>
      </c>
      <c r="G119">
        <f t="shared" si="50"/>
        <v>3.3000000000000002E-2</v>
      </c>
      <c r="H119" s="22">
        <f t="shared" si="43"/>
        <v>0.13497000000000001</v>
      </c>
      <c r="J119" t="str">
        <f t="shared" si="44"/>
        <v>Manure management</v>
      </c>
      <c r="K119" t="str">
        <f t="shared" si="45"/>
        <v>CH4</v>
      </c>
      <c r="L119" s="21">
        <v>35.549999999999997</v>
      </c>
      <c r="M119" t="s">
        <v>144</v>
      </c>
      <c r="N119" s="22">
        <f t="shared" si="46"/>
        <v>1.1731499999999999</v>
      </c>
      <c r="P119" t="str">
        <f t="shared" si="47"/>
        <v>Manure management</v>
      </c>
      <c r="Q119" t="str">
        <f t="shared" si="48"/>
        <v>N2O</v>
      </c>
      <c r="R119" s="21">
        <v>20.7</v>
      </c>
      <c r="S119" t="s">
        <v>311</v>
      </c>
      <c r="T119" s="22">
        <f t="shared" si="49"/>
        <v>0.68310000000000004</v>
      </c>
    </row>
    <row r="120" spans="1:20" x14ac:dyDescent="0.25">
      <c r="A120" s="14" t="s">
        <v>263</v>
      </c>
      <c r="B120" t="str">
        <f t="shared" si="41"/>
        <v>Enteric fermentation</v>
      </c>
      <c r="C120" t="str">
        <f t="shared" si="42"/>
        <v>CH4</v>
      </c>
      <c r="D120" s="21">
        <v>0.51</v>
      </c>
      <c r="E120" t="s">
        <v>144</v>
      </c>
      <c r="F120" s="21">
        <v>446320.00000000006</v>
      </c>
      <c r="G120">
        <f t="shared" si="50"/>
        <v>0.28000000000000003</v>
      </c>
      <c r="H120" s="22">
        <f t="shared" si="43"/>
        <v>0.14280000000000001</v>
      </c>
      <c r="J120" t="str">
        <f t="shared" si="44"/>
        <v>Manure management</v>
      </c>
      <c r="K120" t="str">
        <f t="shared" si="45"/>
        <v>CH4</v>
      </c>
      <c r="L120" s="21">
        <v>17.96</v>
      </c>
      <c r="M120" t="s">
        <v>144</v>
      </c>
      <c r="N120" s="22">
        <f t="shared" si="46"/>
        <v>5.0288000000000004</v>
      </c>
      <c r="P120" t="str">
        <f t="shared" si="47"/>
        <v>Manure management</v>
      </c>
      <c r="Q120" t="str">
        <f t="shared" si="48"/>
        <v>N2O</v>
      </c>
      <c r="R120" s="21">
        <v>11.04</v>
      </c>
      <c r="S120" t="s">
        <v>311</v>
      </c>
      <c r="T120" s="22">
        <f t="shared" si="49"/>
        <v>3.0912000000000002</v>
      </c>
    </row>
    <row r="121" spans="1:20" x14ac:dyDescent="0.25">
      <c r="A121" s="14" t="s">
        <v>264</v>
      </c>
      <c r="B121" t="str">
        <f t="shared" si="41"/>
        <v>Enteric fermentation</v>
      </c>
      <c r="C121" t="str">
        <f t="shared" si="42"/>
        <v>CH4</v>
      </c>
      <c r="D121" s="21">
        <v>0.43</v>
      </c>
      <c r="E121" t="s">
        <v>144</v>
      </c>
      <c r="F121" s="21">
        <v>526020</v>
      </c>
      <c r="G121">
        <f t="shared" si="50"/>
        <v>0.33</v>
      </c>
      <c r="H121" s="22">
        <f t="shared" si="43"/>
        <v>0.1419</v>
      </c>
      <c r="J121" t="str">
        <f t="shared" si="44"/>
        <v>Manure management</v>
      </c>
      <c r="K121" t="str">
        <f t="shared" si="45"/>
        <v>CH4</v>
      </c>
      <c r="L121" s="21">
        <v>3.74</v>
      </c>
      <c r="M121" t="s">
        <v>144</v>
      </c>
      <c r="N121" s="22">
        <f t="shared" si="46"/>
        <v>1.2342000000000002</v>
      </c>
      <c r="P121" t="str">
        <f t="shared" si="47"/>
        <v>Manure management</v>
      </c>
      <c r="Q121" t="str">
        <f t="shared" si="48"/>
        <v>N2O</v>
      </c>
      <c r="R121" s="21">
        <v>11.04</v>
      </c>
      <c r="S121" t="s">
        <v>311</v>
      </c>
      <c r="T121" s="22">
        <f t="shared" si="49"/>
        <v>3.6431999999999998</v>
      </c>
    </row>
    <row r="122" spans="1:20" x14ac:dyDescent="0.25">
      <c r="A122" s="14" t="s">
        <v>265</v>
      </c>
      <c r="B122" t="str">
        <f t="shared" si="41"/>
        <v>Enteric fermentation</v>
      </c>
      <c r="C122" t="str">
        <f t="shared" si="42"/>
        <v>CH4</v>
      </c>
      <c r="D122" s="21">
        <v>2.41</v>
      </c>
      <c r="E122" t="s">
        <v>144</v>
      </c>
      <c r="F122" s="21">
        <v>9564</v>
      </c>
      <c r="G122">
        <f t="shared" si="50"/>
        <v>6.0000000000000001E-3</v>
      </c>
      <c r="H122" s="22">
        <f t="shared" si="43"/>
        <v>1.4460000000000001E-2</v>
      </c>
      <c r="J122" t="str">
        <f t="shared" si="44"/>
        <v>Manure management</v>
      </c>
      <c r="K122" t="str">
        <f t="shared" si="45"/>
        <v>CH4</v>
      </c>
      <c r="L122" s="21">
        <v>20.96</v>
      </c>
      <c r="M122" t="s">
        <v>144</v>
      </c>
      <c r="N122" s="22">
        <f t="shared" si="46"/>
        <v>0.12576000000000001</v>
      </c>
      <c r="P122" t="str">
        <f t="shared" si="47"/>
        <v>Manure management</v>
      </c>
      <c r="Q122" t="str">
        <f t="shared" si="48"/>
        <v>N2O</v>
      </c>
      <c r="R122" s="21">
        <v>12.25</v>
      </c>
      <c r="S122" t="s">
        <v>311</v>
      </c>
      <c r="T122" s="22">
        <f t="shared" si="49"/>
        <v>7.3499999999999996E-2</v>
      </c>
    </row>
    <row r="123" spans="1:20" x14ac:dyDescent="0.25">
      <c r="A123" s="14" t="s">
        <v>266</v>
      </c>
      <c r="B123" t="str">
        <f t="shared" si="41"/>
        <v>Enteric fermentation</v>
      </c>
      <c r="C123" t="str">
        <f t="shared" si="42"/>
        <v>CH4</v>
      </c>
      <c r="D123" s="21">
        <v>2.41</v>
      </c>
      <c r="E123" t="s">
        <v>144</v>
      </c>
      <c r="F123" s="21">
        <v>82888</v>
      </c>
      <c r="G123">
        <f t="shared" si="50"/>
        <v>5.1999999999999998E-2</v>
      </c>
      <c r="H123" s="22">
        <f t="shared" si="43"/>
        <v>0.12532000000000001</v>
      </c>
      <c r="J123" t="str">
        <f t="shared" si="44"/>
        <v>Manure management</v>
      </c>
      <c r="K123" t="str">
        <f t="shared" si="45"/>
        <v>CH4</v>
      </c>
      <c r="L123" s="21">
        <v>20.96</v>
      </c>
      <c r="M123" t="s">
        <v>144</v>
      </c>
      <c r="N123" s="22">
        <f t="shared" si="46"/>
        <v>1.08992</v>
      </c>
      <c r="P123" t="str">
        <f t="shared" si="47"/>
        <v>Manure management</v>
      </c>
      <c r="Q123" t="str">
        <f t="shared" si="48"/>
        <v>N2O</v>
      </c>
      <c r="R123" s="21">
        <v>12.23</v>
      </c>
      <c r="S123" t="s">
        <v>311</v>
      </c>
      <c r="T123" s="22">
        <f t="shared" si="49"/>
        <v>0.63595999999999997</v>
      </c>
    </row>
    <row r="124" spans="1:20" x14ac:dyDescent="0.25">
      <c r="A124" s="14" t="s">
        <v>267</v>
      </c>
      <c r="B124" t="str">
        <f t="shared" si="41"/>
        <v>Enteric fermentation</v>
      </c>
      <c r="C124" t="str">
        <f t="shared" si="42"/>
        <v>CH4</v>
      </c>
      <c r="D124" s="21">
        <v>0.79</v>
      </c>
      <c r="E124" t="s">
        <v>144</v>
      </c>
      <c r="F124" s="21">
        <v>7701.5822103987002</v>
      </c>
      <c r="G124">
        <f>F124/SUM($F$124:$F$133)</f>
        <v>3.6999999999999998E-2</v>
      </c>
      <c r="H124" s="22">
        <f t="shared" si="43"/>
        <v>2.9229999999999999E-2</v>
      </c>
      <c r="J124" t="str">
        <f t="shared" si="44"/>
        <v>Manure management</v>
      </c>
      <c r="K124" t="str">
        <f t="shared" si="45"/>
        <v>CH4</v>
      </c>
      <c r="L124" s="21">
        <v>0.46</v>
      </c>
      <c r="M124" t="s">
        <v>144</v>
      </c>
      <c r="N124" s="22">
        <f t="shared" si="46"/>
        <v>1.702E-2</v>
      </c>
      <c r="P124" t="str">
        <f t="shared" si="47"/>
        <v>Manure management</v>
      </c>
      <c r="Q124" t="str">
        <f t="shared" si="48"/>
        <v>N2O</v>
      </c>
      <c r="R124" s="21">
        <v>11.04</v>
      </c>
      <c r="S124" t="s">
        <v>311</v>
      </c>
      <c r="T124" s="22">
        <f t="shared" si="49"/>
        <v>0.40847999999999995</v>
      </c>
    </row>
    <row r="125" spans="1:20" x14ac:dyDescent="0.25">
      <c r="A125" s="14" t="s">
        <v>268</v>
      </c>
      <c r="B125" t="str">
        <f t="shared" si="41"/>
        <v>Enteric fermentation</v>
      </c>
      <c r="C125" t="str">
        <f t="shared" si="42"/>
        <v>CH4</v>
      </c>
      <c r="D125" s="21">
        <v>1.55</v>
      </c>
      <c r="E125" t="s">
        <v>144</v>
      </c>
      <c r="F125" s="21">
        <v>3746.7156699236921</v>
      </c>
      <c r="G125">
        <f t="shared" ref="G125:G133" si="51">F125/SUM($F$124:$F$133)</f>
        <v>1.7999999999999999E-2</v>
      </c>
      <c r="H125" s="22">
        <f t="shared" si="43"/>
        <v>2.7899999999999998E-2</v>
      </c>
      <c r="J125" t="str">
        <f t="shared" si="44"/>
        <v>Manure management</v>
      </c>
      <c r="K125" t="str">
        <f t="shared" si="45"/>
        <v>CH4</v>
      </c>
      <c r="L125" s="21">
        <v>0.37</v>
      </c>
      <c r="M125" t="s">
        <v>144</v>
      </c>
      <c r="N125" s="22">
        <f t="shared" si="46"/>
        <v>6.6599999999999993E-3</v>
      </c>
      <c r="P125" t="str">
        <f t="shared" si="47"/>
        <v>Manure management</v>
      </c>
      <c r="Q125" t="str">
        <f t="shared" si="48"/>
        <v>N2O</v>
      </c>
      <c r="R125" s="21">
        <v>14.59</v>
      </c>
      <c r="S125" t="s">
        <v>311</v>
      </c>
      <c r="T125" s="22">
        <f t="shared" si="49"/>
        <v>0.26261999999999996</v>
      </c>
    </row>
    <row r="126" spans="1:20" x14ac:dyDescent="0.25">
      <c r="A126" s="14" t="s">
        <v>269</v>
      </c>
      <c r="B126" t="str">
        <f t="shared" si="41"/>
        <v>Enteric fermentation</v>
      </c>
      <c r="C126" t="str">
        <f t="shared" si="42"/>
        <v>CH4</v>
      </c>
      <c r="D126" s="21">
        <v>1.55</v>
      </c>
      <c r="E126" t="s">
        <v>144</v>
      </c>
      <c r="F126" s="21">
        <v>1873.357834961846</v>
      </c>
      <c r="G126">
        <f t="shared" si="51"/>
        <v>8.9999999999999993E-3</v>
      </c>
      <c r="H126" s="22">
        <f t="shared" si="43"/>
        <v>1.3949999999999999E-2</v>
      </c>
      <c r="J126" t="str">
        <f t="shared" si="44"/>
        <v>Manure management</v>
      </c>
      <c r="K126" t="str">
        <f t="shared" si="45"/>
        <v>CH4</v>
      </c>
      <c r="L126" s="21">
        <v>0.37</v>
      </c>
      <c r="M126" t="s">
        <v>144</v>
      </c>
      <c r="N126" s="22">
        <f t="shared" si="46"/>
        <v>3.3299999999999996E-3</v>
      </c>
      <c r="P126" t="str">
        <f t="shared" si="47"/>
        <v>Manure management</v>
      </c>
      <c r="Q126" t="str">
        <f t="shared" si="48"/>
        <v>N2O</v>
      </c>
      <c r="R126" s="21">
        <v>14.59</v>
      </c>
      <c r="S126" t="s">
        <v>311</v>
      </c>
      <c r="T126" s="22">
        <f t="shared" si="49"/>
        <v>0.13130999999999998</v>
      </c>
    </row>
    <row r="127" spans="1:20" x14ac:dyDescent="0.25">
      <c r="A127" s="14" t="s">
        <v>270</v>
      </c>
      <c r="B127" t="str">
        <f t="shared" si="41"/>
        <v>Enteric fermentation</v>
      </c>
      <c r="C127" t="str">
        <f t="shared" si="42"/>
        <v>CH4</v>
      </c>
      <c r="D127" s="21">
        <v>1.24</v>
      </c>
      <c r="E127" t="s">
        <v>144</v>
      </c>
      <c r="F127" s="21">
        <v>15819.466161900034</v>
      </c>
      <c r="G127">
        <f t="shared" si="51"/>
        <v>7.5999999999999998E-2</v>
      </c>
      <c r="H127" s="22">
        <f t="shared" si="43"/>
        <v>9.423999999999999E-2</v>
      </c>
      <c r="J127" t="str">
        <f t="shared" si="44"/>
        <v>Manure management</v>
      </c>
      <c r="K127" t="str">
        <f t="shared" si="45"/>
        <v>CH4</v>
      </c>
      <c r="L127" s="21">
        <v>0.3</v>
      </c>
      <c r="M127" t="s">
        <v>144</v>
      </c>
      <c r="N127" s="22">
        <f t="shared" si="46"/>
        <v>2.2799999999999997E-2</v>
      </c>
      <c r="P127" t="str">
        <f t="shared" si="47"/>
        <v>Manure management</v>
      </c>
      <c r="Q127" t="str">
        <f t="shared" si="48"/>
        <v>N2O</v>
      </c>
      <c r="R127" s="21">
        <v>20.7</v>
      </c>
      <c r="S127" t="s">
        <v>311</v>
      </c>
      <c r="T127" s="22">
        <f t="shared" si="49"/>
        <v>1.5731999999999999</v>
      </c>
    </row>
    <row r="128" spans="1:20" x14ac:dyDescent="0.25">
      <c r="A128" s="14" t="s">
        <v>271</v>
      </c>
      <c r="B128" t="str">
        <f t="shared" si="41"/>
        <v>Enteric fermentation</v>
      </c>
      <c r="C128" t="str">
        <f t="shared" si="42"/>
        <v>CH4</v>
      </c>
      <c r="D128" s="21">
        <v>1.72</v>
      </c>
      <c r="E128" t="s">
        <v>144</v>
      </c>
      <c r="F128" s="21">
        <v>57033.338531060654</v>
      </c>
      <c r="G128">
        <f t="shared" si="51"/>
        <v>0.27400000000000002</v>
      </c>
      <c r="H128" s="22">
        <f t="shared" si="43"/>
        <v>0.47128000000000003</v>
      </c>
      <c r="J128" t="str">
        <f t="shared" si="44"/>
        <v>Manure management</v>
      </c>
      <c r="K128" t="str">
        <f t="shared" si="45"/>
        <v>CH4</v>
      </c>
      <c r="L128" s="21">
        <v>0.42</v>
      </c>
      <c r="M128" t="s">
        <v>144</v>
      </c>
      <c r="N128" s="22">
        <f t="shared" si="46"/>
        <v>0.11508</v>
      </c>
      <c r="P128" t="str">
        <f t="shared" si="47"/>
        <v>Manure management</v>
      </c>
      <c r="Q128" t="str">
        <f t="shared" si="48"/>
        <v>N2O</v>
      </c>
      <c r="R128" s="21">
        <v>20.7</v>
      </c>
      <c r="S128" t="s">
        <v>311</v>
      </c>
      <c r="T128" s="22">
        <f t="shared" si="49"/>
        <v>5.6718000000000002</v>
      </c>
    </row>
    <row r="129" spans="1:20" x14ac:dyDescent="0.25">
      <c r="A129" s="14" t="s">
        <v>272</v>
      </c>
      <c r="B129" t="str">
        <f t="shared" si="41"/>
        <v>Enteric fermentation</v>
      </c>
      <c r="C129" t="str">
        <f t="shared" si="42"/>
        <v>CH4</v>
      </c>
      <c r="D129" s="21">
        <v>3.27</v>
      </c>
      <c r="E129" t="s">
        <v>144</v>
      </c>
      <c r="F129" s="21">
        <v>10199.392657014496</v>
      </c>
      <c r="G129">
        <f t="shared" si="51"/>
        <v>4.9000000000000002E-2</v>
      </c>
      <c r="H129" s="22">
        <f t="shared" si="43"/>
        <v>0.16023000000000001</v>
      </c>
      <c r="J129" t="str">
        <f t="shared" si="44"/>
        <v>Manure management</v>
      </c>
      <c r="K129" t="str">
        <f t="shared" si="45"/>
        <v>CH4</v>
      </c>
      <c r="L129" s="21">
        <v>0.79</v>
      </c>
      <c r="M129" t="s">
        <v>144</v>
      </c>
      <c r="N129" s="22">
        <f t="shared" si="46"/>
        <v>3.8710000000000001E-2</v>
      </c>
      <c r="P129" t="str">
        <f t="shared" si="47"/>
        <v>Manure management</v>
      </c>
      <c r="Q129" t="str">
        <f t="shared" si="48"/>
        <v>N2O</v>
      </c>
      <c r="R129" s="21">
        <v>20.7</v>
      </c>
      <c r="S129" t="s">
        <v>311</v>
      </c>
      <c r="T129" s="22">
        <f t="shared" si="49"/>
        <v>1.0143</v>
      </c>
    </row>
    <row r="130" spans="1:20" x14ac:dyDescent="0.25">
      <c r="A130" s="14" t="s">
        <v>273</v>
      </c>
      <c r="B130" t="str">
        <f t="shared" si="41"/>
        <v>Enteric fermentation</v>
      </c>
      <c r="C130" t="str">
        <f t="shared" si="42"/>
        <v>CH4</v>
      </c>
      <c r="D130" s="21">
        <v>0.41</v>
      </c>
      <c r="E130" t="s">
        <v>144</v>
      </c>
      <c r="F130" s="21">
        <v>43087.230204122461</v>
      </c>
      <c r="G130">
        <f t="shared" si="51"/>
        <v>0.20699999999999999</v>
      </c>
      <c r="H130" s="22">
        <f t="shared" si="43"/>
        <v>8.4869999999999987E-2</v>
      </c>
      <c r="J130" t="str">
        <f t="shared" si="44"/>
        <v>Manure management</v>
      </c>
      <c r="K130" t="str">
        <f t="shared" si="45"/>
        <v>CH4</v>
      </c>
      <c r="L130" s="21">
        <v>0.4</v>
      </c>
      <c r="M130" t="s">
        <v>144</v>
      </c>
      <c r="N130" s="22">
        <f t="shared" si="46"/>
        <v>8.2799999999999999E-2</v>
      </c>
      <c r="P130" t="str">
        <f t="shared" si="47"/>
        <v>Manure management</v>
      </c>
      <c r="Q130" t="str">
        <f t="shared" si="48"/>
        <v>N2O</v>
      </c>
      <c r="R130" s="21">
        <v>11.04</v>
      </c>
      <c r="S130" t="s">
        <v>311</v>
      </c>
      <c r="T130" s="22">
        <f t="shared" si="49"/>
        <v>2.2852799999999998</v>
      </c>
    </row>
    <row r="131" spans="1:20" x14ac:dyDescent="0.25">
      <c r="A131" s="14" t="s">
        <v>274</v>
      </c>
      <c r="B131" t="str">
        <f t="shared" si="41"/>
        <v>Enteric fermentation</v>
      </c>
      <c r="C131" t="str">
        <f t="shared" si="42"/>
        <v>CH4</v>
      </c>
      <c r="D131" s="21">
        <v>0.34</v>
      </c>
      <c r="E131" t="s">
        <v>144</v>
      </c>
      <c r="F131" s="21">
        <v>50996.963285072481</v>
      </c>
      <c r="G131">
        <f t="shared" si="51"/>
        <v>0.245</v>
      </c>
      <c r="H131" s="22">
        <f t="shared" si="43"/>
        <v>8.3299999999999999E-2</v>
      </c>
      <c r="J131" t="str">
        <f t="shared" si="44"/>
        <v>Manure management</v>
      </c>
      <c r="K131" t="str">
        <f t="shared" si="45"/>
        <v>CH4</v>
      </c>
      <c r="L131" s="21">
        <v>0.08</v>
      </c>
      <c r="M131" t="s">
        <v>144</v>
      </c>
      <c r="N131" s="22">
        <f t="shared" si="46"/>
        <v>1.9599999999999999E-2</v>
      </c>
      <c r="P131" t="str">
        <f t="shared" si="47"/>
        <v>Manure management</v>
      </c>
      <c r="Q131" t="str">
        <f t="shared" si="48"/>
        <v>N2O</v>
      </c>
      <c r="R131" s="21">
        <v>11.04</v>
      </c>
      <c r="S131" t="s">
        <v>311</v>
      </c>
      <c r="T131" s="22">
        <f t="shared" si="49"/>
        <v>2.7047999999999996</v>
      </c>
    </row>
    <row r="132" spans="1:20" x14ac:dyDescent="0.25">
      <c r="A132" s="14" t="s">
        <v>275</v>
      </c>
      <c r="B132" t="str">
        <f t="shared" si="41"/>
        <v>Enteric fermentation</v>
      </c>
      <c r="C132" t="str">
        <f t="shared" si="42"/>
        <v>CH4</v>
      </c>
      <c r="D132" s="21">
        <v>1.93</v>
      </c>
      <c r="E132" t="s">
        <v>144</v>
      </c>
      <c r="F132" s="21">
        <v>1873.357834961846</v>
      </c>
      <c r="G132">
        <f t="shared" si="51"/>
        <v>8.9999999999999993E-3</v>
      </c>
      <c r="H132" s="22">
        <f t="shared" si="43"/>
        <v>1.7369999999999997E-2</v>
      </c>
      <c r="J132" t="str">
        <f t="shared" si="44"/>
        <v>Manure management</v>
      </c>
      <c r="K132" t="str">
        <f t="shared" si="45"/>
        <v>CH4</v>
      </c>
      <c r="L132" s="21">
        <v>0.46</v>
      </c>
      <c r="M132" t="s">
        <v>144</v>
      </c>
      <c r="N132" s="22">
        <f t="shared" si="46"/>
        <v>4.1399999999999996E-3</v>
      </c>
      <c r="P132" t="str">
        <f t="shared" si="47"/>
        <v>Manure management</v>
      </c>
      <c r="Q132" t="str">
        <f t="shared" si="48"/>
        <v>N2O</v>
      </c>
      <c r="R132" s="21">
        <v>12.25</v>
      </c>
      <c r="S132" t="s">
        <v>311</v>
      </c>
      <c r="T132" s="22">
        <f t="shared" si="49"/>
        <v>0.11024999999999999</v>
      </c>
    </row>
    <row r="133" spans="1:20" x14ac:dyDescent="0.25">
      <c r="A133" s="14" t="s">
        <v>276</v>
      </c>
      <c r="B133" t="str">
        <f t="shared" si="41"/>
        <v>Enteric fermentation</v>
      </c>
      <c r="C133" t="str">
        <f t="shared" si="42"/>
        <v>CH4</v>
      </c>
      <c r="D133" s="21">
        <v>1.93</v>
      </c>
      <c r="E133" t="s">
        <v>144</v>
      </c>
      <c r="F133" s="21">
        <v>15819.466161900034</v>
      </c>
      <c r="G133">
        <f t="shared" si="51"/>
        <v>7.5999999999999998E-2</v>
      </c>
      <c r="H133" s="22">
        <f t="shared" si="43"/>
        <v>0.14668</v>
      </c>
      <c r="J133" t="str">
        <f t="shared" si="44"/>
        <v>Manure management</v>
      </c>
      <c r="K133" t="str">
        <f t="shared" si="45"/>
        <v>CH4</v>
      </c>
      <c r="L133" s="21">
        <v>0.46</v>
      </c>
      <c r="M133" t="s">
        <v>144</v>
      </c>
      <c r="N133" s="22">
        <f t="shared" si="46"/>
        <v>3.4959999999999998E-2</v>
      </c>
      <c r="P133" t="str">
        <f t="shared" si="47"/>
        <v>Manure management</v>
      </c>
      <c r="Q133" t="str">
        <f t="shared" si="48"/>
        <v>N2O</v>
      </c>
      <c r="R133" s="21">
        <v>12.23</v>
      </c>
      <c r="S133" t="s">
        <v>311</v>
      </c>
      <c r="T133" s="22">
        <f t="shared" si="49"/>
        <v>0.92947999999999997</v>
      </c>
    </row>
    <row r="134" spans="1:20" x14ac:dyDescent="0.25">
      <c r="A134" s="13" t="s">
        <v>288</v>
      </c>
      <c r="M134" s="13"/>
    </row>
    <row r="135" spans="1:20" x14ac:dyDescent="0.25">
      <c r="A135" s="14" t="s">
        <v>289</v>
      </c>
      <c r="F135" s="21">
        <v>88431266.728296682</v>
      </c>
      <c r="J135" t="str">
        <f t="shared" ref="J135:J138" si="52">$J$5</f>
        <v>Manure management</v>
      </c>
      <c r="K135" t="str">
        <f t="shared" ref="K135:K138" si="53">$K$5</f>
        <v>CH4</v>
      </c>
      <c r="L135" s="21">
        <v>2.35E-2</v>
      </c>
      <c r="M135" t="s">
        <v>144</v>
      </c>
      <c r="N135" s="22">
        <f>L135</f>
        <v>2.35E-2</v>
      </c>
      <c r="P135" t="str">
        <f t="shared" ref="P135:P138" si="54">$P$5</f>
        <v>Manure management</v>
      </c>
      <c r="Q135" t="str">
        <f t="shared" ref="Q135:Q138" si="55">$Q$5</f>
        <v>N2O</v>
      </c>
      <c r="R135" s="21">
        <v>0.7</v>
      </c>
      <c r="S135" t="s">
        <v>311</v>
      </c>
      <c r="T135" s="22">
        <f>R135</f>
        <v>0.7</v>
      </c>
    </row>
    <row r="136" spans="1:20" x14ac:dyDescent="0.25">
      <c r="A136" s="14" t="s">
        <v>290</v>
      </c>
      <c r="F136" s="21">
        <v>23091061.215630483</v>
      </c>
      <c r="J136" t="str">
        <f t="shared" si="52"/>
        <v>Manure management</v>
      </c>
      <c r="K136" t="str">
        <f t="shared" si="53"/>
        <v>CH4</v>
      </c>
      <c r="L136" s="21">
        <v>2.35E-2</v>
      </c>
      <c r="M136" t="s">
        <v>144</v>
      </c>
      <c r="N136" s="22">
        <f t="shared" ref="N136:N138" si="56">L136</f>
        <v>2.35E-2</v>
      </c>
      <c r="P136" t="str">
        <f t="shared" si="54"/>
        <v>Manure management</v>
      </c>
      <c r="Q136" t="str">
        <f t="shared" si="55"/>
        <v>N2O</v>
      </c>
      <c r="R136" s="21">
        <v>0.6</v>
      </c>
      <c r="S136" t="s">
        <v>311</v>
      </c>
      <c r="T136" s="22">
        <f t="shared" ref="T136:T138" si="57">R136</f>
        <v>0.6</v>
      </c>
    </row>
    <row r="137" spans="1:20" x14ac:dyDescent="0.25">
      <c r="A137" s="14" t="s">
        <v>291</v>
      </c>
      <c r="F137" s="21">
        <v>3714113.2025884609</v>
      </c>
      <c r="J137" t="str">
        <f t="shared" si="52"/>
        <v>Manure management</v>
      </c>
      <c r="K137" t="str">
        <f t="shared" si="53"/>
        <v>CH4</v>
      </c>
      <c r="L137" s="21">
        <v>2.35E-2</v>
      </c>
      <c r="M137" t="s">
        <v>144</v>
      </c>
      <c r="N137" s="22">
        <f t="shared" si="56"/>
        <v>2.35E-2</v>
      </c>
      <c r="P137" t="str">
        <f t="shared" si="54"/>
        <v>Manure management</v>
      </c>
      <c r="Q137" t="str">
        <f t="shared" si="55"/>
        <v>N2O</v>
      </c>
      <c r="R137" s="21">
        <v>0.7</v>
      </c>
      <c r="S137" t="s">
        <v>311</v>
      </c>
      <c r="T137" s="22">
        <f t="shared" si="57"/>
        <v>0.7</v>
      </c>
    </row>
    <row r="138" spans="1:20" x14ac:dyDescent="0.25">
      <c r="A138" s="14" t="s">
        <v>292</v>
      </c>
      <c r="F138" s="21">
        <v>969824.57105648029</v>
      </c>
      <c r="J138" t="str">
        <f t="shared" si="52"/>
        <v>Manure management</v>
      </c>
      <c r="K138" t="str">
        <f t="shared" si="53"/>
        <v>CH4</v>
      </c>
      <c r="L138" s="21">
        <v>2.35E-2</v>
      </c>
      <c r="M138" t="s">
        <v>144</v>
      </c>
      <c r="N138" s="22">
        <f t="shared" si="56"/>
        <v>2.35E-2</v>
      </c>
      <c r="P138" t="str">
        <f t="shared" si="54"/>
        <v>Manure management</v>
      </c>
      <c r="Q138" t="str">
        <f t="shared" si="55"/>
        <v>N2O</v>
      </c>
      <c r="R138" s="21">
        <v>0.6</v>
      </c>
      <c r="S138" t="s">
        <v>311</v>
      </c>
      <c r="T138" s="22">
        <f t="shared" si="57"/>
        <v>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V188"/>
  <sheetViews>
    <sheetView workbookViewId="0">
      <pane ySplit="3" topLeftCell="A138" activePane="bottomLeft" state="frozen"/>
      <selection activeCell="D1" sqref="D1"/>
      <selection pane="bottomLeft" activeCell="D156" sqref="D156"/>
    </sheetView>
  </sheetViews>
  <sheetFormatPr defaultRowHeight="15" x14ac:dyDescent="0.25"/>
  <cols>
    <col min="1" max="1" width="15.42578125" customWidth="1"/>
    <col min="2" max="2" width="31" customWidth="1"/>
    <col min="3" max="3" width="27.7109375" customWidth="1"/>
    <col min="4" max="4" width="48.42578125" customWidth="1"/>
    <col min="5" max="5" width="33.28515625" customWidth="1"/>
    <col min="6" max="6" width="7.5703125" customWidth="1"/>
    <col min="7" max="7" width="14" customWidth="1"/>
    <col min="8" max="35" width="9.7109375" customWidth="1"/>
    <col min="36" max="36" width="9.5703125" customWidth="1"/>
    <col min="51" max="52" width="9.42578125" customWidth="1"/>
    <col min="53" max="53" width="9.7109375" customWidth="1"/>
  </cols>
  <sheetData>
    <row r="1" spans="1:74" ht="18.75" x14ac:dyDescent="0.3">
      <c r="A1" s="1" t="s">
        <v>664</v>
      </c>
    </row>
    <row r="3" spans="1:74" s="19" customFormat="1" ht="15.75" x14ac:dyDescent="0.25">
      <c r="A3" s="17" t="s">
        <v>4</v>
      </c>
      <c r="B3" s="17" t="s">
        <v>313</v>
      </c>
      <c r="C3" s="17" t="s">
        <v>315</v>
      </c>
      <c r="D3" s="17" t="s">
        <v>149</v>
      </c>
      <c r="E3" s="17" t="s">
        <v>150</v>
      </c>
      <c r="F3" s="17" t="s">
        <v>5</v>
      </c>
      <c r="G3" s="17" t="s">
        <v>0</v>
      </c>
      <c r="H3" s="17">
        <v>1990</v>
      </c>
      <c r="I3" s="17">
        <v>1991</v>
      </c>
      <c r="J3" s="17">
        <v>1992</v>
      </c>
      <c r="K3" s="17">
        <v>1993</v>
      </c>
      <c r="L3" s="17">
        <v>1994</v>
      </c>
      <c r="M3" s="17">
        <v>1995</v>
      </c>
      <c r="N3" s="17">
        <v>1996</v>
      </c>
      <c r="O3" s="17">
        <v>1997</v>
      </c>
      <c r="P3" s="17">
        <v>1998</v>
      </c>
      <c r="Q3" s="17">
        <v>1999</v>
      </c>
      <c r="R3" s="17">
        <v>2000</v>
      </c>
      <c r="S3" s="17">
        <v>2001</v>
      </c>
      <c r="T3" s="17">
        <v>2002</v>
      </c>
      <c r="U3" s="17">
        <v>2003</v>
      </c>
      <c r="V3" s="17">
        <v>2004</v>
      </c>
      <c r="W3" s="17">
        <v>2005</v>
      </c>
      <c r="X3" s="17">
        <v>2006</v>
      </c>
      <c r="Y3" s="17">
        <v>2007</v>
      </c>
      <c r="Z3" s="17">
        <v>2008</v>
      </c>
      <c r="AA3" s="17">
        <v>2009</v>
      </c>
      <c r="AB3" s="17">
        <v>2010</v>
      </c>
      <c r="AC3" s="17">
        <v>2011</v>
      </c>
      <c r="AD3" s="17">
        <v>2012</v>
      </c>
      <c r="AE3" s="17">
        <v>2013</v>
      </c>
      <c r="AF3" s="17">
        <v>2014</v>
      </c>
      <c r="AG3" s="17">
        <v>2015</v>
      </c>
      <c r="AH3" s="17">
        <v>2016</v>
      </c>
      <c r="AI3" s="17">
        <v>2017</v>
      </c>
      <c r="AJ3" s="17">
        <v>2018</v>
      </c>
      <c r="AK3" s="17">
        <v>2019</v>
      </c>
      <c r="AL3" s="17">
        <v>2020</v>
      </c>
      <c r="AM3" s="17">
        <v>2021</v>
      </c>
      <c r="AN3" s="17">
        <v>2022</v>
      </c>
      <c r="AO3" s="17">
        <v>2023</v>
      </c>
      <c r="AP3" s="17">
        <v>2024</v>
      </c>
      <c r="AQ3" s="17">
        <v>2025</v>
      </c>
      <c r="AR3" s="17">
        <v>2026</v>
      </c>
      <c r="AS3" s="17">
        <v>2027</v>
      </c>
      <c r="AT3" s="17">
        <v>2028</v>
      </c>
      <c r="AU3" s="17">
        <v>2029</v>
      </c>
      <c r="AV3" s="17">
        <v>2030</v>
      </c>
      <c r="AW3" s="17">
        <v>2031</v>
      </c>
      <c r="AX3" s="17">
        <v>2032</v>
      </c>
      <c r="AY3" s="17">
        <v>2033</v>
      </c>
      <c r="AZ3" s="17">
        <v>2034</v>
      </c>
      <c r="BA3" s="17">
        <v>2035</v>
      </c>
      <c r="BB3" s="17">
        <v>2036</v>
      </c>
      <c r="BC3" s="17">
        <v>2037</v>
      </c>
      <c r="BD3" s="17">
        <v>2038</v>
      </c>
      <c r="BE3" s="17">
        <v>2039</v>
      </c>
      <c r="BF3" s="17">
        <v>2040</v>
      </c>
      <c r="BG3" s="17">
        <v>2041</v>
      </c>
      <c r="BH3" s="17">
        <v>2042</v>
      </c>
      <c r="BI3" s="17">
        <v>2043</v>
      </c>
      <c r="BJ3" s="17">
        <v>2044</v>
      </c>
      <c r="BK3" s="17">
        <v>2045</v>
      </c>
      <c r="BL3" s="17">
        <v>2046</v>
      </c>
      <c r="BM3" s="17">
        <v>2047</v>
      </c>
      <c r="BN3" s="17">
        <v>2048</v>
      </c>
      <c r="BO3" s="17">
        <v>2049</v>
      </c>
      <c r="BP3" s="17">
        <v>2050</v>
      </c>
      <c r="BQ3" s="17"/>
      <c r="BR3" s="17"/>
      <c r="BS3" s="17"/>
      <c r="BT3" s="17"/>
      <c r="BU3" s="17"/>
      <c r="BV3" s="17"/>
    </row>
    <row r="4" spans="1:74" x14ac:dyDescent="0.25">
      <c r="A4" t="str">
        <f>'IPCC Categories'!A5</f>
        <v>3A Livestock</v>
      </c>
      <c r="B4" t="str">
        <f>'IPCC Categories'!B5</f>
        <v>3A1 Enteric fermentation (CH4)</v>
      </c>
      <c r="C4" t="str">
        <f>EF!C4</f>
        <v>3A1ai Dairy cattle</v>
      </c>
      <c r="D4" t="str">
        <f>EF!D4</f>
        <v>TMR</v>
      </c>
      <c r="E4" t="str">
        <f>'IPCC Categories'!F5&amp;" Emissions"</f>
        <v>Enteric fermentation Emissions</v>
      </c>
      <c r="F4" t="s">
        <v>121</v>
      </c>
      <c r="G4" t="s">
        <v>286</v>
      </c>
      <c r="H4" s="28">
        <f>IF(('Activity data'!H5*EF!$H4)*kgtoGg=0,"NO",('Activity data'!H5*EF!$H4)*kgtoGg)</f>
        <v>59.718917014778661</v>
      </c>
      <c r="I4" s="28">
        <f>IF(('Activity data'!I5*EF!$H4)*kgtoGg=0,"NO",('Activity data'!I5*EF!$H4)*kgtoGg)</f>
        <v>68.751985275543859</v>
      </c>
      <c r="J4" s="28">
        <f>IF(('Activity data'!J5*EF!$H4)*kgtoGg=0,"NO",('Activity data'!J5*EF!$H4)*kgtoGg)</f>
        <v>59.479363059114746</v>
      </c>
      <c r="K4" s="28">
        <f>IF(('Activity data'!K5*EF!$H4)*kgtoGg=0,"NO",('Activity data'!K5*EF!$H4)*kgtoGg)</f>
        <v>63.083438863990956</v>
      </c>
      <c r="L4" s="28">
        <f>IF(('Activity data'!L5*EF!$H4)*kgtoGg=0,"NO",('Activity data'!L5*EF!$H4)*kgtoGg)</f>
        <v>58.521147236459079</v>
      </c>
      <c r="M4" s="28">
        <f>IF(('Activity data'!M5*EF!$H4)*kgtoGg=0,"NO",('Activity data'!M5*EF!$H4)*kgtoGg)</f>
        <v>62.604330952663126</v>
      </c>
      <c r="N4" s="28">
        <f>IF(('Activity data'!N5*EF!$H4)*kgtoGg=0,"NO",('Activity data'!N5*EF!$H4)*kgtoGg)</f>
        <v>62.843884908327048</v>
      </c>
      <c r="O4" s="28">
        <f>IF(('Activity data'!O5*EF!$H4)*kgtoGg=0,"NO",('Activity data'!O5*EF!$H4)*kgtoGg)</f>
        <v>60.585617843135758</v>
      </c>
      <c r="P4" s="28">
        <f>IF(('Activity data'!P5*EF!$H4)*kgtoGg=0,"NO",('Activity data'!P5*EF!$H4)*kgtoGg)</f>
        <v>59.866955976144006</v>
      </c>
      <c r="Q4" s="28">
        <f>IF(('Activity data'!Q5*EF!$H4)*kgtoGg=0,"NO",('Activity data'!Q5*EF!$H4)*kgtoGg)</f>
        <v>58.80645868927229</v>
      </c>
      <c r="R4" s="28">
        <f>IF(('Activity data'!R5*EF!$H4)*kgtoGg=0,"NO",('Activity data'!R5*EF!$H4)*kgtoGg)</f>
        <v>75.720582929632371</v>
      </c>
      <c r="S4" s="28">
        <f>IF(('Activity data'!S5*EF!$H4)*kgtoGg=0,"NO",('Activity data'!S5*EF!$H4)*kgtoGg)</f>
        <v>75.481028973968449</v>
      </c>
      <c r="T4" s="28">
        <f>IF(('Activity data'!T5*EF!$H4)*kgtoGg=0,"NO",('Activity data'!T5*EF!$H4)*kgtoGg)</f>
        <v>65.820813840510098</v>
      </c>
      <c r="U4" s="28">
        <f>IF(('Activity data'!U5*EF!$H4)*kgtoGg=0,"NO",('Activity data'!U5*EF!$H4)*kgtoGg)</f>
        <v>59.866955976144006</v>
      </c>
      <c r="V4" s="28">
        <f>IF(('Activity data'!V5*EF!$H4)*kgtoGg=0,"NO",('Activity data'!V5*EF!$H4)*kgtoGg)</f>
        <v>57.802485369467341</v>
      </c>
      <c r="W4" s="28">
        <f>IF(('Activity data'!W5*EF!$H4)*kgtoGg=0,"NO",('Activity data'!W5*EF!$H4)*kgtoGg)</f>
        <v>61.885669085671374</v>
      </c>
      <c r="X4" s="28">
        <f>IF(('Activity data'!X5*EF!$H4)*kgtoGg=0,"NO",('Activity data'!X5*EF!$H4)*kgtoGg)</f>
        <v>60.539860345986469</v>
      </c>
      <c r="Y4" s="28">
        <f>IF(('Activity data'!Y5*EF!$H4)*kgtoGg=0,"NO",('Activity data'!Y5*EF!$H4)*kgtoGg)</f>
        <v>60.106509931807928</v>
      </c>
      <c r="Z4" s="28">
        <f>IF(('Activity data'!Z5*EF!$H4)*kgtoGg=0,"NO",('Activity data'!Z5*EF!$H4)*kgtoGg)</f>
        <v>73.610354825806411</v>
      </c>
      <c r="AA4" s="28">
        <f>IF(('Activity data'!AA5*EF!$H4)*kgtoGg=0,"NO",('Activity data'!AA5*EF!$H4)*kgtoGg)</f>
        <v>75.435271476819167</v>
      </c>
      <c r="AB4" s="28">
        <f>IF(('Activity data'!AB5*EF!$H4)*kgtoGg=0,"NO",('Activity data'!AB5*EF!$H4)*kgtoGg)</f>
        <v>75.435271476819167</v>
      </c>
      <c r="AC4" s="28">
        <f>IF(('Activity data'!AC5*EF!$H4)*kgtoGg=0,"NO",('Activity data'!AC5*EF!$H4)*kgtoGg)</f>
        <v>72.697896500300033</v>
      </c>
      <c r="AD4" s="28">
        <f>IF(('Activity data'!AD5*EF!$H4)*kgtoGg=0,"NO",('Activity data'!AD5*EF!$H4)*kgtoGg)</f>
        <v>72.344514345041233</v>
      </c>
      <c r="AE4" s="28">
        <f>IF(('Activity data'!AE5*EF!$H4)*kgtoGg=0,"NO",('Activity data'!AE5*EF!$H4)*kgtoGg)</f>
        <v>73.029277427542624</v>
      </c>
      <c r="AF4" s="28">
        <f>IF(('Activity data'!AF5*EF!$H4)*kgtoGg=0,"NO",('Activity data'!AF5*EF!$H4)*kgtoGg)</f>
        <v>73.551938091936009</v>
      </c>
      <c r="AG4" s="28">
        <f>IF(('Activity data'!AG5*EF!$H4)*kgtoGg=0,"NO",('Activity data'!AG5*EF!$H4)*kgtoGg)</f>
        <v>73.905368263592706</v>
      </c>
      <c r="AH4" s="28">
        <f>IF(('Activity data'!AH5*EF!$H4)*kgtoGg=0,"NO",('Activity data'!AH5*EF!$H4)*kgtoGg)</f>
        <v>74.120996067984592</v>
      </c>
      <c r="AI4" s="28">
        <f>IF(('Activity data'!AI5*EF!$H4)*kgtoGg=0,"NO",('Activity data'!AI5*EF!$H4)*kgtoGg)</f>
        <v>74.454484542383895</v>
      </c>
      <c r="AJ4" s="28">
        <f>IF(('Activity data'!AJ5*EF!$H4)*kgtoGg=0,"NO",('Activity data'!AJ5*EF!$H4)*kgtoGg)</f>
        <v>74.740144224877923</v>
      </c>
      <c r="AK4" s="28">
        <f>IF(('Activity data'!AK5*EF!$H4)*kgtoGg=0,"NO",('Activity data'!AK5*EF!$H4)*kgtoGg)</f>
        <v>74.980970361549325</v>
      </c>
      <c r="AL4" s="28">
        <f>IF(('Activity data'!AL5*EF!$H4)*kgtoGg=0,"NO",('Activity data'!AL5*EF!$H4)*kgtoGg)</f>
        <v>72.618251781425002</v>
      </c>
      <c r="AM4" s="28">
        <f>IF(('Activity data'!AM5*EF!$H4)*kgtoGg=0,"NO",('Activity data'!AM5*EF!$H4)*kgtoGg)</f>
        <v>73.259372030379282</v>
      </c>
      <c r="AN4" s="28">
        <f>IF(('Activity data'!AN5*EF!$H4)*kgtoGg=0,"NO",('Activity data'!AN5*EF!$H4)*kgtoGg)</f>
        <v>73.868779166258065</v>
      </c>
      <c r="AO4" s="28">
        <f>IF(('Activity data'!AO5*EF!$H4)*kgtoGg=0,"NO",('Activity data'!AO5*EF!$H4)*kgtoGg)</f>
        <v>74.480253001482325</v>
      </c>
      <c r="AP4" s="28">
        <f>IF(('Activity data'!AP5*EF!$H4)*kgtoGg=0,"NO",('Activity data'!AP5*EF!$H4)*kgtoGg)</f>
        <v>75.065162792312506</v>
      </c>
      <c r="AQ4" s="28">
        <f>IF(('Activity data'!AQ5*EF!$H4)*kgtoGg=0,"NO",('Activity data'!AQ5*EF!$H4)*kgtoGg)</f>
        <v>75.672942577268756</v>
      </c>
      <c r="AR4" s="28">
        <f>IF(('Activity data'!AR5*EF!$H4)*kgtoGg=0,"NO",('Activity data'!AR5*EF!$H4)*kgtoGg)</f>
        <v>76.392725797235727</v>
      </c>
      <c r="AS4" s="28">
        <f>IF(('Activity data'!AS5*EF!$H4)*kgtoGg=0,"NO",('Activity data'!AS5*EF!$H4)*kgtoGg)</f>
        <v>77.100249150410633</v>
      </c>
      <c r="AT4" s="28">
        <f>IF(('Activity data'!AT5*EF!$H4)*kgtoGg=0,"NO",('Activity data'!AT5*EF!$H4)*kgtoGg)</f>
        <v>77.836665993713694</v>
      </c>
      <c r="AU4" s="28">
        <f>IF(('Activity data'!AU5*EF!$H4)*kgtoGg=0,"NO",('Activity data'!AU5*EF!$H4)*kgtoGg)</f>
        <v>78.592324986806361</v>
      </c>
      <c r="AV4" s="28">
        <f>IF(('Activity data'!AV5*EF!$H4)*kgtoGg=0,"NO",('Activity data'!AV5*EF!$H4)*kgtoGg)</f>
        <v>79.368791512551866</v>
      </c>
      <c r="AW4" s="28">
        <f>IF(('Activity data'!AW5*EF!$H4)*kgtoGg=0,"NO",('Activity data'!AW5*EF!$H4)*kgtoGg)</f>
        <v>80.293839462828174</v>
      </c>
      <c r="AX4" s="28">
        <f>IF(('Activity data'!AX5*EF!$H4)*kgtoGg=0,"NO",('Activity data'!AX5*EF!$H4)*kgtoGg)</f>
        <v>81.165381385237183</v>
      </c>
      <c r="AY4" s="28">
        <f>IF(('Activity data'!AY5*EF!$H4)*kgtoGg=0,"NO",('Activity data'!AY5*EF!$H4)*kgtoGg)</f>
        <v>82.122176255719495</v>
      </c>
      <c r="AZ4" s="28">
        <f>IF(('Activity data'!AZ5*EF!$H4)*kgtoGg=0,"NO",('Activity data'!AZ5*EF!$H4)*kgtoGg)</f>
        <v>83.131967650204984</v>
      </c>
      <c r="BA4" s="28">
        <f>IF(('Activity data'!BA5*EF!$H4)*kgtoGg=0,"NO",('Activity data'!BA5*EF!$H4)*kgtoGg)</f>
        <v>84.195230118165497</v>
      </c>
      <c r="BB4" s="28">
        <f>IF(('Activity data'!BB5*EF!$H4)*kgtoGg=0,"NO",('Activity data'!BB5*EF!$H4)*kgtoGg)</f>
        <v>85.274513032534671</v>
      </c>
      <c r="BC4" s="28">
        <f>IF(('Activity data'!BC5*EF!$H4)*kgtoGg=0,"NO",('Activity data'!BC5*EF!$H4)*kgtoGg)</f>
        <v>86.383127150395779</v>
      </c>
      <c r="BD4" s="28">
        <f>IF(('Activity data'!BD5*EF!$H4)*kgtoGg=0,"NO",('Activity data'!BD5*EF!$H4)*kgtoGg)</f>
        <v>87.492322469711269</v>
      </c>
      <c r="BE4" s="28">
        <f>IF(('Activity data'!BE5*EF!$H4)*kgtoGg=0,"NO",('Activity data'!BE5*EF!$H4)*kgtoGg)</f>
        <v>88.629051962551301</v>
      </c>
      <c r="BF4" s="28">
        <f>IF(('Activity data'!BF5*EF!$H4)*kgtoGg=0,"NO",('Activity data'!BF5*EF!$H4)*kgtoGg)</f>
        <v>89.815015111177303</v>
      </c>
      <c r="BG4" s="28">
        <f>IF(('Activity data'!BG5*EF!$H4)*kgtoGg=0,"NO",('Activity data'!BG5*EF!$H4)*kgtoGg)</f>
        <v>91.037416076272663</v>
      </c>
      <c r="BH4" s="28">
        <f>IF(('Activity data'!BH5*EF!$H4)*kgtoGg=0,"NO",('Activity data'!BH5*EF!$H4)*kgtoGg)</f>
        <v>92.291408972221575</v>
      </c>
      <c r="BI4" s="28">
        <f>IF(('Activity data'!BI5*EF!$H4)*kgtoGg=0,"NO",('Activity data'!BI5*EF!$H4)*kgtoGg)</f>
        <v>93.572478442383982</v>
      </c>
      <c r="BJ4" s="28">
        <f>IF(('Activity data'!BJ5*EF!$H4)*kgtoGg=0,"NO",('Activity data'!BJ5*EF!$H4)*kgtoGg)</f>
        <v>94.885457154061271</v>
      </c>
      <c r="BK4" s="28">
        <f>IF(('Activity data'!BK5*EF!$H4)*kgtoGg=0,"NO",('Activity data'!BK5*EF!$H4)*kgtoGg)</f>
        <v>96.253310153361738</v>
      </c>
      <c r="BL4" s="28">
        <f>IF(('Activity data'!BL5*EF!$H4)*kgtoGg=0,"NO",('Activity data'!BL5*EF!$H4)*kgtoGg)</f>
        <v>97.657739914515574</v>
      </c>
      <c r="BM4" s="28">
        <f>IF(('Activity data'!BM5*EF!$H4)*kgtoGg=0,"NO",('Activity data'!BM5*EF!$H4)*kgtoGg)</f>
        <v>99.100232437864321</v>
      </c>
      <c r="BN4" s="28">
        <f>IF(('Activity data'!BN5*EF!$H4)*kgtoGg=0,"NO",('Activity data'!BN5*EF!$H4)*kgtoGg)</f>
        <v>100.53412904240855</v>
      </c>
      <c r="BO4" s="28">
        <f>IF(('Activity data'!BO5*EF!$H4)*kgtoGg=0,"NO",('Activity data'!BO5*EF!$H4)*kgtoGg)</f>
        <v>102.00824621714116</v>
      </c>
      <c r="BP4" s="28">
        <f>IF(('Activity data'!BP5*EF!$H4)*kgtoGg=0,"NO",('Activity data'!BP5*EF!$H4)*kgtoGg)</f>
        <v>103.52484513794629</v>
      </c>
    </row>
    <row r="5" spans="1:74" x14ac:dyDescent="0.25">
      <c r="A5" t="str">
        <f>A4</f>
        <v>3A Livestock</v>
      </c>
      <c r="B5" t="str">
        <f>B4</f>
        <v>3A1 Enteric fermentation (CH4)</v>
      </c>
      <c r="C5" t="str">
        <f>EF!C5</f>
        <v>3A1ai Dairy cattle</v>
      </c>
      <c r="D5" t="str">
        <f>EF!D5</f>
        <v>Pasture</v>
      </c>
      <c r="E5" t="str">
        <f t="shared" ref="E5:G6" si="0">E4</f>
        <v>Enteric fermentation Emissions</v>
      </c>
      <c r="F5" t="str">
        <f t="shared" si="0"/>
        <v>CH4</v>
      </c>
      <c r="G5" t="str">
        <f t="shared" si="0"/>
        <v>Gg CH4</v>
      </c>
      <c r="H5" s="28">
        <f>IF(('Activity data'!H6*EF!$H5)*kgtoGg=0,"NO",('Activity data'!H6*EF!$H5)*kgtoGg)</f>
        <v>47.244302499713584</v>
      </c>
      <c r="I5" s="28">
        <f>IF(('Activity data'!I6*EF!$H5)*kgtoGg=0,"NO",('Activity data'!I6*EF!$H5)*kgtoGg)</f>
        <v>54.390463728768381</v>
      </c>
      <c r="J5" s="28">
        <f>IF(('Activity data'!J6*EF!$H5)*kgtoGg=0,"NO",('Activity data'!J6*EF!$H5)*kgtoGg)</f>
        <v>47.054788688811946</v>
      </c>
      <c r="K5" s="28">
        <f>IF(('Activity data'!K6*EF!$H5)*kgtoGg=0,"NO",('Activity data'!K6*EF!$H5)*kgtoGg)</f>
        <v>49.90601332698369</v>
      </c>
      <c r="L5" s="28">
        <f>IF(('Activity data'!L6*EF!$H5)*kgtoGg=0,"NO",('Activity data'!L6*EF!$H5)*kgtoGg)</f>
        <v>46.296733445205426</v>
      </c>
      <c r="M5" s="28">
        <f>IF(('Activity data'!M6*EF!$H5)*kgtoGg=0,"NO",('Activity data'!M6*EF!$H5)*kgtoGg)</f>
        <v>49.526985705180429</v>
      </c>
      <c r="N5" s="28">
        <f>IF(('Activity data'!N6*EF!$H5)*kgtoGg=0,"NO",('Activity data'!N6*EF!$H5)*kgtoGg)</f>
        <v>49.71649951608206</v>
      </c>
      <c r="O5" s="28">
        <f>IF(('Activity data'!O6*EF!$H5)*kgtoGg=0,"NO",('Activity data'!O6*EF!$H5)*kgtoGg)</f>
        <v>47.929959208818367</v>
      </c>
      <c r="P5" s="28">
        <f>IF(('Activity data'!P6*EF!$H5)*kgtoGg=0,"NO",('Activity data'!P6*EF!$H5)*kgtoGg)</f>
        <v>47.36141777611347</v>
      </c>
      <c r="Q5" s="28">
        <f>IF(('Activity data'!Q6*EF!$H5)*kgtoGg=0,"NO",('Activity data'!Q6*EF!$H5)*kgtoGg)</f>
        <v>46.522446523357921</v>
      </c>
      <c r="R5" s="28">
        <f>IF(('Activity data'!R6*EF!$H5)*kgtoGg=0,"NO",('Activity data'!R6*EF!$H5)*kgtoGg)</f>
        <v>59.903399194210245</v>
      </c>
      <c r="S5" s="28">
        <f>IF(('Activity data'!S6*EF!$H5)*kgtoGg=0,"NO",('Activity data'!S6*EF!$H5)*kgtoGg)</f>
        <v>59.713885383308607</v>
      </c>
      <c r="T5" s="28">
        <f>IF(('Activity data'!T6*EF!$H5)*kgtoGg=0,"NO",('Activity data'!T6*EF!$H5)*kgtoGg)</f>
        <v>52.071581256050649</v>
      </c>
      <c r="U5" s="28">
        <f>IF(('Activity data'!U6*EF!$H5)*kgtoGg=0,"NO",('Activity data'!U6*EF!$H5)*kgtoGg)</f>
        <v>47.36141777611347</v>
      </c>
      <c r="V5" s="28">
        <f>IF(('Activity data'!V6*EF!$H5)*kgtoGg=0,"NO",('Activity data'!V6*EF!$H5)*kgtoGg)</f>
        <v>45.728192012500521</v>
      </c>
      <c r="W5" s="28">
        <f>IF(('Activity data'!W6*EF!$H5)*kgtoGg=0,"NO",('Activity data'!W6*EF!$H5)*kgtoGg)</f>
        <v>48.958444272475539</v>
      </c>
      <c r="X5" s="28">
        <f>IF(('Activity data'!X6*EF!$H5)*kgtoGg=0,"NO",('Activity data'!X6*EF!$H5)*kgtoGg)</f>
        <v>47.893759941567488</v>
      </c>
      <c r="Y5" s="28">
        <f>IF(('Activity data'!Y6*EF!$H5)*kgtoGg=0,"NO",('Activity data'!Y6*EF!$H5)*kgtoGg)</f>
        <v>47.550931587015107</v>
      </c>
      <c r="Z5" s="28">
        <f>IF(('Activity data'!Z6*EF!$H5)*kgtoGg=0,"NO",('Activity data'!Z6*EF!$H5)*kgtoGg)</f>
        <v>58.233974163346424</v>
      </c>
      <c r="AA5" s="28">
        <f>IF(('Activity data'!AA6*EF!$H5)*kgtoGg=0,"NO",('Activity data'!AA6*EF!$H5)*kgtoGg)</f>
        <v>59.677686116057721</v>
      </c>
      <c r="AB5" s="28">
        <f>IF(('Activity data'!AB6*EF!$H5)*kgtoGg=0,"NO",('Activity data'!AB6*EF!$H5)*kgtoGg)</f>
        <v>59.677686116057721</v>
      </c>
      <c r="AC5" s="28">
        <f>IF(('Activity data'!AC6*EF!$H5)*kgtoGg=0,"NO",('Activity data'!AC6*EF!$H5)*kgtoGg)</f>
        <v>57.512118186990755</v>
      </c>
      <c r="AD5" s="28">
        <f>IF(('Activity data'!AD6*EF!$H5)*kgtoGg=0,"NO",('Activity data'!AD6*EF!$H5)*kgtoGg)</f>
        <v>57.136793626250608</v>
      </c>
      <c r="AE5" s="28">
        <f>IF(('Activity data'!AE6*EF!$H5)*kgtoGg=0,"NO",('Activity data'!AE6*EF!$H5)*kgtoGg)</f>
        <v>57.677610954032403</v>
      </c>
      <c r="AF5" s="28">
        <f>IF(('Activity data'!AF6*EF!$H5)*kgtoGg=0,"NO",('Activity data'!AF6*EF!$H5)*kgtoGg)</f>
        <v>58.090401817145718</v>
      </c>
      <c r="AG5" s="28">
        <f>IF(('Activity data'!AG6*EF!$H5)*kgtoGg=0,"NO",('Activity data'!AG6*EF!$H5)*kgtoGg)</f>
        <v>58.369536551300236</v>
      </c>
      <c r="AH5" s="28">
        <f>IF(('Activity data'!AH6*EF!$H5)*kgtoGg=0,"NO",('Activity data'!AH6*EF!$H5)*kgtoGg)</f>
        <v>58.539836697360506</v>
      </c>
      <c r="AI5" s="28">
        <f>IF(('Activity data'!AI6*EF!$H5)*kgtoGg=0,"NO",('Activity data'!AI6*EF!$H5)*kgtoGg)</f>
        <v>58.803221728153673</v>
      </c>
      <c r="AJ5" s="28">
        <f>IF(('Activity data'!AJ6*EF!$H5)*kgtoGg=0,"NO",('Activity data'!AJ6*EF!$H5)*kgtoGg)</f>
        <v>59.028832176627446</v>
      </c>
      <c r="AK5" s="28">
        <f>IF(('Activity data'!AK6*EF!$H5)*kgtoGg=0,"NO",('Activity data'!AK6*EF!$H5)*kgtoGg)</f>
        <v>59.219033650718124</v>
      </c>
      <c r="AL5" s="28">
        <f>IF(('Activity data'!AL6*EF!$H5)*kgtoGg=0,"NO",('Activity data'!AL6*EF!$H5)*kgtoGg)</f>
        <v>57.352988033691652</v>
      </c>
      <c r="AM5" s="28">
        <f>IF(('Activity data'!AM6*EF!$H5)*kgtoGg=0,"NO",('Activity data'!AM6*EF!$H5)*kgtoGg)</f>
        <v>57.859336796769952</v>
      </c>
      <c r="AN5" s="28">
        <f>IF(('Activity data'!AN6*EF!$H5)*kgtoGg=0,"NO",('Activity data'!AN6*EF!$H5)*kgtoGg)</f>
        <v>58.34063893933466</v>
      </c>
      <c r="AO5" s="28">
        <f>IF(('Activity data'!AO6*EF!$H5)*kgtoGg=0,"NO",('Activity data'!AO6*EF!$H5)*kgtoGg)</f>
        <v>58.823573335223017</v>
      </c>
      <c r="AP5" s="28">
        <f>IF(('Activity data'!AP6*EF!$H5)*kgtoGg=0,"NO",('Activity data'!AP6*EF!$H5)*kgtoGg)</f>
        <v>59.28552778071483</v>
      </c>
      <c r="AQ5" s="28">
        <f>IF(('Activity data'!AQ6*EF!$H5)*kgtoGg=0,"NO",('Activity data'!AQ6*EF!$H5)*kgtoGg)</f>
        <v>59.765544661851479</v>
      </c>
      <c r="AR5" s="28">
        <f>IF(('Activity data'!AR6*EF!$H5)*kgtoGg=0,"NO",('Activity data'!AR6*EF!$H5)*kgtoGg)</f>
        <v>60.334020456695356</v>
      </c>
      <c r="AS5" s="28">
        <f>IF(('Activity data'!AS6*EF!$H5)*kgtoGg=0,"NO",('Activity data'!AS6*EF!$H5)*kgtoGg)</f>
        <v>60.892813561909946</v>
      </c>
      <c r="AT5" s="28">
        <f>IF(('Activity data'!AT6*EF!$H5)*kgtoGg=0,"NO",('Activity data'!AT6*EF!$H5)*kgtoGg)</f>
        <v>61.474426384660013</v>
      </c>
      <c r="AU5" s="28">
        <f>IF(('Activity data'!AU6*EF!$H5)*kgtoGg=0,"NO",('Activity data'!AU6*EF!$H5)*kgtoGg)</f>
        <v>62.071236416920812</v>
      </c>
      <c r="AV5" s="28">
        <f>IF(('Activity data'!AV6*EF!$H5)*kgtoGg=0,"NO",('Activity data'!AV6*EF!$H5)*kgtoGg)</f>
        <v>62.684479978521331</v>
      </c>
      <c r="AW5" s="28">
        <f>IF(('Activity data'!AW6*EF!$H5)*kgtoGg=0,"NO",('Activity data'!AW6*EF!$H5)*kgtoGg)</f>
        <v>63.415071292981452</v>
      </c>
      <c r="AX5" s="28">
        <f>IF(('Activity data'!AX6*EF!$H5)*kgtoGg=0,"NO",('Activity data'!AX6*EF!$H5)*kgtoGg)</f>
        <v>64.103404215085376</v>
      </c>
      <c r="AY5" s="28">
        <f>IF(('Activity data'!AY6*EF!$H5)*kgtoGg=0,"NO",('Activity data'!AY6*EF!$H5)*kgtoGg)</f>
        <v>64.859068850508407</v>
      </c>
      <c r="AZ5" s="28">
        <f>IF(('Activity data'!AZ6*EF!$H5)*kgtoGg=0,"NO",('Activity data'!AZ6*EF!$H5)*kgtoGg)</f>
        <v>65.656589478501061</v>
      </c>
      <c r="BA5" s="28">
        <f>IF(('Activity data'!BA6*EF!$H5)*kgtoGg=0,"NO",('Activity data'!BA6*EF!$H5)*kgtoGg)</f>
        <v>66.496340892307643</v>
      </c>
      <c r="BB5" s="28">
        <f>IF(('Activity data'!BB6*EF!$H5)*kgtoGg=0,"NO",('Activity data'!BB6*EF!$H5)*kgtoGg)</f>
        <v>67.348745054543542</v>
      </c>
      <c r="BC5" s="28">
        <f>IF(('Activity data'!BC6*EF!$H5)*kgtoGg=0,"NO",('Activity data'!BC6*EF!$H5)*kgtoGg)</f>
        <v>68.224314634861287</v>
      </c>
      <c r="BD5" s="28">
        <f>IF(('Activity data'!BD6*EF!$H5)*kgtoGg=0,"NO",('Activity data'!BD6*EF!$H5)*kgtoGg)</f>
        <v>69.100343240826717</v>
      </c>
      <c r="BE5" s="28">
        <f>IF(('Activity data'!BE6*EF!$H5)*kgtoGg=0,"NO",('Activity data'!BE6*EF!$H5)*kgtoGg)</f>
        <v>69.998117993056084</v>
      </c>
      <c r="BF5" s="28">
        <f>IF(('Activity data'!BF6*EF!$H5)*kgtoGg=0,"NO",('Activity data'!BF6*EF!$H5)*kgtoGg)</f>
        <v>70.934776871546816</v>
      </c>
      <c r="BG5" s="28">
        <f>IF(('Activity data'!BG6*EF!$H5)*kgtoGg=0,"NO",('Activity data'!BG6*EF!$H5)*kgtoGg)</f>
        <v>71.90021388226566</v>
      </c>
      <c r="BH5" s="28">
        <f>IF(('Activity data'!BH6*EF!$H5)*kgtoGg=0,"NO",('Activity data'!BH6*EF!$H5)*kgtoGg)</f>
        <v>72.89060180529313</v>
      </c>
      <c r="BI5" s="28">
        <f>IF(('Activity data'!BI6*EF!$H5)*kgtoGg=0,"NO",('Activity data'!BI6*EF!$H5)*kgtoGg)</f>
        <v>73.902374468365494</v>
      </c>
      <c r="BJ5" s="28">
        <f>IF(('Activity data'!BJ6*EF!$H5)*kgtoGg=0,"NO",('Activity data'!BJ6*EF!$H5)*kgtoGg)</f>
        <v>74.939348651742634</v>
      </c>
      <c r="BK5" s="28">
        <f>IF(('Activity data'!BK6*EF!$H5)*kgtoGg=0,"NO",('Activity data'!BK6*EF!$H5)*kgtoGg)</f>
        <v>76.019661861937507</v>
      </c>
      <c r="BL5" s="28">
        <f>IF(('Activity data'!BL6*EF!$H5)*kgtoGg=0,"NO",('Activity data'!BL6*EF!$H5)*kgtoGg)</f>
        <v>77.128862941688908</v>
      </c>
      <c r="BM5" s="28">
        <f>IF(('Activity data'!BM6*EF!$H5)*kgtoGg=0,"NO",('Activity data'!BM6*EF!$H5)*kgtoGg)</f>
        <v>78.268125515501936</v>
      </c>
      <c r="BN5" s="28">
        <f>IF(('Activity data'!BN6*EF!$H5)*kgtoGg=0,"NO",('Activity data'!BN6*EF!$H5)*kgtoGg)</f>
        <v>79.40059914003244</v>
      </c>
      <c r="BO5" s="28">
        <f>IF(('Activity data'!BO6*EF!$H5)*kgtoGg=0,"NO",('Activity data'!BO6*EF!$H5)*kgtoGg)</f>
        <v>80.564838468420177</v>
      </c>
      <c r="BP5" s="28">
        <f>IF(('Activity data'!BP6*EF!$H5)*kgtoGg=0,"NO",('Activity data'!BP6*EF!$H5)*kgtoGg)</f>
        <v>81.762629349129526</v>
      </c>
    </row>
    <row r="6" spans="1:74" x14ac:dyDescent="0.25">
      <c r="A6" t="str">
        <f t="shared" ref="A6:A53" si="1">A5</f>
        <v>3A Livestock</v>
      </c>
      <c r="B6" t="str">
        <f t="shared" ref="B6:B17" si="2">B5</f>
        <v>3A1 Enteric fermentation (CH4)</v>
      </c>
      <c r="C6" t="str">
        <f>EF!C6</f>
        <v>3A1aii Other cattle</v>
      </c>
      <c r="D6" t="str">
        <f>EF!D6</f>
        <v>Non-lactating</v>
      </c>
      <c r="E6" t="str">
        <f t="shared" si="0"/>
        <v>Enteric fermentation Emissions</v>
      </c>
      <c r="F6" t="str">
        <f t="shared" si="0"/>
        <v>CH4</v>
      </c>
      <c r="G6" t="str">
        <f t="shared" si="0"/>
        <v>Gg CH4</v>
      </c>
      <c r="H6" s="28">
        <f>IF(('Activity data'!H7*EF!$H6)*kgtoGg=0,"NO",('Activity data'!H7*EF!$H6)*kgtoGg)</f>
        <v>25.216780378245733</v>
      </c>
      <c r="I6" s="28">
        <f>IF(('Activity data'!I7*EF!$H6)*kgtoGg=0,"NO",('Activity data'!I7*EF!$H6)*kgtoGg)</f>
        <v>28.66289621274522</v>
      </c>
      <c r="J6" s="28">
        <f>IF(('Activity data'!J7*EF!$H6)*kgtoGg=0,"NO",('Activity data'!J7*EF!$H6)*kgtoGg)</f>
        <v>24.793479863671994</v>
      </c>
      <c r="K6" s="28">
        <f>IF(('Activity data'!K7*EF!$H6)*kgtoGg=0,"NO",('Activity data'!K7*EF!$H6)*kgtoGg)</f>
        <v>25.947161118330968</v>
      </c>
      <c r="L6" s="28">
        <f>IF(('Activity data'!L7*EF!$H6)*kgtoGg=0,"NO",('Activity data'!L7*EF!$H6)*kgtoGg)</f>
        <v>23.100277805377079</v>
      </c>
      <c r="M6" s="28">
        <f>IF(('Activity data'!M7*EF!$H6)*kgtoGg=0,"NO",('Activity data'!M7*EF!$H6)*kgtoGg)</f>
        <v>25.100560089183503</v>
      </c>
      <c r="N6" s="28">
        <f>IF(('Activity data'!N7*EF!$H6)*kgtoGg=0,"NO",('Activity data'!N7*EF!$H6)*kgtoGg)</f>
        <v>25.523860603757235</v>
      </c>
      <c r="O6" s="28">
        <f>IF(('Activity data'!O7*EF!$H6)*kgtoGg=0,"NO",('Activity data'!O7*EF!$H6)*kgtoGg)</f>
        <v>24.662331645132362</v>
      </c>
      <c r="P6" s="28">
        <f>IF(('Activity data'!P7*EF!$H6)*kgtoGg=0,"NO",('Activity data'!P7*EF!$H6)*kgtoGg)</f>
        <v>23.392430101411172</v>
      </c>
      <c r="Q6" s="28">
        <f>IF(('Activity data'!Q7*EF!$H6)*kgtoGg=0,"NO",('Activity data'!Q7*EF!$H6)*kgtoGg)</f>
        <v>24.647403715654953</v>
      </c>
      <c r="R6" s="28">
        <f>IF(('Activity data'!R7*EF!$H6)*kgtoGg=0,"NO",('Activity data'!R7*EF!$H6)*kgtoGg)</f>
        <v>30.546958207489421</v>
      </c>
      <c r="S6" s="28">
        <f>IF(('Activity data'!S7*EF!$H6)*kgtoGg=0,"NO",('Activity data'!S7*EF!$H6)*kgtoGg)</f>
        <v>30.123657692915693</v>
      </c>
      <c r="T6" s="28">
        <f>IF(('Activity data'!T7*EF!$H6)*kgtoGg=0,"NO",('Activity data'!T7*EF!$H6)*kgtoGg)</f>
        <v>27.655291106103299</v>
      </c>
      <c r="U6" s="28">
        <f>IF(('Activity data'!U7*EF!$H6)*kgtoGg=0,"NO",('Activity data'!U7*EF!$H6)*kgtoGg)</f>
        <v>23.392430101411172</v>
      </c>
      <c r="V6" s="28">
        <f>IF(('Activity data'!V7*EF!$H6)*kgtoGg=0,"NO",('Activity data'!V7*EF!$H6)*kgtoGg)</f>
        <v>21.830376261655886</v>
      </c>
      <c r="W6" s="28">
        <f>IF(('Activity data'!W7*EF!$H6)*kgtoGg=0,"NO",('Activity data'!W7*EF!$H6)*kgtoGg)</f>
        <v>23.830658545462317</v>
      </c>
      <c r="X6" s="28">
        <f>IF(('Activity data'!X7*EF!$H6)*kgtoGg=0,"NO",('Activity data'!X7*EF!$H6)*kgtoGg)</f>
        <v>23.53850624942822</v>
      </c>
      <c r="Y6" s="28">
        <f>IF(('Activity data'!Y7*EF!$H6)*kgtoGg=0,"NO",('Activity data'!Y7*EF!$H6)*kgtoGg)</f>
        <v>23.815730615984904</v>
      </c>
      <c r="Z6" s="28">
        <f>IF(('Activity data'!Z7*EF!$H6)*kgtoGg=0,"NO",('Activity data'!Z7*EF!$H6)*kgtoGg)</f>
        <v>27.861078972029997</v>
      </c>
      <c r="AA6" s="28">
        <f>IF(('Activity data'!AA7*EF!$H6)*kgtoGg=0,"NO",('Activity data'!AA7*EF!$H6)*kgtoGg)</f>
        <v>28.999832297211544</v>
      </c>
      <c r="AB6" s="28">
        <f>IF(('Activity data'!AB7*EF!$H6)*kgtoGg=0,"NO",('Activity data'!AB7*EF!$H6)*kgtoGg)</f>
        <v>28.999832297211544</v>
      </c>
      <c r="AC6" s="28">
        <f>IF(('Activity data'!AC7*EF!$H6)*kgtoGg=0,"NO",('Activity data'!AC7*EF!$H6)*kgtoGg)</f>
        <v>27.29170230943922</v>
      </c>
      <c r="AD6" s="28">
        <f>IF(('Activity data'!AD7*EF!$H6)*kgtoGg=0,"NO",('Activity data'!AD7*EF!$H6)*kgtoGg)</f>
        <v>27.76821639135845</v>
      </c>
      <c r="AE6" s="28">
        <f>IF(('Activity data'!AE7*EF!$H6)*kgtoGg=0,"NO",('Activity data'!AE7*EF!$H6)*kgtoGg)</f>
        <v>28.00927645801422</v>
      </c>
      <c r="AF6" s="28">
        <f>IF(('Activity data'!AF7*EF!$H6)*kgtoGg=0,"NO",('Activity data'!AF7*EF!$H6)*kgtoGg)</f>
        <v>28.193270919480771</v>
      </c>
      <c r="AG6" s="28">
        <f>IF(('Activity data'!AG7*EF!$H6)*kgtoGg=0,"NO",('Activity data'!AG7*EF!$H6)*kgtoGg)</f>
        <v>28.317690449263985</v>
      </c>
      <c r="AH6" s="28">
        <f>IF(('Activity data'!AH7*EF!$H6)*kgtoGg=0,"NO",('Activity data'!AH7*EF!$H6)*kgtoGg)</f>
        <v>28.393598824332432</v>
      </c>
      <c r="AI6" s="28">
        <f>IF(('Activity data'!AI7*EF!$H6)*kgtoGg=0,"NO",('Activity data'!AI7*EF!$H6)*kgtoGg)</f>
        <v>28.510998193430957</v>
      </c>
      <c r="AJ6" s="28">
        <f>IF(('Activity data'!AJ7*EF!$H6)*kgtoGg=0,"NO",('Activity data'!AJ7*EF!$H6)*kgtoGg)</f>
        <v>28.611560189050426</v>
      </c>
      <c r="AK6" s="28">
        <f>IF(('Activity data'!AK7*EF!$H6)*kgtoGg=0,"NO",('Activity data'!AK7*EF!$H6)*kgtoGg)</f>
        <v>28.696339240436195</v>
      </c>
      <c r="AL6" s="28">
        <f>IF(('Activity data'!AL7*EF!$H6)*kgtoGg=0,"NO",('Activity data'!AL7*EF!$H6)*kgtoGg)</f>
        <v>27.864581347862526</v>
      </c>
      <c r="AM6" s="28">
        <f>IF(('Activity data'!AM7*EF!$H6)*kgtoGg=0,"NO",('Activity data'!AM7*EF!$H6)*kgtoGg)</f>
        <v>28.090277641802224</v>
      </c>
      <c r="AN6" s="28">
        <f>IF(('Activity data'!AN7*EF!$H6)*kgtoGg=0,"NO",('Activity data'!AN7*EF!$H6)*kgtoGg)</f>
        <v>28.304809833372502</v>
      </c>
      <c r="AO6" s="28">
        <f>IF(('Activity data'!AO7*EF!$H6)*kgtoGg=0,"NO",('Activity data'!AO7*EF!$H6)*kgtoGg)</f>
        <v>28.520069573922427</v>
      </c>
      <c r="AP6" s="28">
        <f>IF(('Activity data'!AP7*EF!$H6)*kgtoGg=0,"NO",('Activity data'!AP7*EF!$H6)*kgtoGg)</f>
        <v>28.725977860698173</v>
      </c>
      <c r="AQ6" s="28">
        <f>IF(('Activity data'!AQ7*EF!$H6)*kgtoGg=0,"NO",('Activity data'!AQ7*EF!$H6)*kgtoGg)</f>
        <v>28.939937168986802</v>
      </c>
      <c r="AR6" s="28">
        <f>IF(('Activity data'!AR7*EF!$H6)*kgtoGg=0,"NO",('Activity data'!AR7*EF!$H6)*kgtoGg)</f>
        <v>29.193325523903834</v>
      </c>
      <c r="AS6" s="28">
        <f>IF(('Activity data'!AS7*EF!$H6)*kgtoGg=0,"NO",('Activity data'!AS7*EF!$H6)*kgtoGg)</f>
        <v>29.442397985657802</v>
      </c>
      <c r="AT6" s="28">
        <f>IF(('Activity data'!AT7*EF!$H6)*kgtoGg=0,"NO",('Activity data'!AT7*EF!$H6)*kgtoGg)</f>
        <v>29.701641945896718</v>
      </c>
      <c r="AU6" s="28">
        <f>IF(('Activity data'!AU7*EF!$H6)*kgtoGg=0,"NO",('Activity data'!AU7*EF!$H6)*kgtoGg)</f>
        <v>29.967659802143491</v>
      </c>
      <c r="AV6" s="28">
        <f>IF(('Activity data'!AV7*EF!$H6)*kgtoGg=0,"NO",('Activity data'!AV7*EF!$H6)*kgtoGg)</f>
        <v>30.24100262279973</v>
      </c>
      <c r="AW6" s="28">
        <f>IF(('Activity data'!AW7*EF!$H6)*kgtoGg=0,"NO",('Activity data'!AW7*EF!$H6)*kgtoGg)</f>
        <v>30.566651195644535</v>
      </c>
      <c r="AX6" s="28">
        <f>IF(('Activity data'!AX7*EF!$H6)*kgtoGg=0,"NO",('Activity data'!AX7*EF!$H6)*kgtoGg)</f>
        <v>30.873463813436018</v>
      </c>
      <c r="AY6" s="28">
        <f>IF(('Activity data'!AY7*EF!$H6)*kgtoGg=0,"NO",('Activity data'!AY7*EF!$H6)*kgtoGg)</f>
        <v>31.210288389918492</v>
      </c>
      <c r="AZ6" s="28">
        <f>IF(('Activity data'!AZ7*EF!$H6)*kgtoGg=0,"NO",('Activity data'!AZ7*EF!$H6)*kgtoGg)</f>
        <v>31.565769558637314</v>
      </c>
      <c r="BA6" s="28">
        <f>IF(('Activity data'!BA7*EF!$H6)*kgtoGg=0,"NO",('Activity data'!BA7*EF!$H6)*kgtoGg)</f>
        <v>31.94007437726577</v>
      </c>
      <c r="BB6" s="28">
        <f>IF(('Activity data'!BB7*EF!$H6)*kgtoGg=0,"NO",('Activity data'!BB7*EF!$H6)*kgtoGg)</f>
        <v>32.320018941928737</v>
      </c>
      <c r="BC6" s="28">
        <f>IF(('Activity data'!BC7*EF!$H6)*kgtoGg=0,"NO",('Activity data'!BC7*EF!$H6)*kgtoGg)</f>
        <v>32.710289095177814</v>
      </c>
      <c r="BD6" s="28">
        <f>IF(('Activity data'!BD7*EF!$H6)*kgtoGg=0,"NO",('Activity data'!BD7*EF!$H6)*kgtoGg)</f>
        <v>33.100763851252189</v>
      </c>
      <c r="BE6" s="28">
        <f>IF(('Activity data'!BE7*EF!$H6)*kgtoGg=0,"NO",('Activity data'!BE7*EF!$H6)*kgtoGg)</f>
        <v>33.500931579793601</v>
      </c>
      <c r="BF6" s="28">
        <f>IF(('Activity data'!BF7*EF!$H6)*kgtoGg=0,"NO",('Activity data'!BF7*EF!$H6)*kgtoGg)</f>
        <v>33.918431242034075</v>
      </c>
      <c r="BG6" s="28">
        <f>IF(('Activity data'!BG7*EF!$H6)*kgtoGg=0,"NO",('Activity data'!BG7*EF!$H6)*kgtoGg)</f>
        <v>34.348758264118196</v>
      </c>
      <c r="BH6" s="28">
        <f>IF(('Activity data'!BH7*EF!$H6)*kgtoGg=0,"NO",('Activity data'!BH7*EF!$H6)*kgtoGg)</f>
        <v>34.79020672827761</v>
      </c>
      <c r="BI6" s="28">
        <f>IF(('Activity data'!BI7*EF!$H6)*kgtoGg=0,"NO",('Activity data'!BI7*EF!$H6)*kgtoGg)</f>
        <v>35.241187074268147</v>
      </c>
      <c r="BJ6" s="28">
        <f>IF(('Activity data'!BJ7*EF!$H6)*kgtoGg=0,"NO",('Activity data'!BJ7*EF!$H6)*kgtoGg)</f>
        <v>35.703400566558592</v>
      </c>
      <c r="BK6" s="28">
        <f>IF(('Activity data'!BK7*EF!$H6)*kgtoGg=0,"NO",('Activity data'!BK7*EF!$H6)*kgtoGg)</f>
        <v>36.184931688216274</v>
      </c>
      <c r="BL6" s="28">
        <f>IF(('Activity data'!BL7*EF!$H6)*kgtoGg=0,"NO",('Activity data'!BL7*EF!$H6)*kgtoGg)</f>
        <v>36.679339083253382</v>
      </c>
      <c r="BM6" s="28">
        <f>IF(('Activity data'!BM7*EF!$H6)*kgtoGg=0,"NO",('Activity data'!BM7*EF!$H6)*kgtoGg)</f>
        <v>37.187145874704044</v>
      </c>
      <c r="BN6" s="28">
        <f>IF(('Activity data'!BN7*EF!$H6)*kgtoGg=0,"NO",('Activity data'!BN7*EF!$H6)*kgtoGg)</f>
        <v>37.691926608218864</v>
      </c>
      <c r="BO6" s="28">
        <f>IF(('Activity data'!BO7*EF!$H6)*kgtoGg=0,"NO",('Activity data'!BO7*EF!$H6)*kgtoGg)</f>
        <v>38.210866360492588</v>
      </c>
      <c r="BP6" s="28">
        <f>IF(('Activity data'!BP7*EF!$H6)*kgtoGg=0,"NO",('Activity data'!BP7*EF!$H6)*kgtoGg)</f>
        <v>38.744761142909702</v>
      </c>
    </row>
    <row r="7" spans="1:74" x14ac:dyDescent="0.25">
      <c r="A7" t="str">
        <f t="shared" si="1"/>
        <v>3A Livestock</v>
      </c>
      <c r="B7" t="str">
        <f t="shared" si="2"/>
        <v>3A1 Enteric fermentation (CH4)</v>
      </c>
      <c r="C7" t="str">
        <f>EF!C7</f>
        <v>3A1aii Other cattle</v>
      </c>
      <c r="D7" t="str">
        <f>EF!D7</f>
        <v>Commercial</v>
      </c>
      <c r="E7" t="str">
        <f>E5</f>
        <v>Enteric fermentation Emissions</v>
      </c>
      <c r="F7" t="str">
        <f>F5</f>
        <v>CH4</v>
      </c>
      <c r="G7" t="str">
        <f>G5</f>
        <v>Gg CH4</v>
      </c>
      <c r="H7" s="28">
        <f>IF(('Activity data'!H8*EF!$H7)*kgtoGg=0,"NO",('Activity data'!H8*EF!$H7)*kgtoGg)</f>
        <v>530.30777048487039</v>
      </c>
      <c r="I7" s="28">
        <f>IF(('Activity data'!I8*EF!$H7)*kgtoGg=0,"NO",('Activity data'!I8*EF!$H7)*kgtoGg)</f>
        <v>507.4186008397914</v>
      </c>
      <c r="J7" s="28">
        <f>IF(('Activity data'!J8*EF!$H7)*kgtoGg=0,"NO",('Activity data'!J8*EF!$H7)*kgtoGg)</f>
        <v>507.23423660631244</v>
      </c>
      <c r="K7" s="28">
        <f>IF(('Activity data'!K8*EF!$H7)*kgtoGg=0,"NO",('Activity data'!K8*EF!$H7)*kgtoGg)</f>
        <v>474.53564508710184</v>
      </c>
      <c r="L7" s="28">
        <f>IF(('Activity data'!L8*EF!$H7)*kgtoGg=0,"NO",('Activity data'!L8*EF!$H7)*kgtoGg)</f>
        <v>488.84137611527626</v>
      </c>
      <c r="M7" s="28">
        <f>IF(('Activity data'!M8*EF!$H7)*kgtoGg=0,"NO",('Activity data'!M8*EF!$H7)*kgtoGg)</f>
        <v>499.9561278787649</v>
      </c>
      <c r="N7" s="28">
        <f>IF(('Activity data'!N8*EF!$H7)*kgtoGg=0,"NO",('Activity data'!N8*EF!$H7)*kgtoGg)</f>
        <v>520.69593728290613</v>
      </c>
      <c r="O7" s="28">
        <f>IF(('Activity data'!O8*EF!$H7)*kgtoGg=0,"NO",('Activity data'!O8*EF!$H7)*kgtoGg)</f>
        <v>540.42057654067605</v>
      </c>
      <c r="P7" s="28">
        <f>IF(('Activity data'!P8*EF!$H7)*kgtoGg=0,"NO",('Activity data'!P8*EF!$H7)*kgtoGg)</f>
        <v>545.10124992819794</v>
      </c>
      <c r="Q7" s="28">
        <f>IF(('Activity data'!Q8*EF!$H7)*kgtoGg=0,"NO",('Activity data'!Q8*EF!$H7)*kgtoGg)</f>
        <v>536.28054932306088</v>
      </c>
      <c r="R7" s="28">
        <f>IF(('Activity data'!R8*EF!$H7)*kgtoGg=0,"NO",('Activity data'!R8*EF!$H7)*kgtoGg)</f>
        <v>499.85033236925801</v>
      </c>
      <c r="S7" s="28">
        <f>IF(('Activity data'!S8*EF!$H7)*kgtoGg=0,"NO",('Activity data'!S8*EF!$H7)*kgtoGg)</f>
        <v>502.44776770928382</v>
      </c>
      <c r="T7" s="28">
        <f>IF(('Activity data'!T8*EF!$H7)*kgtoGg=0,"NO",('Activity data'!T8*EF!$H7)*kgtoGg)</f>
        <v>468.28593094461399</v>
      </c>
      <c r="U7" s="28">
        <f>IF(('Activity data'!U8*EF!$H7)*kgtoGg=0,"NO",('Activity data'!U8*EF!$H7)*kgtoGg)</f>
        <v>480.5348728026691</v>
      </c>
      <c r="V7" s="28">
        <f>IF(('Activity data'!V8*EF!$H7)*kgtoGg=0,"NO",('Activity data'!V8*EF!$H7)*kgtoGg)</f>
        <v>484.96505976327012</v>
      </c>
      <c r="W7" s="28">
        <f>IF(('Activity data'!W8*EF!$H7)*kgtoGg=0,"NO",('Activity data'!W8*EF!$H7)*kgtoGg)</f>
        <v>489.07863810350864</v>
      </c>
      <c r="X7" s="28">
        <f>IF(('Activity data'!X8*EF!$H7)*kgtoGg=0,"NO",('Activity data'!X8*EF!$H7)*kgtoGg)</f>
        <v>477.93743746264329</v>
      </c>
      <c r="Y7" s="28">
        <f>IF(('Activity data'!Y8*EF!$H7)*kgtoGg=0,"NO",('Activity data'!Y8*EF!$H7)*kgtoGg)</f>
        <v>491.93978430914353</v>
      </c>
      <c r="Z7" s="28">
        <f>IF(('Activity data'!Z8*EF!$H7)*kgtoGg=0,"NO",('Activity data'!Z8*EF!$H7)*kgtoGg)</f>
        <v>478.26977927550422</v>
      </c>
      <c r="AA7" s="28">
        <f>IF(('Activity data'!AA8*EF!$H7)*kgtoGg=0,"NO",('Activity data'!AA8*EF!$H7)*kgtoGg)</f>
        <v>470.23930370767658</v>
      </c>
      <c r="AB7" s="28">
        <f>IF(('Activity data'!AB8*EF!$H7)*kgtoGg=0,"NO",('Activity data'!AB8*EF!$H7)*kgtoGg)</f>
        <v>468.76105131733328</v>
      </c>
      <c r="AC7" s="28">
        <f>IF(('Activity data'!AC8*EF!$H7)*kgtoGg=0,"NO",('Activity data'!AC8*EF!$H7)*kgtoGg)</f>
        <v>467.07782660988823</v>
      </c>
      <c r="AD7" s="28">
        <f>IF(('Activity data'!AD8*EF!$H7)*kgtoGg=0,"NO",('Activity data'!AD8*EF!$H7)*kgtoGg)</f>
        <v>463.54983755811787</v>
      </c>
      <c r="AE7" s="28">
        <f>IF(('Activity data'!AE8*EF!$H7)*kgtoGg=0,"NO",('Activity data'!AE8*EF!$H7)*kgtoGg)</f>
        <v>460.94476990092033</v>
      </c>
      <c r="AF7" s="28">
        <f>IF(('Activity data'!AF8*EF!$H7)*kgtoGg=0,"NO",('Activity data'!AF8*EF!$H7)*kgtoGg)</f>
        <v>459.10335471019948</v>
      </c>
      <c r="AG7" s="28">
        <f>IF(('Activity data'!AG8*EF!$H7)*kgtoGg=0,"NO",('Activity data'!AG8*EF!$H7)*kgtoGg)</f>
        <v>457.99421601806193</v>
      </c>
      <c r="AH7" s="28">
        <f>IF(('Activity data'!AH8*EF!$H7)*kgtoGg=0,"NO",('Activity data'!AH8*EF!$H7)*kgtoGg)</f>
        <v>457.48179535053168</v>
      </c>
      <c r="AI7" s="28">
        <f>IF(('Activity data'!AI8*EF!$H7)*kgtoGg=0,"NO",('Activity data'!AI8*EF!$H7)*kgtoGg)</f>
        <v>456.50660462867324</v>
      </c>
      <c r="AJ7" s="28">
        <f>IF(('Activity data'!AJ8*EF!$H7)*kgtoGg=0,"NO",('Activity data'!AJ8*EF!$H7)*kgtoGg)</f>
        <v>455.7318575364398</v>
      </c>
      <c r="AK7" s="28">
        <f>IF(('Activity data'!AK8*EF!$H7)*kgtoGg=0,"NO",('Activity data'!AK8*EF!$H7)*kgtoGg)</f>
        <v>455.13914579820226</v>
      </c>
      <c r="AL7" s="28">
        <f>IF(('Activity data'!AL8*EF!$H7)*kgtoGg=0,"NO",('Activity data'!AL8*EF!$H7)*kgtoGg)</f>
        <v>465.36356529265555</v>
      </c>
      <c r="AM7" s="28">
        <f>IF(('Activity data'!AM8*EF!$H7)*kgtoGg=0,"NO",('Activity data'!AM8*EF!$H7)*kgtoGg)</f>
        <v>462.91995879836634</v>
      </c>
      <c r="AN7" s="28">
        <f>IF(('Activity data'!AN8*EF!$H7)*kgtoGg=0,"NO",('Activity data'!AN8*EF!$H7)*kgtoGg)</f>
        <v>460.69666037606987</v>
      </c>
      <c r="AO7" s="28">
        <f>IF(('Activity data'!AO8*EF!$H7)*kgtoGg=0,"NO",('Activity data'!AO8*EF!$H7)*kgtoGg)</f>
        <v>458.5372997551795</v>
      </c>
      <c r="AP7" s="28">
        <f>IF(('Activity data'!AP8*EF!$H7)*kgtoGg=0,"NO",('Activity data'!AP8*EF!$H7)*kgtoGg)</f>
        <v>456.55105592051706</v>
      </c>
      <c r="AQ7" s="28">
        <f>IF(('Activity data'!AQ8*EF!$H7)*kgtoGg=0,"NO",('Activity data'!AQ8*EF!$H7)*kgtoGg)</f>
        <v>454.53510500120268</v>
      </c>
      <c r="AR7" s="28">
        <f>IF(('Activity data'!AR8*EF!$H7)*kgtoGg=0,"NO",('Activity data'!AR8*EF!$H7)*kgtoGg)</f>
        <v>452.19120347805256</v>
      </c>
      <c r="AS7" s="28">
        <f>IF(('Activity data'!AS8*EF!$H7)*kgtoGg=0,"NO",('Activity data'!AS8*EF!$H7)*kgtoGg)</f>
        <v>449.97137888469393</v>
      </c>
      <c r="AT7" s="28">
        <f>IF(('Activity data'!AT8*EF!$H7)*kgtoGg=0,"NO",('Activity data'!AT8*EF!$H7)*kgtoGg)</f>
        <v>447.72377746101142</v>
      </c>
      <c r="AU7" s="28">
        <f>IF(('Activity data'!AU8*EF!$H7)*kgtoGg=0,"NO",('Activity data'!AU8*EF!$H7)*kgtoGg)</f>
        <v>445.48578817993842</v>
      </c>
      <c r="AV7" s="28">
        <f>IF(('Activity data'!AV8*EF!$H7)*kgtoGg=0,"NO",('Activity data'!AV8*EF!$H7)*kgtoGg)</f>
        <v>443.25386642242353</v>
      </c>
      <c r="AW7" s="28">
        <f>IF(('Activity data'!AW8*EF!$H7)*kgtoGg=0,"NO",('Activity data'!AW8*EF!$H7)*kgtoGg)</f>
        <v>447.37833685141811</v>
      </c>
      <c r="AX7" s="28">
        <f>IF(('Activity data'!AX8*EF!$H7)*kgtoGg=0,"NO",('Activity data'!AX8*EF!$H7)*kgtoGg)</f>
        <v>449.33055543975024</v>
      </c>
      <c r="AY7" s="28">
        <f>IF(('Activity data'!AY8*EF!$H7)*kgtoGg=0,"NO",('Activity data'!AY8*EF!$H7)*kgtoGg)</f>
        <v>451.94825874390455</v>
      </c>
      <c r="AZ7" s="28">
        <f>IF(('Activity data'!AZ8*EF!$H7)*kgtoGg=0,"NO",('Activity data'!AZ8*EF!$H7)*kgtoGg)</f>
        <v>454.45047419508813</v>
      </c>
      <c r="BA7" s="28">
        <f>IF(('Activity data'!BA8*EF!$H7)*kgtoGg=0,"NO",('Activity data'!BA8*EF!$H7)*kgtoGg)</f>
        <v>456.74234852294995</v>
      </c>
      <c r="BB7" s="28">
        <f>IF(('Activity data'!BB8*EF!$H7)*kgtoGg=0,"NO",('Activity data'!BB8*EF!$H7)*kgtoGg)</f>
        <v>457.9896582065461</v>
      </c>
      <c r="BC7" s="28">
        <f>IF(('Activity data'!BC8*EF!$H7)*kgtoGg=0,"NO",('Activity data'!BC8*EF!$H7)*kgtoGg)</f>
        <v>458.4586187199003</v>
      </c>
      <c r="BD7" s="28">
        <f>IF(('Activity data'!BD8*EF!$H7)*kgtoGg=0,"NO",('Activity data'!BD8*EF!$H7)*kgtoGg)</f>
        <v>457.61926197918893</v>
      </c>
      <c r="BE7" s="28">
        <f>IF(('Activity data'!BE8*EF!$H7)*kgtoGg=0,"NO",('Activity data'!BE8*EF!$H7)*kgtoGg)</f>
        <v>455.89598949215707</v>
      </c>
      <c r="BF7" s="28">
        <f>IF(('Activity data'!BF8*EF!$H7)*kgtoGg=0,"NO",('Activity data'!BF8*EF!$H7)*kgtoGg)</f>
        <v>453.56344287303898</v>
      </c>
      <c r="BG7" s="28">
        <f>IF(('Activity data'!BG8*EF!$H7)*kgtoGg=0,"NO",('Activity data'!BG8*EF!$H7)*kgtoGg)</f>
        <v>455.20230079815923</v>
      </c>
      <c r="BH7" s="28">
        <f>IF(('Activity data'!BH8*EF!$H7)*kgtoGg=0,"NO",('Activity data'!BH8*EF!$H7)*kgtoGg)</f>
        <v>456.20232287842623</v>
      </c>
      <c r="BI7" s="28">
        <f>IF(('Activity data'!BI8*EF!$H7)*kgtoGg=0,"NO",('Activity data'!BI8*EF!$H7)*kgtoGg)</f>
        <v>456.45547065999136</v>
      </c>
      <c r="BJ7" s="28">
        <f>IF(('Activity data'!BJ8*EF!$H7)*kgtoGg=0,"NO",('Activity data'!BJ8*EF!$H7)*kgtoGg)</f>
        <v>455.98575799487605</v>
      </c>
      <c r="BK7" s="28">
        <f>IF(('Activity data'!BK8*EF!$H7)*kgtoGg=0,"NO",('Activity data'!BK8*EF!$H7)*kgtoGg)</f>
        <v>455.03791674251096</v>
      </c>
      <c r="BL7" s="28">
        <f>IF(('Activity data'!BL8*EF!$H7)*kgtoGg=0,"NO",('Activity data'!BL8*EF!$H7)*kgtoGg)</f>
        <v>453.35598676800601</v>
      </c>
      <c r="BM7" s="28">
        <f>IF(('Activity data'!BM8*EF!$H7)*kgtoGg=0,"NO",('Activity data'!BM8*EF!$H7)*kgtoGg)</f>
        <v>450.85213576106923</v>
      </c>
      <c r="BN7" s="28">
        <f>IF(('Activity data'!BN8*EF!$H7)*kgtoGg=0,"NO",('Activity data'!BN8*EF!$H7)*kgtoGg)</f>
        <v>446.94670189227725</v>
      </c>
      <c r="BO7" s="28">
        <f>IF(('Activity data'!BO8*EF!$H7)*kgtoGg=0,"NO",('Activity data'!BO8*EF!$H7)*kgtoGg)</f>
        <v>442.17652610548276</v>
      </c>
      <c r="BP7" s="28">
        <f>IF(('Activity data'!BP8*EF!$H7)*kgtoGg=0,"NO",('Activity data'!BP8*EF!$H7)*kgtoGg)</f>
        <v>436.50582768286392</v>
      </c>
    </row>
    <row r="8" spans="1:74" x14ac:dyDescent="0.25">
      <c r="A8" t="str">
        <f t="shared" si="1"/>
        <v>3A Livestock</v>
      </c>
      <c r="B8" t="str">
        <f t="shared" si="2"/>
        <v>3A1 Enteric fermentation (CH4)</v>
      </c>
      <c r="C8" t="str">
        <f>EF!C8</f>
        <v>3A1aii Other cattle</v>
      </c>
      <c r="D8" t="str">
        <f>EF!D8</f>
        <v>Subsistence</v>
      </c>
      <c r="E8" t="str">
        <f t="shared" ref="E8:E17" si="3">E7</f>
        <v>Enteric fermentation Emissions</v>
      </c>
      <c r="F8" t="str">
        <f t="shared" ref="F8:F18" si="4">F7</f>
        <v>CH4</v>
      </c>
      <c r="G8" t="str">
        <f t="shared" ref="G8:G18" si="5">G7</f>
        <v>Gg CH4</v>
      </c>
      <c r="H8" s="28">
        <f>IF(('Activity data'!H9*EF!$H8)*kgtoGg=0,"NO",('Activity data'!H9*EF!$H8)*kgtoGg)</f>
        <v>351.48091935561007</v>
      </c>
      <c r="I8" s="28">
        <f>IF(('Activity data'!I9*EF!$H8)*kgtoGg=0,"NO",('Activity data'!I9*EF!$H8)*kgtoGg)</f>
        <v>378.66046320736206</v>
      </c>
      <c r="J8" s="28">
        <f>IF(('Activity data'!J9*EF!$H8)*kgtoGg=0,"NO",('Activity data'!J9*EF!$H8)*kgtoGg)</f>
        <v>382.36676464169187</v>
      </c>
      <c r="K8" s="28">
        <f>IF(('Activity data'!K9*EF!$H8)*kgtoGg=0,"NO",('Activity data'!K9*EF!$H8)*kgtoGg)</f>
        <v>382.36676464169176</v>
      </c>
      <c r="L8" s="28">
        <f>IF(('Activity data'!L9*EF!$H8)*kgtoGg=0,"NO",('Activity data'!L9*EF!$H8)*kgtoGg)</f>
        <v>336.03799671256928</v>
      </c>
      <c r="M8" s="28">
        <f>IF(('Activity data'!M9*EF!$H8)*kgtoGg=0,"NO",('Activity data'!M9*EF!$H8)*kgtoGg)</f>
        <v>331.71397837251777</v>
      </c>
      <c r="N8" s="28">
        <f>IF(('Activity data'!N9*EF!$H8)*kgtoGg=0,"NO",('Activity data'!N9*EF!$H8)*kgtoGg)</f>
        <v>339.7442981468991</v>
      </c>
      <c r="O8" s="28">
        <f>IF(('Activity data'!O9*EF!$H8)*kgtoGg=0,"NO",('Activity data'!O9*EF!$H8)*kgtoGg)</f>
        <v>349.62776863844516</v>
      </c>
      <c r="P8" s="28">
        <f>IF(('Activity data'!P9*EF!$H8)*kgtoGg=0,"NO",('Activity data'!P9*EF!$H8)*kgtoGg)</f>
        <v>365.07069128148612</v>
      </c>
      <c r="Q8" s="28">
        <f>IF(('Activity data'!Q9*EF!$H8)*kgtoGg=0,"NO",('Activity data'!Q9*EF!$H8)*kgtoGg)</f>
        <v>378.04274630164036</v>
      </c>
      <c r="R8" s="28">
        <f>IF(('Activity data'!R9*EF!$H8)*kgtoGg=0,"NO",('Activity data'!R9*EF!$H8)*kgtoGg)</f>
        <v>388.54393369890818</v>
      </c>
      <c r="S8" s="28">
        <f>IF(('Activity data'!S9*EF!$H8)*kgtoGg=0,"NO",('Activity data'!S9*EF!$H8)*kgtoGg)</f>
        <v>380.51361392452696</v>
      </c>
      <c r="T8" s="28">
        <f>IF(('Activity data'!T9*EF!$H8)*kgtoGg=0,"NO",('Activity data'!T9*EF!$H8)*kgtoGg)</f>
        <v>410.78174230488708</v>
      </c>
      <c r="U8" s="28">
        <f>IF(('Activity data'!U9*EF!$H8)*kgtoGg=0,"NO",('Activity data'!U9*EF!$H8)*kgtoGg)</f>
        <v>410.1640253991655</v>
      </c>
      <c r="V8" s="28">
        <f>IF(('Activity data'!V9*EF!$H8)*kgtoGg=0,"NO",('Activity data'!V9*EF!$H8)*kgtoGg)</f>
        <v>401.51598871906259</v>
      </c>
      <c r="W8" s="28">
        <f>IF(('Activity data'!W9*EF!$H8)*kgtoGg=0,"NO",('Activity data'!W9*EF!$H8)*kgtoGg)</f>
        <v>396.57425347328939</v>
      </c>
      <c r="X8" s="28">
        <f>IF(('Activity data'!X9*EF!$H8)*kgtoGg=0,"NO",('Activity data'!X9*EF!$H8)*kgtoGg)</f>
        <v>405.84000705911399</v>
      </c>
      <c r="Y8" s="28">
        <f>IF(('Activity data'!Y9*EF!$H8)*kgtoGg=0,"NO",('Activity data'!Y9*EF!$H8)*kgtoGg)</f>
        <v>419.42977898498992</v>
      </c>
      <c r="Z8" s="28">
        <f>IF(('Activity data'!Z9*EF!$H8)*kgtoGg=0,"NO",('Activity data'!Z9*EF!$H8)*kgtoGg)</f>
        <v>427.46009875937119</v>
      </c>
      <c r="AA8" s="28">
        <f>IF(('Activity data'!AA9*EF!$H8)*kgtoGg=0,"NO",('Activity data'!AA9*EF!$H8)*kgtoGg)</f>
        <v>426.22466494792798</v>
      </c>
      <c r="AB8" s="28">
        <f>IF(('Activity data'!AB9*EF!$H8)*kgtoGg=0,"NO",('Activity data'!AB9*EF!$H8)*kgtoGg)</f>
        <v>421.28292970215483</v>
      </c>
      <c r="AC8" s="28">
        <f>IF(('Activity data'!AC9*EF!$H8)*kgtoGg=0,"NO",('Activity data'!AC9*EF!$H8)*kgtoGg)</f>
        <v>420.04749589071156</v>
      </c>
      <c r="AD8" s="28">
        <f>IF(('Activity data'!AD9*EF!$H8)*kgtoGg=0,"NO",('Activity data'!AD9*EF!$H8)*kgtoGg)</f>
        <v>416.79137172765417</v>
      </c>
      <c r="AE8" s="28">
        <f>IF(('Activity data'!AE9*EF!$H8)*kgtoGg=0,"NO",('Activity data'!AE9*EF!$H8)*kgtoGg)</f>
        <v>417.8844769764267</v>
      </c>
      <c r="AF8" s="28">
        <f>IF(('Activity data'!AF9*EF!$H8)*kgtoGg=0,"NO",('Activity data'!AF9*EF!$H8)*kgtoGg)</f>
        <v>418.98750936173445</v>
      </c>
      <c r="AG8" s="28">
        <f>IF(('Activity data'!AG9*EF!$H8)*kgtoGg=0,"NO",('Activity data'!AG9*EF!$H8)*kgtoGg)</f>
        <v>420.10055903777953</v>
      </c>
      <c r="AH8" s="28">
        <f>IF(('Activity data'!AH9*EF!$H8)*kgtoGg=0,"NO",('Activity data'!AH9*EF!$H8)*kgtoGg)</f>
        <v>421.3136527252222</v>
      </c>
      <c r="AI8" s="28">
        <f>IF(('Activity data'!AI9*EF!$H8)*kgtoGg=0,"NO",('Activity data'!AI9*EF!$H8)*kgtoGg)</f>
        <v>422.52674641266486</v>
      </c>
      <c r="AJ8" s="28">
        <f>IF(('Activity data'!AJ9*EF!$H8)*kgtoGg=0,"NO",('Activity data'!AJ9*EF!$H8)*kgtoGg)</f>
        <v>423.73984010010747</v>
      </c>
      <c r="AK8" s="28">
        <f>IF(('Activity data'!AK9*EF!$H8)*kgtoGg=0,"NO",('Activity data'!AK9*EF!$H8)*kgtoGg)</f>
        <v>424.95293378755014</v>
      </c>
      <c r="AL8" s="28">
        <f>IF(('Activity data'!AL9*EF!$H8)*kgtoGg=0,"NO",('Activity data'!AL9*EF!$H8)*kgtoGg)</f>
        <v>426.1660274749928</v>
      </c>
      <c r="AM8" s="28">
        <f>IF(('Activity data'!AM9*EF!$H8)*kgtoGg=0,"NO",('Activity data'!AM9*EF!$H8)*kgtoGg)</f>
        <v>427.39562882173163</v>
      </c>
      <c r="AN8" s="28">
        <f>IF(('Activity data'!AN9*EF!$H8)*kgtoGg=0,"NO",('Activity data'!AN9*EF!$H8)*kgtoGg)</f>
        <v>428.62523014577391</v>
      </c>
      <c r="AO8" s="28">
        <f>IF(('Activity data'!AO9*EF!$H8)*kgtoGg=0,"NO",('Activity data'!AO9*EF!$H8)*kgtoGg)</f>
        <v>429.85483146981619</v>
      </c>
      <c r="AP8" s="28">
        <f>IF(('Activity data'!AP9*EF!$H8)*kgtoGg=0,"NO",('Activity data'!AP9*EF!$H8)*kgtoGg)</f>
        <v>431.08443279385858</v>
      </c>
      <c r="AQ8" s="28">
        <f>IF(('Activity data'!AQ9*EF!$H8)*kgtoGg=0,"NO",('Activity data'!AQ9*EF!$H8)*kgtoGg)</f>
        <v>432.3140341405973</v>
      </c>
      <c r="AR8" s="28">
        <f>IF(('Activity data'!AR9*EF!$H8)*kgtoGg=0,"NO",('Activity data'!AR9*EF!$H8)*kgtoGg)</f>
        <v>433.6461752732863</v>
      </c>
      <c r="AS8" s="28">
        <f>IF(('Activity data'!AS9*EF!$H8)*kgtoGg=0,"NO",('Activity data'!AS9*EF!$H8)*kgtoGg)</f>
        <v>434.97831640597519</v>
      </c>
      <c r="AT8" s="28">
        <f>IF(('Activity data'!AT9*EF!$H8)*kgtoGg=0,"NO",('Activity data'!AT9*EF!$H8)*kgtoGg)</f>
        <v>436.31045753866414</v>
      </c>
      <c r="AU8" s="28">
        <f>IF(('Activity data'!AU9*EF!$H8)*kgtoGg=0,"NO",('Activity data'!AU9*EF!$H8)*kgtoGg)</f>
        <v>437.64259867135314</v>
      </c>
      <c r="AV8" s="28">
        <f>IF(('Activity data'!AV9*EF!$H8)*kgtoGg=0,"NO",('Activity data'!AV9*EF!$H8)*kgtoGg)</f>
        <v>438.97473980404203</v>
      </c>
      <c r="AW8" s="28">
        <f>IF(('Activity data'!AW9*EF!$H8)*kgtoGg=0,"NO",('Activity data'!AW9*EF!$H8)*kgtoGg)</f>
        <v>440.26165456400264</v>
      </c>
      <c r="AX8" s="28">
        <f>IF(('Activity data'!AX9*EF!$H8)*kgtoGg=0,"NO",('Activity data'!AX9*EF!$H8)*kgtoGg)</f>
        <v>441.54856930126681</v>
      </c>
      <c r="AY8" s="28">
        <f>IF(('Activity data'!AY9*EF!$H8)*kgtoGg=0,"NO",('Activity data'!AY9*EF!$H8)*kgtoGg)</f>
        <v>442.83548406122742</v>
      </c>
      <c r="AZ8" s="28">
        <f>IF(('Activity data'!AZ9*EF!$H8)*kgtoGg=0,"NO",('Activity data'!AZ9*EF!$H8)*kgtoGg)</f>
        <v>444.12239879849159</v>
      </c>
      <c r="BA8" s="28">
        <f>IF(('Activity data'!BA9*EF!$H8)*kgtoGg=0,"NO",('Activity data'!BA9*EF!$H8)*kgtoGg)</f>
        <v>445.40931353575581</v>
      </c>
      <c r="BB8" s="28">
        <f>IF(('Activity data'!BB9*EF!$H8)*kgtoGg=0,"NO",('Activity data'!BB9*EF!$H8)*kgtoGg)</f>
        <v>446.74682293395483</v>
      </c>
      <c r="BC8" s="28">
        <f>IF(('Activity data'!BC9*EF!$H8)*kgtoGg=0,"NO",('Activity data'!BC9*EF!$H8)*kgtoGg)</f>
        <v>448.08433233215391</v>
      </c>
      <c r="BD8" s="28">
        <f>IF(('Activity data'!BD9*EF!$H8)*kgtoGg=0,"NO",('Activity data'!BD9*EF!$H8)*kgtoGg)</f>
        <v>449.42184170765643</v>
      </c>
      <c r="BE8" s="28">
        <f>IF(('Activity data'!BE9*EF!$H8)*kgtoGg=0,"NO",('Activity data'!BE9*EF!$H8)*kgtoGg)</f>
        <v>450.75935110585556</v>
      </c>
      <c r="BF8" s="28">
        <f>IF(('Activity data'!BF9*EF!$H8)*kgtoGg=0,"NO",('Activity data'!BF9*EF!$H8)*kgtoGg)</f>
        <v>452.09686050405458</v>
      </c>
      <c r="BG8" s="28">
        <f>IF(('Activity data'!BG9*EF!$H8)*kgtoGg=0,"NO",('Activity data'!BG9*EF!$H8)*kgtoGg)</f>
        <v>453.62366540177794</v>
      </c>
      <c r="BH8" s="28">
        <f>IF(('Activity data'!BH9*EF!$H8)*kgtoGg=0,"NO",('Activity data'!BH9*EF!$H8)*kgtoGg)</f>
        <v>455.15047027680481</v>
      </c>
      <c r="BI8" s="28">
        <f>IF(('Activity data'!BI9*EF!$H8)*kgtoGg=0,"NO",('Activity data'!BI9*EF!$H8)*kgtoGg)</f>
        <v>456.67727517452823</v>
      </c>
      <c r="BJ8" s="28">
        <f>IF(('Activity data'!BJ9*EF!$H8)*kgtoGg=0,"NO",('Activity data'!BJ9*EF!$H8)*kgtoGg)</f>
        <v>458.20408007225154</v>
      </c>
      <c r="BK8" s="28">
        <f>IF(('Activity data'!BK9*EF!$H8)*kgtoGg=0,"NO",('Activity data'!BK9*EF!$H8)*kgtoGg)</f>
        <v>459.73088496997491</v>
      </c>
      <c r="BL8" s="28">
        <f>IF(('Activity data'!BL9*EF!$H8)*kgtoGg=0,"NO",('Activity data'!BL9*EF!$H8)*kgtoGg)</f>
        <v>461.20380258100829</v>
      </c>
      <c r="BM8" s="28">
        <f>IF(('Activity data'!BM9*EF!$H8)*kgtoGg=0,"NO",('Activity data'!BM9*EF!$H8)*kgtoGg)</f>
        <v>462.67672019204167</v>
      </c>
      <c r="BN8" s="28">
        <f>IF(('Activity data'!BN9*EF!$H8)*kgtoGg=0,"NO",('Activity data'!BN9*EF!$H8)*kgtoGg)</f>
        <v>464.14963782577155</v>
      </c>
      <c r="BO8" s="28">
        <f>IF(('Activity data'!BO9*EF!$H8)*kgtoGg=0,"NO",('Activity data'!BO9*EF!$H8)*kgtoGg)</f>
        <v>465.62255543680493</v>
      </c>
      <c r="BP8" s="28">
        <f>IF(('Activity data'!BP9*EF!$H8)*kgtoGg=0,"NO",('Activity data'!BP9*EF!$H8)*kgtoGg)</f>
        <v>467.09547304783825</v>
      </c>
    </row>
    <row r="9" spans="1:74" x14ac:dyDescent="0.25">
      <c r="A9" t="str">
        <f t="shared" si="1"/>
        <v>3A Livestock</v>
      </c>
      <c r="B9" t="str">
        <f t="shared" si="2"/>
        <v>3A1 Enteric fermentation (CH4)</v>
      </c>
      <c r="C9" t="str">
        <f>EF!C9</f>
        <v>3A1aii Other cattle</v>
      </c>
      <c r="D9" t="str">
        <f>EF!D9</f>
        <v>Feedlot</v>
      </c>
      <c r="E9" t="str">
        <f t="shared" si="3"/>
        <v>Enteric fermentation Emissions</v>
      </c>
      <c r="F9" t="str">
        <f t="shared" si="4"/>
        <v>CH4</v>
      </c>
      <c r="G9" t="str">
        <f t="shared" si="5"/>
        <v>Gg CH4</v>
      </c>
      <c r="H9" s="28">
        <f>IF(('Activity data'!H10*EF!$H9)*kgtoGg=0,"NO",('Activity data'!H10*EF!$H9)*kgtoGg)</f>
        <v>24.738</v>
      </c>
      <c r="I9" s="28">
        <f>IF(('Activity data'!I10*EF!$H9)*kgtoGg=0,"NO",('Activity data'!I10*EF!$H9)*kgtoGg)</f>
        <v>24.738</v>
      </c>
      <c r="J9" s="28">
        <f>IF(('Activity data'!J10*EF!$H9)*kgtoGg=0,"NO",('Activity data'!J10*EF!$H9)*kgtoGg)</f>
        <v>24.738</v>
      </c>
      <c r="K9" s="28">
        <f>IF(('Activity data'!K10*EF!$H9)*kgtoGg=0,"NO",('Activity data'!K10*EF!$H9)*kgtoGg)</f>
        <v>24.738</v>
      </c>
      <c r="L9" s="28">
        <f>IF(('Activity data'!L10*EF!$H9)*kgtoGg=0,"NO",('Activity data'!L10*EF!$H9)*kgtoGg)</f>
        <v>24.738</v>
      </c>
      <c r="M9" s="28">
        <f>IF(('Activity data'!M10*EF!$H9)*kgtoGg=0,"NO",('Activity data'!M10*EF!$H9)*kgtoGg)</f>
        <v>24.738</v>
      </c>
      <c r="N9" s="28">
        <f>IF(('Activity data'!N10*EF!$H9)*kgtoGg=0,"NO",('Activity data'!N10*EF!$H9)*kgtoGg)</f>
        <v>24.738</v>
      </c>
      <c r="O9" s="28">
        <f>IF(('Activity data'!O10*EF!$H9)*kgtoGg=0,"NO",('Activity data'!O10*EF!$H9)*kgtoGg)</f>
        <v>24.738</v>
      </c>
      <c r="P9" s="28">
        <f>IF(('Activity data'!P10*EF!$H9)*kgtoGg=0,"NO",('Activity data'!P10*EF!$H9)*kgtoGg)</f>
        <v>24.738</v>
      </c>
      <c r="Q9" s="28">
        <f>IF(('Activity data'!Q10*EF!$H9)*kgtoGg=0,"NO",('Activity data'!Q10*EF!$H9)*kgtoGg)</f>
        <v>24.738</v>
      </c>
      <c r="R9" s="28">
        <f>IF(('Activity data'!R10*EF!$H9)*kgtoGg=0,"NO",('Activity data'!R10*EF!$H9)*kgtoGg)</f>
        <v>24.738</v>
      </c>
      <c r="S9" s="28">
        <f>IF(('Activity data'!S10*EF!$H9)*kgtoGg=0,"NO",('Activity data'!S10*EF!$H9)*kgtoGg)</f>
        <v>24.738</v>
      </c>
      <c r="T9" s="28">
        <f>IF(('Activity data'!T10*EF!$H9)*kgtoGg=0,"NO",('Activity data'!T10*EF!$H9)*kgtoGg)</f>
        <v>24.738</v>
      </c>
      <c r="U9" s="28">
        <f>IF(('Activity data'!U10*EF!$H9)*kgtoGg=0,"NO",('Activity data'!U10*EF!$H9)*kgtoGg)</f>
        <v>24.738</v>
      </c>
      <c r="V9" s="28">
        <f>IF(('Activity data'!V10*EF!$H9)*kgtoGg=0,"NO",('Activity data'!V10*EF!$H9)*kgtoGg)</f>
        <v>24.738</v>
      </c>
      <c r="W9" s="28">
        <f>IF(('Activity data'!W10*EF!$H9)*kgtoGg=0,"NO",('Activity data'!W10*EF!$H9)*kgtoGg)</f>
        <v>24.738</v>
      </c>
      <c r="X9" s="28">
        <f>IF(('Activity data'!X10*EF!$H9)*kgtoGg=0,"NO",('Activity data'!X10*EF!$H9)*kgtoGg)</f>
        <v>24.738</v>
      </c>
      <c r="Y9" s="28">
        <f>IF(('Activity data'!Y10*EF!$H9)*kgtoGg=0,"NO",('Activity data'!Y10*EF!$H9)*kgtoGg)</f>
        <v>24.738</v>
      </c>
      <c r="Z9" s="28">
        <f>IF(('Activity data'!Z10*EF!$H9)*kgtoGg=0,"NO",('Activity data'!Z10*EF!$H9)*kgtoGg)</f>
        <v>23.038602474999998</v>
      </c>
      <c r="AA9" s="28">
        <f>IF(('Activity data'!AA10*EF!$H9)*kgtoGg=0,"NO",('Activity data'!AA10*EF!$H9)*kgtoGg)</f>
        <v>23.608263641666664</v>
      </c>
      <c r="AB9" s="28">
        <f>IF(('Activity data'!AB10*EF!$H9)*kgtoGg=0,"NO",('Activity data'!AB10*EF!$H9)*kgtoGg)</f>
        <v>23.549535433333329</v>
      </c>
      <c r="AC9" s="28">
        <f>IF(('Activity data'!AC10*EF!$H9)*kgtoGg=0,"NO",('Activity data'!AC10*EF!$H9)*kgtoGg)</f>
        <v>27.200029816666664</v>
      </c>
      <c r="AD9" s="28">
        <f>IF(('Activity data'!AD10*EF!$H9)*kgtoGg=0,"NO",('Activity data'!AD10*EF!$H9)*kgtoGg)</f>
        <v>28.016030711166668</v>
      </c>
      <c r="AE9" s="28">
        <f>IF(('Activity data'!AE10*EF!$H9)*kgtoGg=0,"NO",('Activity data'!AE10*EF!$H9)*kgtoGg)</f>
        <v>28.856511632501668</v>
      </c>
      <c r="AF9" s="28">
        <f>IF(('Activity data'!AF10*EF!$H9)*kgtoGg=0,"NO",('Activity data'!AF10*EF!$H9)*kgtoGg)</f>
        <v>29.72220698147672</v>
      </c>
      <c r="AG9" s="28">
        <f>IF(('Activity data'!AG10*EF!$H9)*kgtoGg=0,"NO",('Activity data'!AG10*EF!$H9)*kgtoGg)</f>
        <v>30.613873190921023</v>
      </c>
      <c r="AH9" s="28">
        <f>IF(('Activity data'!AH10*EF!$H9)*kgtoGg=0,"NO",('Activity data'!AH10*EF!$H9)*kgtoGg)</f>
        <v>31.53228938664865</v>
      </c>
      <c r="AI9" s="28">
        <f>IF(('Activity data'!AI10*EF!$H9)*kgtoGg=0,"NO",('Activity data'!AI10*EF!$H9)*kgtoGg)</f>
        <v>32.47825806824811</v>
      </c>
      <c r="AJ9" s="28">
        <f>IF(('Activity data'!AJ10*EF!$H9)*kgtoGg=0,"NO",('Activity data'!AJ10*EF!$H9)*kgtoGg)</f>
        <v>33.452605810295552</v>
      </c>
      <c r="AK9" s="28">
        <f>IF(('Activity data'!AK10*EF!$H9)*kgtoGg=0,"NO",('Activity data'!AK10*EF!$H9)*kgtoGg)</f>
        <v>34.456183984604415</v>
      </c>
      <c r="AL9" s="28">
        <f>IF(('Activity data'!AL10*EF!$H9)*kgtoGg=0,"NO",('Activity data'!AL10*EF!$H9)*kgtoGg)</f>
        <v>35.489869504142547</v>
      </c>
      <c r="AM9" s="28">
        <f>IF(('Activity data'!AM10*EF!$H9)*kgtoGg=0,"NO",('Activity data'!AM10*EF!$H9)*kgtoGg)</f>
        <v>36.554565589266829</v>
      </c>
      <c r="AN9" s="28">
        <f>IF(('Activity data'!AN10*EF!$H9)*kgtoGg=0,"NO",('Activity data'!AN10*EF!$H9)*kgtoGg)</f>
        <v>37.651202556944831</v>
      </c>
      <c r="AO9" s="28">
        <f>IF(('Activity data'!AO10*EF!$H9)*kgtoGg=0,"NO",('Activity data'!AO10*EF!$H9)*kgtoGg)</f>
        <v>38.780738633653179</v>
      </c>
      <c r="AP9" s="28">
        <f>IF(('Activity data'!AP10*EF!$H9)*kgtoGg=0,"NO",('Activity data'!AP10*EF!$H9)*kgtoGg)</f>
        <v>39.944160792662785</v>
      </c>
      <c r="AQ9" s="28">
        <f>IF(('Activity data'!AQ10*EF!$H9)*kgtoGg=0,"NO",('Activity data'!AQ10*EF!$H9)*kgtoGg)</f>
        <v>41.142485616442663</v>
      </c>
      <c r="AR9" s="28">
        <f>IF(('Activity data'!AR10*EF!$H9)*kgtoGg=0,"NO",('Activity data'!AR10*EF!$H9)*kgtoGg)</f>
        <v>42.376760184935939</v>
      </c>
      <c r="AS9" s="28">
        <f>IF(('Activity data'!AS10*EF!$H9)*kgtoGg=0,"NO",('Activity data'!AS10*EF!$H9)*kgtoGg)</f>
        <v>43.648062990484021</v>
      </c>
      <c r="AT9" s="28">
        <f>IF(('Activity data'!AT10*EF!$H9)*kgtoGg=0,"NO",('Activity data'!AT10*EF!$H9)*kgtoGg)</f>
        <v>44.957504880198542</v>
      </c>
      <c r="AU9" s="28">
        <f>IF(('Activity data'!AU10*EF!$H9)*kgtoGg=0,"NO",('Activity data'!AU10*EF!$H9)*kgtoGg)</f>
        <v>46.306230026604503</v>
      </c>
      <c r="AV9" s="28">
        <f>IF(('Activity data'!AV10*EF!$H9)*kgtoGg=0,"NO",('Activity data'!AV10*EF!$H9)*kgtoGg)</f>
        <v>47.695416927402633</v>
      </c>
      <c r="AW9" s="28">
        <f>IF(('Activity data'!AW10*EF!$H9)*kgtoGg=0,"NO",('Activity data'!AW10*EF!$H9)*kgtoGg)</f>
        <v>49.126279435224717</v>
      </c>
      <c r="AX9" s="28">
        <f>IF(('Activity data'!AX10*EF!$H9)*kgtoGg=0,"NO",('Activity data'!AX10*EF!$H9)*kgtoGg)</f>
        <v>50.60006781828146</v>
      </c>
      <c r="AY9" s="28">
        <f>IF(('Activity data'!AY10*EF!$H9)*kgtoGg=0,"NO",('Activity data'!AY10*EF!$H9)*kgtoGg)</f>
        <v>52.118069852829912</v>
      </c>
      <c r="AZ9" s="28">
        <f>IF(('Activity data'!AZ10*EF!$H9)*kgtoGg=0,"NO",('Activity data'!AZ10*EF!$H9)*kgtoGg)</f>
        <v>53.681611948414805</v>
      </c>
      <c r="BA9" s="28">
        <f>IF(('Activity data'!BA10*EF!$H9)*kgtoGg=0,"NO",('Activity data'!BA10*EF!$H9)*kgtoGg)</f>
        <v>55.292060306867256</v>
      </c>
      <c r="BB9" s="28">
        <f>IF(('Activity data'!BB10*EF!$H9)*kgtoGg=0,"NO",('Activity data'!BB10*EF!$H9)*kgtoGg)</f>
        <v>56.950822116073269</v>
      </c>
      <c r="BC9" s="28">
        <f>IF(('Activity data'!BC10*EF!$H9)*kgtoGg=0,"NO",('Activity data'!BC10*EF!$H9)*kgtoGg)</f>
        <v>58.659346779555477</v>
      </c>
      <c r="BD9" s="28">
        <f>IF(('Activity data'!BD10*EF!$H9)*kgtoGg=0,"NO",('Activity data'!BD10*EF!$H9)*kgtoGg)</f>
        <v>58.9</v>
      </c>
      <c r="BE9" s="28">
        <f>IF(('Activity data'!BE10*EF!$H9)*kgtoGg=0,"NO",('Activity data'!BE10*EF!$H9)*kgtoGg)</f>
        <v>58.9</v>
      </c>
      <c r="BF9" s="28">
        <f>IF(('Activity data'!BF10*EF!$H9)*kgtoGg=0,"NO",('Activity data'!BF10*EF!$H9)*kgtoGg)</f>
        <v>58.9</v>
      </c>
      <c r="BG9" s="28">
        <f>IF(('Activity data'!BG10*EF!$H9)*kgtoGg=0,"NO",('Activity data'!BG10*EF!$H9)*kgtoGg)</f>
        <v>58.9</v>
      </c>
      <c r="BH9" s="28">
        <f>IF(('Activity data'!BH10*EF!$H9)*kgtoGg=0,"NO",('Activity data'!BH10*EF!$H9)*kgtoGg)</f>
        <v>58.9</v>
      </c>
      <c r="BI9" s="28">
        <f>IF(('Activity data'!BI10*EF!$H9)*kgtoGg=0,"NO",('Activity data'!BI10*EF!$H9)*kgtoGg)</f>
        <v>58.9</v>
      </c>
      <c r="BJ9" s="28">
        <f>IF(('Activity data'!BJ10*EF!$H9)*kgtoGg=0,"NO",('Activity data'!BJ10*EF!$H9)*kgtoGg)</f>
        <v>58.9</v>
      </c>
      <c r="BK9" s="28">
        <f>IF(('Activity data'!BK10*EF!$H9)*kgtoGg=0,"NO",('Activity data'!BK10*EF!$H9)*kgtoGg)</f>
        <v>58.9</v>
      </c>
      <c r="BL9" s="28">
        <f>IF(('Activity data'!BL10*EF!$H9)*kgtoGg=0,"NO",('Activity data'!BL10*EF!$H9)*kgtoGg)</f>
        <v>58.9</v>
      </c>
      <c r="BM9" s="28">
        <f>IF(('Activity data'!BM10*EF!$H9)*kgtoGg=0,"NO",('Activity data'!BM10*EF!$H9)*kgtoGg)</f>
        <v>58.9</v>
      </c>
      <c r="BN9" s="28">
        <f>IF(('Activity data'!BN10*EF!$H9)*kgtoGg=0,"NO",('Activity data'!BN10*EF!$H9)*kgtoGg)</f>
        <v>58.9</v>
      </c>
      <c r="BO9" s="28">
        <f>IF(('Activity data'!BO10*EF!$H9)*kgtoGg=0,"NO",('Activity data'!BO10*EF!$H9)*kgtoGg)</f>
        <v>58.9</v>
      </c>
      <c r="BP9" s="28">
        <f>IF(('Activity data'!BP10*EF!$H9)*kgtoGg=0,"NO",('Activity data'!BP10*EF!$H9)*kgtoGg)</f>
        <v>58.9</v>
      </c>
    </row>
    <row r="10" spans="1:74" x14ac:dyDescent="0.25">
      <c r="A10" t="str">
        <f t="shared" si="1"/>
        <v>3A Livestock</v>
      </c>
      <c r="B10" t="str">
        <f t="shared" si="2"/>
        <v>3A1 Enteric fermentation (CH4)</v>
      </c>
      <c r="C10" t="str">
        <f>EF!C10</f>
        <v>3A1c Sheep</v>
      </c>
      <c r="D10" t="str">
        <f>EF!D10</f>
        <v>Commercial</v>
      </c>
      <c r="E10" t="str">
        <f t="shared" si="3"/>
        <v>Enteric fermentation Emissions</v>
      </c>
      <c r="F10" t="str">
        <f t="shared" si="4"/>
        <v>CH4</v>
      </c>
      <c r="G10" t="str">
        <f t="shared" si="5"/>
        <v>Gg CH4</v>
      </c>
      <c r="H10" s="28">
        <f>IF(('Activity data'!H11*EF!$H10)*kgtoGg=0,"NO",('Activity data'!H11*EF!$H10)*kgtoGg)</f>
        <v>209.00064638385984</v>
      </c>
      <c r="I10" s="28">
        <f>IF(('Activity data'!I11*EF!$H10)*kgtoGg=0,"NO",('Activity data'!I11*EF!$H10)*kgtoGg)</f>
        <v>199.60297230115387</v>
      </c>
      <c r="J10" s="28">
        <f>IF(('Activity data'!J11*EF!$H10)*kgtoGg=0,"NO",('Activity data'!J11*EF!$H10)*kgtoGg)</f>
        <v>191.35560698969897</v>
      </c>
      <c r="K10" s="28">
        <f>IF(('Activity data'!K11*EF!$H10)*kgtoGg=0,"NO",('Activity data'!K11*EF!$H10)*kgtoGg)</f>
        <v>178.96015853342948</v>
      </c>
      <c r="L10" s="28">
        <f>IF(('Activity data'!L11*EF!$H10)*kgtoGg=0,"NO",('Activity data'!L11*EF!$H10)*kgtoGg)</f>
        <v>180.22201239765039</v>
      </c>
      <c r="M10" s="28">
        <f>IF(('Activity data'!M11*EF!$H10)*kgtoGg=0,"NO",('Activity data'!M11*EF!$H10)*kgtoGg)</f>
        <v>177.64253212272365</v>
      </c>
      <c r="N10" s="28">
        <f>IF(('Activity data'!N11*EF!$H10)*kgtoGg=0,"NO",('Activity data'!N11*EF!$H10)*kgtoGg)</f>
        <v>178.23511542912576</v>
      </c>
      <c r="O10" s="28">
        <f>IF(('Activity data'!O11*EF!$H10)*kgtoGg=0,"NO",('Activity data'!O11*EF!$H10)*kgtoGg)</f>
        <v>174.35892344842506</v>
      </c>
      <c r="P10" s="28">
        <f>IF(('Activity data'!P11*EF!$H10)*kgtoGg=0,"NO",('Activity data'!P11*EF!$H10)*kgtoGg)</f>
        <v>174.83996166185733</v>
      </c>
      <c r="Q10" s="28">
        <f>IF(('Activity data'!Q11*EF!$H10)*kgtoGg=0,"NO",('Activity data'!Q11*EF!$H10)*kgtoGg)</f>
        <v>170.54547558251988</v>
      </c>
      <c r="R10" s="28">
        <f>IF(('Activity data'!R11*EF!$H10)*kgtoGg=0,"NO",('Activity data'!R11*EF!$H10)*kgtoGg)</f>
        <v>164.4314101741125</v>
      </c>
      <c r="S10" s="28">
        <f>IF(('Activity data'!S11*EF!$H10)*kgtoGg=0,"NO",('Activity data'!S11*EF!$H10)*kgtoGg)</f>
        <v>160.33212800747219</v>
      </c>
      <c r="T10" s="28">
        <f>IF(('Activity data'!T11*EF!$H10)*kgtoGg=0,"NO",('Activity data'!T11*EF!$H10)*kgtoGg)</f>
        <v>157.65504577619689</v>
      </c>
      <c r="U10" s="28">
        <f>IF(('Activity data'!U11*EF!$H10)*kgtoGg=0,"NO",('Activity data'!U11*EF!$H10)*kgtoGg)</f>
        <v>158.20579967273531</v>
      </c>
      <c r="V10" s="28">
        <f>IF(('Activity data'!V11*EF!$H10)*kgtoGg=0,"NO",('Activity data'!V11*EF!$H10)*kgtoGg)</f>
        <v>155.38928607524772</v>
      </c>
      <c r="W10" s="28">
        <f>IF(('Activity data'!W11*EF!$H10)*kgtoGg=0,"NO",('Activity data'!W11*EF!$H10)*kgtoGg)</f>
        <v>155.01979295478526</v>
      </c>
      <c r="X10" s="28">
        <f>IF(('Activity data'!X11*EF!$H10)*kgtoGg=0,"NO",('Activity data'!X11*EF!$H10)*kgtoGg)</f>
        <v>152.99106657639697</v>
      </c>
      <c r="Y10" s="28">
        <f>IF(('Activity data'!Y11*EF!$H10)*kgtoGg=0,"NO",('Activity data'!Y11*EF!$H10)*kgtoGg)</f>
        <v>152.84466364187409</v>
      </c>
      <c r="Z10" s="28">
        <f>IF(('Activity data'!Z11*EF!$H10)*kgtoGg=0,"NO",('Activity data'!Z11*EF!$H10)*kgtoGg)</f>
        <v>153.3396449919276</v>
      </c>
      <c r="AA10" s="28">
        <f>IF(('Activity data'!AA11*EF!$H10)*kgtoGg=0,"NO",('Activity data'!AA11*EF!$H10)*kgtoGg)</f>
        <v>152.79586266369981</v>
      </c>
      <c r="AB10" s="28">
        <f>IF(('Activity data'!AB11*EF!$H10)*kgtoGg=0,"NO",('Activity data'!AB11*EF!$H10)*kgtoGg)</f>
        <v>149.83991769999997</v>
      </c>
      <c r="AC10" s="28">
        <f>IF(('Activity data'!AC11*EF!$H10)*kgtoGg=0,"NO",('Activity data'!AC11*EF!$H10)*kgtoGg)</f>
        <v>148.66869422381706</v>
      </c>
      <c r="AD10" s="28">
        <f>IF(('Activity data'!AD11*EF!$H10)*kgtoGg=0,"NO",('Activity data'!AD11*EF!$H10)*kgtoGg)</f>
        <v>152.63614949506297</v>
      </c>
      <c r="AE10" s="28">
        <f>IF(('Activity data'!AE11*EF!$H10)*kgtoGg=0,"NO",('Activity data'!AE11*EF!$H10)*kgtoGg)</f>
        <v>152.13222960386022</v>
      </c>
      <c r="AF10" s="28">
        <f>IF(('Activity data'!AF11*EF!$H10)*kgtoGg=0,"NO",('Activity data'!AF11*EF!$H10)*kgtoGg)</f>
        <v>151.64091747145844</v>
      </c>
      <c r="AG10" s="28">
        <f>IF(('Activity data'!AG11*EF!$H10)*kgtoGg=0,"NO",('Activity data'!AG11*EF!$H10)*kgtoGg)</f>
        <v>151.16249118594567</v>
      </c>
      <c r="AH10" s="28">
        <f>IF(('Activity data'!AH11*EF!$H10)*kgtoGg=0,"NO",('Activity data'!AH11*EF!$H10)*kgtoGg)</f>
        <v>150.65854698505055</v>
      </c>
      <c r="AI10" s="28">
        <f>IF(('Activity data'!AI11*EF!$H10)*kgtoGg=0,"NO",('Activity data'!AI11*EF!$H10)*kgtoGg)</f>
        <v>150.15451291590398</v>
      </c>
      <c r="AJ10" s="28">
        <f>IF(('Activity data'!AJ11*EF!$H10)*kgtoGg=0,"NO",('Activity data'!AJ11*EF!$H10)*kgtoGg)</f>
        <v>149.66029783934576</v>
      </c>
      <c r="AK10" s="28">
        <f>IF(('Activity data'!AK11*EF!$H10)*kgtoGg=0,"NO",('Activity data'!AK11*EF!$H10)*kgtoGg)</f>
        <v>149.17542537817528</v>
      </c>
      <c r="AL10" s="28">
        <f>IF(('Activity data'!AL11*EF!$H10)*kgtoGg=0,"NO",('Activity data'!AL11*EF!$H10)*kgtoGg)</f>
        <v>148.84124024321085</v>
      </c>
      <c r="AM10" s="28">
        <f>IF(('Activity data'!AM11*EF!$H10)*kgtoGg=0,"NO",('Activity data'!AM11*EF!$H10)*kgtoGg)</f>
        <v>148.33979385186558</v>
      </c>
      <c r="AN10" s="28">
        <f>IF(('Activity data'!AN11*EF!$H10)*kgtoGg=0,"NO",('Activity data'!AN11*EF!$H10)*kgtoGg)</f>
        <v>147.84669348134202</v>
      </c>
      <c r="AO10" s="28">
        <f>IF(('Activity data'!AO11*EF!$H10)*kgtoGg=0,"NO",('Activity data'!AO11*EF!$H10)*kgtoGg)</f>
        <v>147.35996718474331</v>
      </c>
      <c r="AP10" s="28">
        <f>IF(('Activity data'!AP11*EF!$H10)*kgtoGg=0,"NO",('Activity data'!AP11*EF!$H10)*kgtoGg)</f>
        <v>146.88095789906134</v>
      </c>
      <c r="AQ10" s="28">
        <f>IF(('Activity data'!AQ11*EF!$H10)*kgtoGg=0,"NO",('Activity data'!AQ11*EF!$H10)*kgtoGg)</f>
        <v>146.40689410346042</v>
      </c>
      <c r="AR10" s="28">
        <f>IF(('Activity data'!AR11*EF!$H10)*kgtoGg=0,"NO",('Activity data'!AR11*EF!$H10)*kgtoGg)</f>
        <v>145.89684568799757</v>
      </c>
      <c r="AS10" s="28">
        <f>IF(('Activity data'!AS11*EF!$H10)*kgtoGg=0,"NO",('Activity data'!AS11*EF!$H10)*kgtoGg)</f>
        <v>145.39430547601341</v>
      </c>
      <c r="AT10" s="28">
        <f>IF(('Activity data'!AT11*EF!$H10)*kgtoGg=0,"NO",('Activity data'!AT11*EF!$H10)*kgtoGg)</f>
        <v>144.8969339552242</v>
      </c>
      <c r="AU10" s="28">
        <f>IF(('Activity data'!AU11*EF!$H10)*kgtoGg=0,"NO",('Activity data'!AU11*EF!$H10)*kgtoGg)</f>
        <v>144.40506584725244</v>
      </c>
      <c r="AV10" s="28">
        <f>IF(('Activity data'!AV11*EF!$H10)*kgtoGg=0,"NO",('Activity data'!AV11*EF!$H10)*kgtoGg)</f>
        <v>143.91845263883008</v>
      </c>
      <c r="AW10" s="28">
        <f>IF(('Activity data'!AW11*EF!$H10)*kgtoGg=0,"NO",('Activity data'!AW11*EF!$H10)*kgtoGg)</f>
        <v>143.44504380454751</v>
      </c>
      <c r="AX10" s="28">
        <f>IF(('Activity data'!AX11*EF!$H10)*kgtoGg=0,"NO",('Activity data'!AX11*EF!$H10)*kgtoGg)</f>
        <v>143.44504380454751</v>
      </c>
      <c r="AY10" s="28">
        <f>IF(('Activity data'!AY11*EF!$H10)*kgtoGg=0,"NO",('Activity data'!AY11*EF!$H10)*kgtoGg)</f>
        <v>143.44504380454751</v>
      </c>
      <c r="AZ10" s="28">
        <f>IF(('Activity data'!AZ11*EF!$H10)*kgtoGg=0,"NO",('Activity data'!AZ11*EF!$H10)*kgtoGg)</f>
        <v>143.44504380454751</v>
      </c>
      <c r="BA10" s="28">
        <f>IF(('Activity data'!BA11*EF!$H10)*kgtoGg=0,"NO",('Activity data'!BA11*EF!$H10)*kgtoGg)</f>
        <v>143.44504380454751</v>
      </c>
      <c r="BB10" s="28">
        <f>IF(('Activity data'!BB11*EF!$H10)*kgtoGg=0,"NO",('Activity data'!BB11*EF!$H10)*kgtoGg)</f>
        <v>143.44504380454751</v>
      </c>
      <c r="BC10" s="28">
        <f>IF(('Activity data'!BC11*EF!$H10)*kgtoGg=0,"NO",('Activity data'!BC11*EF!$H10)*kgtoGg)</f>
        <v>143.44504380454751</v>
      </c>
      <c r="BD10" s="28">
        <f>IF(('Activity data'!BD11*EF!$H10)*kgtoGg=0,"NO",('Activity data'!BD11*EF!$H10)*kgtoGg)</f>
        <v>143.44504380454751</v>
      </c>
      <c r="BE10" s="28">
        <f>IF(('Activity data'!BE11*EF!$H10)*kgtoGg=0,"NO",('Activity data'!BE11*EF!$H10)*kgtoGg)</f>
        <v>143.44504380454751</v>
      </c>
      <c r="BF10" s="28">
        <f>IF(('Activity data'!BF11*EF!$H10)*kgtoGg=0,"NO",('Activity data'!BF11*EF!$H10)*kgtoGg)</f>
        <v>143.44504380454751</v>
      </c>
      <c r="BG10" s="28">
        <f>IF(('Activity data'!BG11*EF!$H10)*kgtoGg=0,"NO",('Activity data'!BG11*EF!$H10)*kgtoGg)</f>
        <v>143.44504380454751</v>
      </c>
      <c r="BH10" s="28">
        <f>IF(('Activity data'!BH11*EF!$H10)*kgtoGg=0,"NO",('Activity data'!BH11*EF!$H10)*kgtoGg)</f>
        <v>143.44504380454751</v>
      </c>
      <c r="BI10" s="28">
        <f>IF(('Activity data'!BI11*EF!$H10)*kgtoGg=0,"NO",('Activity data'!BI11*EF!$H10)*kgtoGg)</f>
        <v>143.44504380454751</v>
      </c>
      <c r="BJ10" s="28">
        <f>IF(('Activity data'!BJ11*EF!$H10)*kgtoGg=0,"NO",('Activity data'!BJ11*EF!$H10)*kgtoGg)</f>
        <v>143.44504380454751</v>
      </c>
      <c r="BK10" s="28">
        <f>IF(('Activity data'!BK11*EF!$H10)*kgtoGg=0,"NO",('Activity data'!BK11*EF!$H10)*kgtoGg)</f>
        <v>143.44504380454751</v>
      </c>
      <c r="BL10" s="28">
        <f>IF(('Activity data'!BL11*EF!$H10)*kgtoGg=0,"NO",('Activity data'!BL11*EF!$H10)*kgtoGg)</f>
        <v>143.44504380454751</v>
      </c>
      <c r="BM10" s="28">
        <f>IF(('Activity data'!BM11*EF!$H10)*kgtoGg=0,"NO",('Activity data'!BM11*EF!$H10)*kgtoGg)</f>
        <v>143.44504380454751</v>
      </c>
      <c r="BN10" s="28">
        <f>IF(('Activity data'!BN11*EF!$H10)*kgtoGg=0,"NO",('Activity data'!BN11*EF!$H10)*kgtoGg)</f>
        <v>143.44504380454751</v>
      </c>
      <c r="BO10" s="28">
        <f>IF(('Activity data'!BO11*EF!$H10)*kgtoGg=0,"NO",('Activity data'!BO11*EF!$H10)*kgtoGg)</f>
        <v>143.44504380454751</v>
      </c>
      <c r="BP10" s="28">
        <f>IF(('Activity data'!BP11*EF!$H10)*kgtoGg=0,"NO",('Activity data'!BP11*EF!$H10)*kgtoGg)</f>
        <v>143.44504380454751</v>
      </c>
    </row>
    <row r="11" spans="1:74" x14ac:dyDescent="0.25">
      <c r="A11" t="str">
        <f t="shared" si="1"/>
        <v>3A Livestock</v>
      </c>
      <c r="B11" t="str">
        <f t="shared" si="2"/>
        <v>3A1 Enteric fermentation (CH4)</v>
      </c>
      <c r="C11" t="str">
        <f>EF!C11</f>
        <v>3A1c Sheep</v>
      </c>
      <c r="D11" t="str">
        <f>EF!D11</f>
        <v>Subsistence</v>
      </c>
      <c r="E11" t="str">
        <f t="shared" si="3"/>
        <v>Enteric fermentation Emissions</v>
      </c>
      <c r="F11" t="str">
        <f t="shared" si="4"/>
        <v>CH4</v>
      </c>
      <c r="G11" t="str">
        <f t="shared" si="5"/>
        <v>Gg CH4</v>
      </c>
      <c r="H11" s="28">
        <f>IF(('Activity data'!H12*EF!$H11)*kgtoGg=0,"NO",('Activity data'!H12*EF!$H11)*kgtoGg)</f>
        <v>21.154764000453479</v>
      </c>
      <c r="I11" s="28">
        <f>IF(('Activity data'!I12*EF!$H11)*kgtoGg=0,"NO",('Activity data'!I12*EF!$H11)*kgtoGg)</f>
        <v>20.20354408409165</v>
      </c>
      <c r="J11" s="28">
        <f>IF(('Activity data'!J12*EF!$H11)*kgtoGg=0,"NO",('Activity data'!J12*EF!$H11)*kgtoGg)</f>
        <v>19.368756872625738</v>
      </c>
      <c r="K11" s="28">
        <f>IF(('Activity data'!K12*EF!$H11)*kgtoGg=0,"NO",('Activity data'!K12*EF!$H11)*kgtoGg)</f>
        <v>18.114106270777572</v>
      </c>
      <c r="L11" s="28">
        <f>IF(('Activity data'!L12*EF!$H11)*kgtoGg=0,"NO",('Activity data'!L12*EF!$H11)*kgtoGg)</f>
        <v>18.241829419784612</v>
      </c>
      <c r="M11" s="28">
        <f>IF(('Activity data'!M12*EF!$H11)*kgtoGg=0,"NO",('Activity data'!M12*EF!$H11)*kgtoGg)</f>
        <v>17.98073789971497</v>
      </c>
      <c r="N11" s="28">
        <f>IF(('Activity data'!N12*EF!$H11)*kgtoGg=0,"NO",('Activity data'!N12*EF!$H11)*kgtoGg)</f>
        <v>18.040718384055292</v>
      </c>
      <c r="O11" s="28">
        <f>IF(('Activity data'!O12*EF!$H11)*kgtoGg=0,"NO",('Activity data'!O12*EF!$H11)*kgtoGg)</f>
        <v>17.648375451193886</v>
      </c>
      <c r="P11" s="28">
        <f>IF(('Activity data'!P12*EF!$H11)*kgtoGg=0,"NO",('Activity data'!P12*EF!$H11)*kgtoGg)</f>
        <v>17.697065491423142</v>
      </c>
      <c r="Q11" s="28">
        <f>IF(('Activity data'!Q12*EF!$H11)*kgtoGg=0,"NO",('Activity data'!Q12*EF!$H11)*kgtoGg)</f>
        <v>17.26238339314504</v>
      </c>
      <c r="R11" s="28">
        <f>IF(('Activity data'!R12*EF!$H11)*kgtoGg=0,"NO",('Activity data'!R12*EF!$H11)*kgtoGg)</f>
        <v>16.643525925304292</v>
      </c>
      <c r="S11" s="28">
        <f>IF(('Activity data'!S12*EF!$H11)*kgtoGg=0,"NO",('Activity data'!S12*EF!$H11)*kgtoGg)</f>
        <v>16.228602104220641</v>
      </c>
      <c r="T11" s="28">
        <f>IF(('Activity data'!T12*EF!$H11)*kgtoGg=0,"NO",('Activity data'!T12*EF!$H11)*kgtoGg)</f>
        <v>15.957631445553769</v>
      </c>
      <c r="U11" s="28">
        <f>IF(('Activity data'!U12*EF!$H11)*kgtoGg=0,"NO",('Activity data'!U12*EF!$H11)*kgtoGg)</f>
        <v>16.013378013352426</v>
      </c>
      <c r="V11" s="28">
        <f>IF(('Activity data'!V12*EF!$H11)*kgtoGg=0,"NO",('Activity data'!V12*EF!$H11)*kgtoGg)</f>
        <v>15.728294299546651</v>
      </c>
      <c r="W11" s="28">
        <f>IF(('Activity data'!W12*EF!$H11)*kgtoGg=0,"NO",('Activity data'!W12*EF!$H11)*kgtoGg)</f>
        <v>15.690894703428569</v>
      </c>
      <c r="X11" s="28">
        <f>IF(('Activity data'!X12*EF!$H11)*kgtoGg=0,"NO",('Activity data'!X12*EF!$H11)*kgtoGg)</f>
        <v>15.485549751157579</v>
      </c>
      <c r="Y11" s="28">
        <f>IF(('Activity data'!Y12*EF!$H11)*kgtoGg=0,"NO",('Activity data'!Y12*EF!$H11)*kgtoGg)</f>
        <v>15.470731043261734</v>
      </c>
      <c r="Z11" s="28">
        <f>IF(('Activity data'!Z12*EF!$H11)*kgtoGg=0,"NO",('Activity data'!Z12*EF!$H11)*kgtoGg)</f>
        <v>15.520832389004827</v>
      </c>
      <c r="AA11" s="28">
        <f>IF(('Activity data'!AA12*EF!$H11)*kgtoGg=0,"NO",('Activity data'!AA12*EF!$H11)*kgtoGg)</f>
        <v>15.465791473963119</v>
      </c>
      <c r="AB11" s="28">
        <f>IF(('Activity data'!AB12*EF!$H11)*kgtoGg=0,"NO",('Activity data'!AB12*EF!$H11)*kgtoGg)</f>
        <v>15.166594705018449</v>
      </c>
      <c r="AC11" s="28">
        <f>IF(('Activity data'!AC12*EF!$H11)*kgtoGg=0,"NO",('Activity data'!AC12*EF!$H11)*kgtoGg)</f>
        <v>15.048045041851694</v>
      </c>
      <c r="AD11" s="28">
        <f>IF(('Activity data'!AD12*EF!$H11)*kgtoGg=0,"NO",('Activity data'!AD12*EF!$H11)*kgtoGg)</f>
        <v>15.49835855631836</v>
      </c>
      <c r="AE11" s="28">
        <f>IF(('Activity data'!AE12*EF!$H11)*kgtoGg=0,"NO",('Activity data'!AE12*EF!$H11)*kgtoGg)</f>
        <v>15.447191574031677</v>
      </c>
      <c r="AF11" s="28">
        <f>IF(('Activity data'!AF12*EF!$H11)*kgtoGg=0,"NO",('Activity data'!AF12*EF!$H11)*kgtoGg)</f>
        <v>15.397304757466783</v>
      </c>
      <c r="AG11" s="28">
        <f>IF(('Activity data'!AG12*EF!$H11)*kgtoGg=0,"NO",('Activity data'!AG12*EF!$H11)*kgtoGg)</f>
        <v>15.348726343112299</v>
      </c>
      <c r="AH11" s="28">
        <f>IF(('Activity data'!AH12*EF!$H11)*kgtoGg=0,"NO",('Activity data'!AH12*EF!$H11)*kgtoGg)</f>
        <v>15.297556892469791</v>
      </c>
      <c r="AI11" s="28">
        <f>IF(('Activity data'!AI12*EF!$H11)*kgtoGg=0,"NO",('Activity data'!AI12*EF!$H11)*kgtoGg)</f>
        <v>15.246378316791121</v>
      </c>
      <c r="AJ11" s="28">
        <f>IF(('Activity data'!AJ12*EF!$H11)*kgtoGg=0,"NO",('Activity data'!AJ12*EF!$H11)*kgtoGg)</f>
        <v>15.196196741287702</v>
      </c>
      <c r="AK11" s="28">
        <f>IF(('Activity data'!AK12*EF!$H11)*kgtoGg=0,"NO",('Activity data'!AK12*EF!$H11)*kgtoGg)</f>
        <v>15.146963795605016</v>
      </c>
      <c r="AL11" s="28">
        <f>IF(('Activity data'!AL12*EF!$H11)*kgtoGg=0,"NO",('Activity data'!AL12*EF!$H11)*kgtoGg)</f>
        <v>15.113031328997309</v>
      </c>
      <c r="AM11" s="28">
        <f>IF(('Activity data'!AM12*EF!$H11)*kgtoGg=0,"NO",('Activity data'!AM12*EF!$H11)*kgtoGg)</f>
        <v>15.062115500764286</v>
      </c>
      <c r="AN11" s="28">
        <f>IF(('Activity data'!AN12*EF!$H11)*kgtoGg=0,"NO",('Activity data'!AN12*EF!$H11)*kgtoGg)</f>
        <v>15.012047110203405</v>
      </c>
      <c r="AO11" s="28">
        <f>IF(('Activity data'!AO12*EF!$H11)*kgtoGg=0,"NO",('Activity data'!AO12*EF!$H11)*kgtoGg)</f>
        <v>14.96262592991007</v>
      </c>
      <c r="AP11" s="28">
        <f>IF(('Activity data'!AP12*EF!$H11)*kgtoGg=0,"NO",('Activity data'!AP12*EF!$H11)*kgtoGg)</f>
        <v>14.913988318925622</v>
      </c>
      <c r="AQ11" s="28">
        <f>IF(('Activity data'!AQ12*EF!$H11)*kgtoGg=0,"NO",('Activity data'!AQ12*EF!$H11)*kgtoGg)</f>
        <v>14.865852862763386</v>
      </c>
      <c r="AR11" s="28">
        <f>IF(('Activity data'!AR12*EF!$H11)*kgtoGg=0,"NO",('Activity data'!AR12*EF!$H11)*kgtoGg)</f>
        <v>14.814063602813656</v>
      </c>
      <c r="AS11" s="28">
        <f>IF(('Activity data'!AS12*EF!$H11)*kgtoGg=0,"NO",('Activity data'!AS12*EF!$H11)*kgtoGg)</f>
        <v>14.763036710297932</v>
      </c>
      <c r="AT11" s="28">
        <f>IF(('Activity data'!AT12*EF!$H11)*kgtoGg=0,"NO",('Activity data'!AT12*EF!$H11)*kgtoGg)</f>
        <v>14.712534635983342</v>
      </c>
      <c r="AU11" s="28">
        <f>IF(('Activity data'!AU12*EF!$H11)*kgtoGg=0,"NO",('Activity data'!AU12*EF!$H11)*kgtoGg)</f>
        <v>14.662591366810329</v>
      </c>
      <c r="AV11" s="28">
        <f>IF(('Activity data'!AV12*EF!$H11)*kgtoGg=0,"NO",('Activity data'!AV12*EF!$H11)*kgtoGg)</f>
        <v>14.613181669256253</v>
      </c>
      <c r="AW11" s="28">
        <f>IF(('Activity data'!AW12*EF!$H11)*kgtoGg=0,"NO",('Activity data'!AW12*EF!$H11)*kgtoGg)</f>
        <v>14.56511271651005</v>
      </c>
      <c r="AX11" s="28">
        <f>IF(('Activity data'!AX12*EF!$H11)*kgtoGg=0,"NO",('Activity data'!AX12*EF!$H11)*kgtoGg)</f>
        <v>14.56511271651005</v>
      </c>
      <c r="AY11" s="28">
        <f>IF(('Activity data'!AY12*EF!$H11)*kgtoGg=0,"NO",('Activity data'!AY12*EF!$H11)*kgtoGg)</f>
        <v>14.56511271651005</v>
      </c>
      <c r="AZ11" s="28">
        <f>IF(('Activity data'!AZ12*EF!$H11)*kgtoGg=0,"NO",('Activity data'!AZ12*EF!$H11)*kgtoGg)</f>
        <v>14.56511271651005</v>
      </c>
      <c r="BA11" s="28">
        <f>IF(('Activity data'!BA12*EF!$H11)*kgtoGg=0,"NO",('Activity data'!BA12*EF!$H11)*kgtoGg)</f>
        <v>14.56511271651005</v>
      </c>
      <c r="BB11" s="28">
        <f>IF(('Activity data'!BB12*EF!$H11)*kgtoGg=0,"NO",('Activity data'!BB12*EF!$H11)*kgtoGg)</f>
        <v>14.56511271651005</v>
      </c>
      <c r="BC11" s="28">
        <f>IF(('Activity data'!BC12*EF!$H11)*kgtoGg=0,"NO",('Activity data'!BC12*EF!$H11)*kgtoGg)</f>
        <v>14.56511271651005</v>
      </c>
      <c r="BD11" s="28">
        <f>IF(('Activity data'!BD12*EF!$H11)*kgtoGg=0,"NO",('Activity data'!BD12*EF!$H11)*kgtoGg)</f>
        <v>14.56511271651005</v>
      </c>
      <c r="BE11" s="28">
        <f>IF(('Activity data'!BE12*EF!$H11)*kgtoGg=0,"NO",('Activity data'!BE12*EF!$H11)*kgtoGg)</f>
        <v>14.56511271651005</v>
      </c>
      <c r="BF11" s="28">
        <f>IF(('Activity data'!BF12*EF!$H11)*kgtoGg=0,"NO",('Activity data'!BF12*EF!$H11)*kgtoGg)</f>
        <v>14.56511271651005</v>
      </c>
      <c r="BG11" s="28">
        <f>IF(('Activity data'!BG12*EF!$H11)*kgtoGg=0,"NO",('Activity data'!BG12*EF!$H11)*kgtoGg)</f>
        <v>14.56511271651005</v>
      </c>
      <c r="BH11" s="28">
        <f>IF(('Activity data'!BH12*EF!$H11)*kgtoGg=0,"NO",('Activity data'!BH12*EF!$H11)*kgtoGg)</f>
        <v>14.56511271651005</v>
      </c>
      <c r="BI11" s="28">
        <f>IF(('Activity data'!BI12*EF!$H11)*kgtoGg=0,"NO",('Activity data'!BI12*EF!$H11)*kgtoGg)</f>
        <v>14.56511271651005</v>
      </c>
      <c r="BJ11" s="28">
        <f>IF(('Activity data'!BJ12*EF!$H11)*kgtoGg=0,"NO",('Activity data'!BJ12*EF!$H11)*kgtoGg)</f>
        <v>14.56511271651005</v>
      </c>
      <c r="BK11" s="28">
        <f>IF(('Activity data'!BK12*EF!$H11)*kgtoGg=0,"NO",('Activity data'!BK12*EF!$H11)*kgtoGg)</f>
        <v>14.56511271651005</v>
      </c>
      <c r="BL11" s="28">
        <f>IF(('Activity data'!BL12*EF!$H11)*kgtoGg=0,"NO",('Activity data'!BL12*EF!$H11)*kgtoGg)</f>
        <v>14.56511271651005</v>
      </c>
      <c r="BM11" s="28">
        <f>IF(('Activity data'!BM12*EF!$H11)*kgtoGg=0,"NO",('Activity data'!BM12*EF!$H11)*kgtoGg)</f>
        <v>14.56511271651005</v>
      </c>
      <c r="BN11" s="28">
        <f>IF(('Activity data'!BN12*EF!$H11)*kgtoGg=0,"NO",('Activity data'!BN12*EF!$H11)*kgtoGg)</f>
        <v>14.56511271651005</v>
      </c>
      <c r="BO11" s="28">
        <f>IF(('Activity data'!BO12*EF!$H11)*kgtoGg=0,"NO",('Activity data'!BO12*EF!$H11)*kgtoGg)</f>
        <v>14.56511271651005</v>
      </c>
      <c r="BP11" s="28">
        <f>IF(('Activity data'!BP12*EF!$H11)*kgtoGg=0,"NO",('Activity data'!BP12*EF!$H11)*kgtoGg)</f>
        <v>14.56511271651005</v>
      </c>
    </row>
    <row r="12" spans="1:74" x14ac:dyDescent="0.25">
      <c r="A12" t="str">
        <f t="shared" si="1"/>
        <v>3A Livestock</v>
      </c>
      <c r="B12" t="str">
        <f t="shared" si="2"/>
        <v>3A1 Enteric fermentation (CH4)</v>
      </c>
      <c r="C12" t="str">
        <f>EF!C12</f>
        <v>3A1d Goats</v>
      </c>
      <c r="D12" t="str">
        <f>EF!D12</f>
        <v>Commercial</v>
      </c>
      <c r="E12" t="str">
        <f t="shared" si="3"/>
        <v>Enteric fermentation Emissions</v>
      </c>
      <c r="F12" t="str">
        <f t="shared" si="4"/>
        <v>CH4</v>
      </c>
      <c r="G12" t="str">
        <f t="shared" si="5"/>
        <v>Gg CH4</v>
      </c>
      <c r="H12" s="28">
        <f>IF(('Activity data'!H13*EF!$H12)*kgtoGg=0,"NO",('Activity data'!H13*EF!$H12)*kgtoGg)</f>
        <v>20.285563221215835</v>
      </c>
      <c r="I12" s="28">
        <f>IF(('Activity data'!I13*EF!$H12)*kgtoGg=0,"NO",('Activity data'!I13*EF!$H12)*kgtoGg)</f>
        <v>17.938171082062887</v>
      </c>
      <c r="J12" s="28">
        <f>IF(('Activity data'!J13*EF!$H12)*kgtoGg=0,"NO",('Activity data'!J13*EF!$H12)*kgtoGg)</f>
        <v>16.709629401758534</v>
      </c>
      <c r="K12" s="28">
        <f>IF(('Activity data'!K13*EF!$H12)*kgtoGg=0,"NO",('Activity data'!K13*EF!$H12)*kgtoGg)</f>
        <v>15.788223141530271</v>
      </c>
      <c r="L12" s="28">
        <f>IF(('Activity data'!L13*EF!$H12)*kgtoGg=0,"NO",('Activity data'!L13*EF!$H12)*kgtoGg)</f>
        <v>17.089892302805115</v>
      </c>
      <c r="M12" s="28">
        <f>IF(('Activity data'!M13*EF!$H12)*kgtoGg=0,"NO",('Activity data'!M13*EF!$H12)*kgtoGg)</f>
        <v>17.32390024191071</v>
      </c>
      <c r="N12" s="28">
        <f>IF(('Activity data'!N13*EF!$H12)*kgtoGg=0,"NO",('Activity data'!N13*EF!$H12)*kgtoGg)</f>
        <v>17.594471921501544</v>
      </c>
      <c r="O12" s="28">
        <f>IF(('Activity data'!O13*EF!$H12)*kgtoGg=0,"NO",('Activity data'!O13*EF!$H12)*kgtoGg)</f>
        <v>17.506718944336949</v>
      </c>
      <c r="P12" s="28">
        <f>IF(('Activity data'!P13*EF!$H12)*kgtoGg=0,"NO",('Activity data'!P13*EF!$H12)*kgtoGg)</f>
        <v>17.258085509037262</v>
      </c>
      <c r="Q12" s="28">
        <f>IF(('Activity data'!Q13*EF!$H12)*kgtoGg=0,"NO",('Activity data'!Q13*EF!$H12)*kgtoGg)</f>
        <v>17.002139325640524</v>
      </c>
      <c r="R12" s="28">
        <f>IF(('Activity data'!R13*EF!$H12)*kgtoGg=0,"NO",('Activity data'!R13*EF!$H12)*kgtoGg)</f>
        <v>17.221521768552012</v>
      </c>
      <c r="S12" s="28">
        <f>IF(('Activity data'!S13*EF!$H12)*kgtoGg=0,"NO",('Activity data'!S13*EF!$H12)*kgtoGg)</f>
        <v>17.748039631539594</v>
      </c>
      <c r="T12" s="28">
        <f>IF(('Activity data'!T13*EF!$H12)*kgtoGg=0,"NO",('Activity data'!T13*EF!$H12)*kgtoGg)</f>
        <v>16.205049783062112</v>
      </c>
      <c r="U12" s="28">
        <f>IF(('Activity data'!U13*EF!$H12)*kgtoGg=0,"NO",('Activity data'!U13*EF!$H12)*kgtoGg)</f>
        <v>15.795535889627324</v>
      </c>
      <c r="V12" s="28">
        <f>IF(('Activity data'!V13*EF!$H12)*kgtoGg=0,"NO",('Activity data'!V13*EF!$H12)*kgtoGg)</f>
        <v>15.824786882015525</v>
      </c>
      <c r="W12" s="28">
        <f>IF(('Activity data'!W13*EF!$H12)*kgtoGg=0,"NO",('Activity data'!W13*EF!$H12)*kgtoGg)</f>
        <v>15.620029935298131</v>
      </c>
      <c r="X12" s="28">
        <f>IF(('Activity data'!X13*EF!$H12)*kgtoGg=0,"NO",('Activity data'!X13*EF!$H12)*kgtoGg)</f>
        <v>15.949103599665367</v>
      </c>
      <c r="Y12" s="28">
        <f>IF(('Activity data'!Y13*EF!$H12)*kgtoGg=0,"NO",('Activity data'!Y13*EF!$H12)*kgtoGg)</f>
        <v>15.473774973357138</v>
      </c>
      <c r="Z12" s="28">
        <f>IF(('Activity data'!Z13*EF!$H12)*kgtoGg=0,"NO",('Activity data'!Z13*EF!$H12)*kgtoGg)</f>
        <v>15.459149477163042</v>
      </c>
      <c r="AA12" s="28">
        <f>IF(('Activity data'!AA13*EF!$H12)*kgtoGg=0,"NO",('Activity data'!AA13*EF!$H12)*kgtoGg)</f>
        <v>15.188577797572201</v>
      </c>
      <c r="AB12" s="28">
        <f>IF(('Activity data'!AB13*EF!$H12)*kgtoGg=0,"NO",('Activity data'!AB13*EF!$H12)*kgtoGg)</f>
        <v>15.005759095145958</v>
      </c>
      <c r="AC12" s="28">
        <f>IF(('Activity data'!AC13*EF!$H12)*kgtoGg=0,"NO",('Activity data'!AC13*EF!$H12)*kgtoGg)</f>
        <v>14.866816881302015</v>
      </c>
      <c r="AD12" s="28">
        <f>IF(('Activity data'!AD13*EF!$H12)*kgtoGg=0,"NO",('Activity data'!AD13*EF!$H12)*kgtoGg)</f>
        <v>15.032116526726718</v>
      </c>
      <c r="AE12" s="28">
        <f>IF(('Activity data'!AE13*EF!$H12)*kgtoGg=0,"NO",('Activity data'!AE13*EF!$H12)*kgtoGg)</f>
        <v>14.977921483060216</v>
      </c>
      <c r="AF12" s="28">
        <f>IF(('Activity data'!AF13*EF!$H12)*kgtoGg=0,"NO",('Activity data'!AF13*EF!$H12)*kgtoGg)</f>
        <v>14.924343837743283</v>
      </c>
      <c r="AG12" s="28">
        <f>IF(('Activity data'!AG13*EF!$H12)*kgtoGg=0,"NO",('Activity data'!AG13*EF!$H12)*kgtoGg)</f>
        <v>14.87146099232737</v>
      </c>
      <c r="AH12" s="28">
        <f>IF(('Activity data'!AH13*EF!$H12)*kgtoGg=0,"NO",('Activity data'!AH13*EF!$H12)*kgtoGg)</f>
        <v>14.81498902401442</v>
      </c>
      <c r="AI12" s="28">
        <f>IF(('Activity data'!AI13*EF!$H12)*kgtoGg=0,"NO",('Activity data'!AI13*EF!$H12)*kgtoGg)</f>
        <v>14.7577073350612</v>
      </c>
      <c r="AJ12" s="28">
        <f>IF(('Activity data'!AJ13*EF!$H12)*kgtoGg=0,"NO",('Activity data'!AJ13*EF!$H12)*kgtoGg)</f>
        <v>14.700754114041985</v>
      </c>
      <c r="AK12" s="28">
        <f>IF(('Activity data'!AK13*EF!$H12)*kgtoGg=0,"NO",('Activity data'!AK13*EF!$H12)*kgtoGg)</f>
        <v>14.644109301541075</v>
      </c>
      <c r="AL12" s="28">
        <f>IF(('Activity data'!AL13*EF!$H12)*kgtoGg=0,"NO",('Activity data'!AL13*EF!$H12)*kgtoGg)</f>
        <v>14.604620027756802</v>
      </c>
      <c r="AM12" s="28">
        <f>IF(('Activity data'!AM13*EF!$H12)*kgtoGg=0,"NO",('Activity data'!AM13*EF!$H12)*kgtoGg)</f>
        <v>14.544671293287227</v>
      </c>
      <c r="AN12" s="28">
        <f>IF(('Activity data'!AN13*EF!$H12)*kgtoGg=0,"NO",('Activity data'!AN13*EF!$H12)*kgtoGg)</f>
        <v>14.484896950139465</v>
      </c>
      <c r="AO12" s="28">
        <f>IF(('Activity data'!AO13*EF!$H12)*kgtoGg=0,"NO",('Activity data'!AO13*EF!$H12)*kgtoGg)</f>
        <v>14.425083461141913</v>
      </c>
      <c r="AP12" s="28">
        <f>IF(('Activity data'!AP13*EF!$H12)*kgtoGg=0,"NO",('Activity data'!AP13*EF!$H12)*kgtoGg)</f>
        <v>14.365420097877795</v>
      </c>
      <c r="AQ12" s="28">
        <f>IF(('Activity data'!AQ13*EF!$H12)*kgtoGg=0,"NO",('Activity data'!AQ13*EF!$H12)*kgtoGg)</f>
        <v>14.305582603197914</v>
      </c>
      <c r="AR12" s="28">
        <f>IF(('Activity data'!AR13*EF!$H12)*kgtoGg=0,"NO",('Activity data'!AR13*EF!$H12)*kgtoGg)</f>
        <v>14.24031323607157</v>
      </c>
      <c r="AS12" s="28">
        <f>IF(('Activity data'!AS13*EF!$H12)*kgtoGg=0,"NO",('Activity data'!AS13*EF!$H12)*kgtoGg)</f>
        <v>14.175090038922638</v>
      </c>
      <c r="AT12" s="28">
        <f>IF(('Activity data'!AT13*EF!$H12)*kgtoGg=0,"NO",('Activity data'!AT13*EF!$H12)*kgtoGg)</f>
        <v>14.109631140307023</v>
      </c>
      <c r="AU12" s="28">
        <f>IF(('Activity data'!AU13*EF!$H12)*kgtoGg=0,"NO",('Activity data'!AU13*EF!$H12)*kgtoGg)</f>
        <v>14.043997224955429</v>
      </c>
      <c r="AV12" s="28">
        <f>IF(('Activity data'!AV13*EF!$H12)*kgtoGg=0,"NO",('Activity data'!AV13*EF!$H12)*kgtoGg)</f>
        <v>13.978172318642125</v>
      </c>
      <c r="AW12" s="28">
        <f>IF(('Activity data'!AW13*EF!$H12)*kgtoGg=0,"NO",('Activity data'!AW13*EF!$H12)*kgtoGg)</f>
        <v>13.985081480698421</v>
      </c>
      <c r="AX12" s="28">
        <f>IF(('Activity data'!AX13*EF!$H12)*kgtoGg=0,"NO",('Activity data'!AX13*EF!$H12)*kgtoGg)</f>
        <v>13.988871925955713</v>
      </c>
      <c r="AY12" s="28">
        <f>IF(('Activity data'!AY13*EF!$H12)*kgtoGg=0,"NO",('Activity data'!AY13*EF!$H12)*kgtoGg)</f>
        <v>13.991639537720364</v>
      </c>
      <c r="AZ12" s="28">
        <f>IF(('Activity data'!AZ13*EF!$H12)*kgtoGg=0,"NO",('Activity data'!AZ13*EF!$H12)*kgtoGg)</f>
        <v>13.992914666103587</v>
      </c>
      <c r="BA12" s="28">
        <f>IF(('Activity data'!BA13*EF!$H12)*kgtoGg=0,"NO",('Activity data'!BA13*EF!$H12)*kgtoGg)</f>
        <v>13.992722449783844</v>
      </c>
      <c r="BB12" s="28">
        <f>IF(('Activity data'!BB13*EF!$H12)*kgtoGg=0,"NO",('Activity data'!BB13*EF!$H12)*kgtoGg)</f>
        <v>13.994994529418513</v>
      </c>
      <c r="BC12" s="28">
        <f>IF(('Activity data'!BC13*EF!$H12)*kgtoGg=0,"NO",('Activity data'!BC13*EF!$H12)*kgtoGg)</f>
        <v>13.995344359425555</v>
      </c>
      <c r="BD12" s="28">
        <f>IF(('Activity data'!BD13*EF!$H12)*kgtoGg=0,"NO",('Activity data'!BD13*EF!$H12)*kgtoGg)</f>
        <v>13.993314278982226</v>
      </c>
      <c r="BE12" s="28">
        <f>IF(('Activity data'!BE13*EF!$H12)*kgtoGg=0,"NO",('Activity data'!BE13*EF!$H12)*kgtoGg)</f>
        <v>13.989335988481409</v>
      </c>
      <c r="BF12" s="28">
        <f>IF(('Activity data'!BF13*EF!$H12)*kgtoGg=0,"NO",('Activity data'!BF13*EF!$H12)*kgtoGg)</f>
        <v>13.983773899505499</v>
      </c>
      <c r="BG12" s="28">
        <f>IF(('Activity data'!BG13*EF!$H12)*kgtoGg=0,"NO",('Activity data'!BG13*EF!$H12)*kgtoGg)</f>
        <v>14.027848987240708</v>
      </c>
      <c r="BH12" s="28">
        <f>IF(('Activity data'!BH13*EF!$H12)*kgtoGg=0,"NO",('Activity data'!BH13*EF!$H12)*kgtoGg)</f>
        <v>14.070470362006143</v>
      </c>
      <c r="BI12" s="28">
        <f>IF(('Activity data'!BI13*EF!$H12)*kgtoGg=0,"NO",('Activity data'!BI13*EF!$H12)*kgtoGg)</f>
        <v>14.111573507592647</v>
      </c>
      <c r="BJ12" s="28">
        <f>IF(('Activity data'!BJ13*EF!$H12)*kgtoGg=0,"NO",('Activity data'!BJ13*EF!$H12)*kgtoGg)</f>
        <v>14.151253328552629</v>
      </c>
      <c r="BK12" s="28">
        <f>IF(('Activity data'!BK13*EF!$H12)*kgtoGg=0,"NO",('Activity data'!BK13*EF!$H12)*kgtoGg)</f>
        <v>14.189932048575708</v>
      </c>
      <c r="BL12" s="28">
        <f>IF(('Activity data'!BL13*EF!$H12)*kgtoGg=0,"NO",('Activity data'!BL13*EF!$H12)*kgtoGg)</f>
        <v>14.222964716535202</v>
      </c>
      <c r="BM12" s="28">
        <f>IF(('Activity data'!BM13*EF!$H12)*kgtoGg=0,"NO",('Activity data'!BM13*EF!$H12)*kgtoGg)</f>
        <v>14.254831406049631</v>
      </c>
      <c r="BN12" s="28">
        <f>IF(('Activity data'!BN13*EF!$H12)*kgtoGg=0,"NO",('Activity data'!BN13*EF!$H12)*kgtoGg)</f>
        <v>14.284684564254167</v>
      </c>
      <c r="BO12" s="28">
        <f>IF(('Activity data'!BO13*EF!$H12)*kgtoGg=0,"NO",('Activity data'!BO13*EF!$H12)*kgtoGg)</f>
        <v>14.313430765243366</v>
      </c>
      <c r="BP12" s="28">
        <f>IF(('Activity data'!BP13*EF!$H12)*kgtoGg=0,"NO",('Activity data'!BP13*EF!$H12)*kgtoGg)</f>
        <v>14.341139443296491</v>
      </c>
    </row>
    <row r="13" spans="1:74" x14ac:dyDescent="0.25">
      <c r="A13" t="str">
        <f t="shared" si="1"/>
        <v>3A Livestock</v>
      </c>
      <c r="B13" t="str">
        <f t="shared" si="2"/>
        <v>3A1 Enteric fermentation (CH4)</v>
      </c>
      <c r="C13" t="str">
        <f>EF!C13</f>
        <v>3A1d Goats</v>
      </c>
      <c r="D13" t="str">
        <f>EF!D13</f>
        <v>Subsistence</v>
      </c>
      <c r="E13" t="str">
        <f t="shared" si="3"/>
        <v>Enteric fermentation Emissions</v>
      </c>
      <c r="F13" t="str">
        <f t="shared" si="4"/>
        <v>CH4</v>
      </c>
      <c r="G13" t="str">
        <f t="shared" si="5"/>
        <v>Gg CH4</v>
      </c>
      <c r="H13" s="28">
        <f>IF(('Activity data'!H14*EF!$H13)*kgtoGg=0,"NO",('Activity data'!H14*EF!$H13)*kgtoGg)</f>
        <v>30.547177763222784</v>
      </c>
      <c r="I13" s="28">
        <f>IF(('Activity data'!I14*EF!$H13)*kgtoGg=0,"NO",('Activity data'!I14*EF!$H13)*kgtoGg)</f>
        <v>27.012338519533348</v>
      </c>
      <c r="J13" s="28">
        <f>IF(('Activity data'!J14*EF!$H13)*kgtoGg=0,"NO",('Activity data'!J14*EF!$H13)*kgtoGg)</f>
        <v>25.162329195733268</v>
      </c>
      <c r="K13" s="28">
        <f>IF(('Activity data'!K14*EF!$H13)*kgtoGg=0,"NO",('Activity data'!K14*EF!$H13)*kgtoGg)</f>
        <v>23.774822202883204</v>
      </c>
      <c r="L13" s="28">
        <f>IF(('Activity data'!L14*EF!$H13)*kgtoGg=0,"NO",('Activity data'!L14*EF!$H13)*kgtoGg)</f>
        <v>25.734951129290433</v>
      </c>
      <c r="M13" s="28">
        <f>IF(('Activity data'!M14*EF!$H13)*kgtoGg=0,"NO",('Activity data'!M14*EF!$H13)*kgtoGg)</f>
        <v>26.087333857633308</v>
      </c>
      <c r="N13" s="28">
        <f>IF(('Activity data'!N14*EF!$H13)*kgtoGg=0,"NO",('Activity data'!N14*EF!$H13)*kgtoGg)</f>
        <v>26.494776387279753</v>
      </c>
      <c r="O13" s="28">
        <f>IF(('Activity data'!O14*EF!$H13)*kgtoGg=0,"NO",('Activity data'!O14*EF!$H13)*kgtoGg)</f>
        <v>26.362632864151173</v>
      </c>
      <c r="P13" s="28">
        <f>IF(('Activity data'!P14*EF!$H13)*kgtoGg=0,"NO",('Activity data'!P14*EF!$H13)*kgtoGg)</f>
        <v>25.988226215286872</v>
      </c>
      <c r="Q13" s="28">
        <f>IF(('Activity data'!Q14*EF!$H13)*kgtoGg=0,"NO",('Activity data'!Q14*EF!$H13)*kgtoGg)</f>
        <v>25.602807606161857</v>
      </c>
      <c r="R13" s="28">
        <f>IF(('Activity data'!R14*EF!$H13)*kgtoGg=0,"NO",('Activity data'!R14*EF!$H13)*kgtoGg)</f>
        <v>25.933166413983301</v>
      </c>
      <c r="S13" s="28">
        <f>IF(('Activity data'!S14*EF!$H13)*kgtoGg=0,"NO",('Activity data'!S14*EF!$H13)*kgtoGg)</f>
        <v>26.726027552754761</v>
      </c>
      <c r="T13" s="28">
        <f>IF(('Activity data'!T14*EF!$H13)*kgtoGg=0,"NO",('Activity data'!T14*EF!$H13)*kgtoGg)</f>
        <v>24.402503937743941</v>
      </c>
      <c r="U13" s="28">
        <f>IF(('Activity data'!U14*EF!$H13)*kgtoGg=0,"NO",('Activity data'!U14*EF!$H13)*kgtoGg)</f>
        <v>23.785834163143917</v>
      </c>
      <c r="V13" s="28">
        <f>IF(('Activity data'!V14*EF!$H13)*kgtoGg=0,"NO",('Activity data'!V14*EF!$H13)*kgtoGg)</f>
        <v>23.829882004186778</v>
      </c>
      <c r="W13" s="28">
        <f>IF(('Activity data'!W14*EF!$H13)*kgtoGg=0,"NO",('Activity data'!W14*EF!$H13)*kgtoGg)</f>
        <v>23.521547116886765</v>
      </c>
      <c r="X13" s="28">
        <f>IF(('Activity data'!X14*EF!$H13)*kgtoGg=0,"NO",('Activity data'!X14*EF!$H13)*kgtoGg)</f>
        <v>24.017085328618933</v>
      </c>
      <c r="Y13" s="28">
        <f>IF(('Activity data'!Y14*EF!$H13)*kgtoGg=0,"NO",('Activity data'!Y14*EF!$H13)*kgtoGg)</f>
        <v>23.301307911672467</v>
      </c>
      <c r="Z13" s="28">
        <f>IF(('Activity data'!Z14*EF!$H13)*kgtoGg=0,"NO",('Activity data'!Z14*EF!$H13)*kgtoGg)</f>
        <v>23.279283991151036</v>
      </c>
      <c r="AA13" s="28">
        <f>IF(('Activity data'!AA14*EF!$H13)*kgtoGg=0,"NO",('Activity data'!AA14*EF!$H13)*kgtoGg)</f>
        <v>22.871841461504591</v>
      </c>
      <c r="AB13" s="28">
        <f>IF(('Activity data'!AB14*EF!$H13)*kgtoGg=0,"NO",('Activity data'!AB14*EF!$H13)*kgtoGg)</f>
        <v>22.596542454986725</v>
      </c>
      <c r="AC13" s="28">
        <f>IF(('Activity data'!AC14*EF!$H13)*kgtoGg=0,"NO",('Activity data'!AC14*EF!$H13)*kgtoGg)</f>
        <v>22.38731521003314</v>
      </c>
      <c r="AD13" s="28">
        <f>IF(('Activity data'!AD14*EF!$H13)*kgtoGg=0,"NO",('Activity data'!AD14*EF!$H13)*kgtoGg)</f>
        <v>22.633610031196184</v>
      </c>
      <c r="AE13" s="28">
        <f>IF(('Activity data'!AE14*EF!$H13)*kgtoGg=0,"NO",('Activity data'!AE14*EF!$H13)*kgtoGg)</f>
        <v>22.552009447420083</v>
      </c>
      <c r="AF13" s="28">
        <f>IF(('Activity data'!AF14*EF!$H13)*kgtoGg=0,"NO",('Activity data'!AF14*EF!$H13)*kgtoGg)</f>
        <v>22.471338470160354</v>
      </c>
      <c r="AG13" s="28">
        <f>IF(('Activity data'!AG14*EF!$H13)*kgtoGg=0,"NO",('Activity data'!AG14*EF!$H13)*kgtoGg)</f>
        <v>22.391713641656946</v>
      </c>
      <c r="AH13" s="28">
        <f>IF(('Activity data'!AH14*EF!$H13)*kgtoGg=0,"NO",('Activity data'!AH14*EF!$H13)*kgtoGg)</f>
        <v>22.30668472997862</v>
      </c>
      <c r="AI13" s="28">
        <f>IF(('Activity data'!AI14*EF!$H13)*kgtoGg=0,"NO",('Activity data'!AI14*EF!$H13)*kgtoGg)</f>
        <v>22.220436635281487</v>
      </c>
      <c r="AJ13" s="28">
        <f>IF(('Activity data'!AJ14*EF!$H13)*kgtoGg=0,"NO",('Activity data'!AJ14*EF!$H13)*kgtoGg)</f>
        <v>22.134683109337384</v>
      </c>
      <c r="AK13" s="28">
        <f>IF(('Activity data'!AK14*EF!$H13)*kgtoGg=0,"NO",('Activity data'!AK14*EF!$H13)*kgtoGg)</f>
        <v>22.049393949014796</v>
      </c>
      <c r="AL13" s="28">
        <f>IF(('Activity data'!AL14*EF!$H13)*kgtoGg=0,"NO",('Activity data'!AL14*EF!$H13)*kgtoGg)</f>
        <v>21.989935600507504</v>
      </c>
      <c r="AM13" s="28">
        <f>IF(('Activity data'!AM14*EF!$H13)*kgtoGg=0,"NO",('Activity data'!AM14*EF!$H13)*kgtoGg)</f>
        <v>21.899671779345951</v>
      </c>
      <c r="AN13" s="28">
        <f>IF(('Activity data'!AN14*EF!$H13)*kgtoGg=0,"NO",('Activity data'!AN14*EF!$H13)*kgtoGg)</f>
        <v>21.809670536322592</v>
      </c>
      <c r="AO13" s="28">
        <f>IF(('Activity data'!AO14*EF!$H13)*kgtoGg=0,"NO",('Activity data'!AO14*EF!$H13)*kgtoGg)</f>
        <v>21.719610352038575</v>
      </c>
      <c r="AP13" s="28">
        <f>IF(('Activity data'!AP14*EF!$H13)*kgtoGg=0,"NO",('Activity data'!AP14*EF!$H13)*kgtoGg)</f>
        <v>21.629776209596379</v>
      </c>
      <c r="AQ13" s="28">
        <f>IF(('Activity data'!AQ14*EF!$H13)*kgtoGg=0,"NO",('Activity data'!AQ14*EF!$H13)*kgtoGg)</f>
        <v>21.539679880352242</v>
      </c>
      <c r="AR13" s="28">
        <f>IF(('Activity data'!AR14*EF!$H13)*kgtoGg=0,"NO",('Activity data'!AR14*EF!$H13)*kgtoGg)</f>
        <v>21.441404870316624</v>
      </c>
      <c r="AS13" s="28">
        <f>IF(('Activity data'!AS14*EF!$H13)*kgtoGg=0,"NO",('Activity data'!AS14*EF!$H13)*kgtoGg)</f>
        <v>21.343199377654827</v>
      </c>
      <c r="AT13" s="28">
        <f>IF(('Activity data'!AT14*EF!$H13)*kgtoGg=0,"NO",('Activity data'!AT14*EF!$H13)*kgtoGg)</f>
        <v>21.24463899318048</v>
      </c>
      <c r="AU13" s="28">
        <f>IF(('Activity data'!AU14*EF!$H13)*kgtoGg=0,"NO",('Activity data'!AU14*EF!$H13)*kgtoGg)</f>
        <v>21.145815088892132</v>
      </c>
      <c r="AV13" s="28">
        <f>IF(('Activity data'!AV14*EF!$H13)*kgtoGg=0,"NO",('Activity data'!AV14*EF!$H13)*kgtoGg)</f>
        <v>21.145815088892132</v>
      </c>
      <c r="AW13" s="28">
        <f>IF(('Activity data'!AW14*EF!$H13)*kgtoGg=0,"NO",('Activity data'!AW14*EF!$H13)*kgtoGg)</f>
        <v>21.145815088892132</v>
      </c>
      <c r="AX13" s="28">
        <f>IF(('Activity data'!AX14*EF!$H13)*kgtoGg=0,"NO",('Activity data'!AX14*EF!$H13)*kgtoGg)</f>
        <v>21.145815088892132</v>
      </c>
      <c r="AY13" s="28">
        <f>IF(('Activity data'!AY14*EF!$H13)*kgtoGg=0,"NO",('Activity data'!AY14*EF!$H13)*kgtoGg)</f>
        <v>21.145815088892132</v>
      </c>
      <c r="AZ13" s="28">
        <f>IF(('Activity data'!AZ14*EF!$H13)*kgtoGg=0,"NO",('Activity data'!AZ14*EF!$H13)*kgtoGg)</f>
        <v>21.145815088892132</v>
      </c>
      <c r="BA13" s="28">
        <f>IF(('Activity data'!BA14*EF!$H13)*kgtoGg=0,"NO",('Activity data'!BA14*EF!$H13)*kgtoGg)</f>
        <v>21.145815088892132</v>
      </c>
      <c r="BB13" s="28">
        <f>IF(('Activity data'!BB14*EF!$H13)*kgtoGg=0,"NO",('Activity data'!BB14*EF!$H13)*kgtoGg)</f>
        <v>21.145815088892132</v>
      </c>
      <c r="BC13" s="28">
        <f>IF(('Activity data'!BC14*EF!$H13)*kgtoGg=0,"NO",('Activity data'!BC14*EF!$H13)*kgtoGg)</f>
        <v>21.145815088892132</v>
      </c>
      <c r="BD13" s="28">
        <f>IF(('Activity data'!BD14*EF!$H13)*kgtoGg=0,"NO",('Activity data'!BD14*EF!$H13)*kgtoGg)</f>
        <v>21.145815088892132</v>
      </c>
      <c r="BE13" s="28">
        <f>IF(('Activity data'!BE14*EF!$H13)*kgtoGg=0,"NO",('Activity data'!BE14*EF!$H13)*kgtoGg)</f>
        <v>21.145815088892132</v>
      </c>
      <c r="BF13" s="28">
        <f>IF(('Activity data'!BF14*EF!$H13)*kgtoGg=0,"NO",('Activity data'!BF14*EF!$H13)*kgtoGg)</f>
        <v>21.145815088892132</v>
      </c>
      <c r="BG13" s="28">
        <f>IF(('Activity data'!BG14*EF!$H13)*kgtoGg=0,"NO",('Activity data'!BG14*EF!$H13)*kgtoGg)</f>
        <v>21.145815088892132</v>
      </c>
      <c r="BH13" s="28">
        <f>IF(('Activity data'!BH14*EF!$H13)*kgtoGg=0,"NO",('Activity data'!BH14*EF!$H13)*kgtoGg)</f>
        <v>21.145815088892132</v>
      </c>
      <c r="BI13" s="28">
        <f>IF(('Activity data'!BI14*EF!$H13)*kgtoGg=0,"NO",('Activity data'!BI14*EF!$H13)*kgtoGg)</f>
        <v>21.145815088892132</v>
      </c>
      <c r="BJ13" s="28">
        <f>IF(('Activity data'!BJ14*EF!$H13)*kgtoGg=0,"NO",('Activity data'!BJ14*EF!$H13)*kgtoGg)</f>
        <v>21.145815088892132</v>
      </c>
      <c r="BK13" s="28">
        <f>IF(('Activity data'!BK14*EF!$H13)*kgtoGg=0,"NO",('Activity data'!BK14*EF!$H13)*kgtoGg)</f>
        <v>21.145815088892132</v>
      </c>
      <c r="BL13" s="28">
        <f>IF(('Activity data'!BL14*EF!$H13)*kgtoGg=0,"NO",('Activity data'!BL14*EF!$H13)*kgtoGg)</f>
        <v>21.145815088892132</v>
      </c>
      <c r="BM13" s="28">
        <f>IF(('Activity data'!BM14*EF!$H13)*kgtoGg=0,"NO",('Activity data'!BM14*EF!$H13)*kgtoGg)</f>
        <v>21.145815088892132</v>
      </c>
      <c r="BN13" s="28">
        <f>IF(('Activity data'!BN14*EF!$H13)*kgtoGg=0,"NO",('Activity data'!BN14*EF!$H13)*kgtoGg)</f>
        <v>21.145815088892132</v>
      </c>
      <c r="BO13" s="28">
        <f>IF(('Activity data'!BO14*EF!$H13)*kgtoGg=0,"NO",('Activity data'!BO14*EF!$H13)*kgtoGg)</f>
        <v>21.145815088892132</v>
      </c>
      <c r="BP13" s="28">
        <f>IF(('Activity data'!BP14*EF!$H13)*kgtoGg=0,"NO",('Activity data'!BP14*EF!$H13)*kgtoGg)</f>
        <v>21.145815088892132</v>
      </c>
    </row>
    <row r="14" spans="1:74" x14ac:dyDescent="0.25">
      <c r="A14" t="str">
        <f t="shared" si="1"/>
        <v>3A Livestock</v>
      </c>
      <c r="B14" t="str">
        <f t="shared" si="2"/>
        <v>3A1 Enteric fermentation (CH4)</v>
      </c>
      <c r="C14" t="str">
        <f>EF!C14</f>
        <v>3A1f Horses</v>
      </c>
      <c r="D14" t="str">
        <f>EF!D14</f>
        <v>Horses</v>
      </c>
      <c r="E14" t="str">
        <f t="shared" si="3"/>
        <v>Enteric fermentation Emissions</v>
      </c>
      <c r="F14" t="str">
        <f t="shared" si="4"/>
        <v>CH4</v>
      </c>
      <c r="G14" t="str">
        <f t="shared" si="5"/>
        <v>Gg CH4</v>
      </c>
      <c r="H14" s="28">
        <f>IF(('Activity data'!H15*EF!$H14)*kgtoGg=0,"NO",('Activity data'!H15*EF!$H14)*kgtoGg)</f>
        <v>4.1399999999999997</v>
      </c>
      <c r="I14" s="28">
        <f>IF(('Activity data'!I15*EF!$H14)*kgtoGg=0,"NO",('Activity data'!I15*EF!$H14)*kgtoGg)</f>
        <v>4.1399999999999997</v>
      </c>
      <c r="J14" s="28">
        <f>IF(('Activity data'!J15*EF!$H14)*kgtoGg=0,"NO",('Activity data'!J15*EF!$H14)*kgtoGg)</f>
        <v>4.1399999999999997</v>
      </c>
      <c r="K14" s="28">
        <f>IF(('Activity data'!K15*EF!$H14)*kgtoGg=0,"NO",('Activity data'!K15*EF!$H14)*kgtoGg)</f>
        <v>4.2299999999999995</v>
      </c>
      <c r="L14" s="28">
        <f>IF(('Activity data'!L15*EF!$H14)*kgtoGg=0,"NO",('Activity data'!L15*EF!$H14)*kgtoGg)</f>
        <v>4.3199999999999994</v>
      </c>
      <c r="M14" s="28">
        <f>IF(('Activity data'!M15*EF!$H14)*kgtoGg=0,"NO",('Activity data'!M15*EF!$H14)*kgtoGg)</f>
        <v>4.41</v>
      </c>
      <c r="N14" s="28">
        <f>IF(('Activity data'!N15*EF!$H14)*kgtoGg=0,"NO",('Activity data'!N15*EF!$H14)*kgtoGg)</f>
        <v>4.5</v>
      </c>
      <c r="O14" s="28">
        <f>IF(('Activity data'!O15*EF!$H14)*kgtoGg=0,"NO",('Activity data'!O15*EF!$H14)*kgtoGg)</f>
        <v>4.59</v>
      </c>
      <c r="P14" s="28">
        <f>IF(('Activity data'!P15*EF!$H14)*kgtoGg=0,"NO",('Activity data'!P15*EF!$H14)*kgtoGg)</f>
        <v>4.68</v>
      </c>
      <c r="Q14" s="28">
        <f>IF(('Activity data'!Q15*EF!$H14)*kgtoGg=0,"NO",('Activity data'!Q15*EF!$H14)*kgtoGg)</f>
        <v>4.6440000000000001</v>
      </c>
      <c r="R14" s="28">
        <f>IF(('Activity data'!R15*EF!$H14)*kgtoGg=0,"NO",('Activity data'!R15*EF!$H14)*kgtoGg)</f>
        <v>4.8599999999999994</v>
      </c>
      <c r="S14" s="28">
        <f>IF(('Activity data'!S15*EF!$H14)*kgtoGg=0,"NO",('Activity data'!S15*EF!$H14)*kgtoGg)</f>
        <v>4.8599999999999994</v>
      </c>
      <c r="T14" s="28">
        <f>IF(('Activity data'!T15*EF!$H14)*kgtoGg=0,"NO",('Activity data'!T15*EF!$H14)*kgtoGg)</f>
        <v>4.8599999999999994</v>
      </c>
      <c r="U14" s="28">
        <f>IF(('Activity data'!U15*EF!$H14)*kgtoGg=0,"NO",('Activity data'!U15*EF!$H14)*kgtoGg)</f>
        <v>4.8599999999999994</v>
      </c>
      <c r="V14" s="28">
        <f>IF(('Activity data'!V15*EF!$H14)*kgtoGg=0,"NO",('Activity data'!V15*EF!$H14)*kgtoGg)</f>
        <v>4.8599999999999994</v>
      </c>
      <c r="W14" s="28">
        <f>IF(('Activity data'!W15*EF!$H14)*kgtoGg=0,"NO",('Activity data'!W15*EF!$H14)*kgtoGg)</f>
        <v>4.8599999999999994</v>
      </c>
      <c r="X14" s="28">
        <f>IF(('Activity data'!X15*EF!$H14)*kgtoGg=0,"NO",('Activity data'!X15*EF!$H14)*kgtoGg)</f>
        <v>5.04</v>
      </c>
      <c r="Y14" s="28">
        <f>IF(('Activity data'!Y15*EF!$H14)*kgtoGg=0,"NO",('Activity data'!Y15*EF!$H14)*kgtoGg)</f>
        <v>5.22</v>
      </c>
      <c r="Z14" s="28">
        <f>IF(('Activity data'!Z15*EF!$H14)*kgtoGg=0,"NO",('Activity data'!Z15*EF!$H14)*kgtoGg)</f>
        <v>5.3639999999999999</v>
      </c>
      <c r="AA14" s="28">
        <f>IF(('Activity data'!AA15*EF!$H14)*kgtoGg=0,"NO",('Activity data'!AA15*EF!$H14)*kgtoGg)</f>
        <v>5.3999999999999995</v>
      </c>
      <c r="AB14" s="28">
        <f>IF(('Activity data'!AB15*EF!$H14)*kgtoGg=0,"NO",('Activity data'!AB15*EF!$H14)*kgtoGg)</f>
        <v>5.3999999999999995</v>
      </c>
      <c r="AC14" s="28">
        <f>IF(('Activity data'!AC15*EF!$H14)*kgtoGg=0,"NO",('Activity data'!AC15*EF!$H14)*kgtoGg)</f>
        <v>5.4899999999999993</v>
      </c>
      <c r="AD14" s="28">
        <f>IF(('Activity data'!AD15*EF!$H14)*kgtoGg=0,"NO",('Activity data'!AD15*EF!$H14)*kgtoGg)</f>
        <v>5.5114413861326179</v>
      </c>
      <c r="AE14" s="28">
        <f>IF(('Activity data'!AE15*EF!$H14)*kgtoGg=0,"NO",('Activity data'!AE15*EF!$H14)*kgtoGg)</f>
        <v>5.5702044106567614</v>
      </c>
      <c r="AF14" s="28">
        <f>IF(('Activity data'!AF15*EF!$H14)*kgtoGg=0,"NO",('Activity data'!AF15*EF!$H14)*kgtoGg)</f>
        <v>5.6070925277467358</v>
      </c>
      <c r="AG14" s="28">
        <f>IF(('Activity data'!AG15*EF!$H14)*kgtoGg=0,"NO",('Activity data'!AG15*EF!$H14)*kgtoGg)</f>
        <v>5.6211259640106928</v>
      </c>
      <c r="AH14" s="28">
        <f>IF(('Activity data'!AH15*EF!$H14)*kgtoGg=0,"NO",('Activity data'!AH15*EF!$H14)*kgtoGg)</f>
        <v>5.6141573652695005</v>
      </c>
      <c r="AI14" s="28">
        <f>IF(('Activity data'!AI15*EF!$H14)*kgtoGg=0,"NO",('Activity data'!AI15*EF!$H14)*kgtoGg)</f>
        <v>5.6224630631440782</v>
      </c>
      <c r="AJ14" s="28">
        <f>IF(('Activity data'!AJ15*EF!$H14)*kgtoGg=0,"NO",('Activity data'!AJ15*EF!$H14)*kgtoGg)</f>
        <v>5.6245272825950821</v>
      </c>
      <c r="AK14" s="28">
        <f>IF(('Activity data'!AK15*EF!$H14)*kgtoGg=0,"NO",('Activity data'!AK15*EF!$H14)*kgtoGg)</f>
        <v>5.6208947459798324</v>
      </c>
      <c r="AL14" s="28">
        <f>IF(('Activity data'!AL15*EF!$H14)*kgtoGg=0,"NO",('Activity data'!AL15*EF!$H14)*kgtoGg)</f>
        <v>5.3055525034446189</v>
      </c>
      <c r="AM14" s="28">
        <f>IF(('Activity data'!AM15*EF!$H14)*kgtoGg=0,"NO",('Activity data'!AM15*EF!$H14)*kgtoGg)</f>
        <v>5.3505372885199041</v>
      </c>
      <c r="AN14" s="28">
        <f>IF(('Activity data'!AN15*EF!$H14)*kgtoGg=0,"NO",('Activity data'!AN15*EF!$H14)*kgtoGg)</f>
        <v>5.3915749127793138</v>
      </c>
      <c r="AO14" s="28">
        <f>IF(('Activity data'!AO15*EF!$H14)*kgtoGg=0,"NO",('Activity data'!AO15*EF!$H14)*kgtoGg)</f>
        <v>5.432547929763059</v>
      </c>
      <c r="AP14" s="28">
        <f>IF(('Activity data'!AP15*EF!$H14)*kgtoGg=0,"NO",('Activity data'!AP15*EF!$H14)*kgtoGg)</f>
        <v>5.4701440033518818</v>
      </c>
      <c r="AQ14" s="28">
        <f>IF(('Activity data'!AQ15*EF!$H14)*kgtoGg=0,"NO",('Activity data'!AQ15*EF!$H14)*kgtoGg)</f>
        <v>5.5100810853024962</v>
      </c>
      <c r="AR14" s="28">
        <f>IF(('Activity data'!AR15*EF!$H14)*kgtoGg=0,"NO",('Activity data'!AR15*EF!$H14)*kgtoGg)</f>
        <v>5.5601333380936104</v>
      </c>
      <c r="AS14" s="28">
        <f>IF(('Activity data'!AS15*EF!$H14)*kgtoGg=0,"NO",('Activity data'!AS15*EF!$H14)*kgtoGg)</f>
        <v>5.6084374049193295</v>
      </c>
      <c r="AT14" s="28">
        <f>IF(('Activity data'!AT15*EF!$H14)*kgtoGg=0,"NO",('Activity data'!AT15*EF!$H14)*kgtoGg)</f>
        <v>5.6597943517099436</v>
      </c>
      <c r="AU14" s="28">
        <f>IF(('Activity data'!AU15*EF!$H14)*kgtoGg=0,"NO",('Activity data'!AU15*EF!$H14)*kgtoGg)</f>
        <v>5.7131045515798649</v>
      </c>
      <c r="AV14" s="28">
        <f>IF(('Activity data'!AV15*EF!$H14)*kgtoGg=0,"NO",('Activity data'!AV15*EF!$H14)*kgtoGg)</f>
        <v>5.7685774671196848</v>
      </c>
      <c r="AW14" s="28">
        <f>IF(('Activity data'!AW15*EF!$H14)*kgtoGg=0,"NO",('Activity data'!AW15*EF!$H14)*kgtoGg)</f>
        <v>5.8426946362386856</v>
      </c>
      <c r="AX14" s="28">
        <f>IF(('Activity data'!AX15*EF!$H14)*kgtoGg=0,"NO",('Activity data'!AX15*EF!$H14)*kgtoGg)</f>
        <v>5.910395771921972</v>
      </c>
      <c r="AY14" s="28">
        <f>IF(('Activity data'!AY15*EF!$H14)*kgtoGg=0,"NO",('Activity data'!AY15*EF!$H14)*kgtoGg)</f>
        <v>5.9883120652797448</v>
      </c>
      <c r="AZ14" s="28">
        <f>IF(('Activity data'!AZ15*EF!$H14)*kgtoGg=0,"NO",('Activity data'!AZ15*EF!$H14)*kgtoGg)</f>
        <v>6.0727743913714267</v>
      </c>
      <c r="BA14" s="28">
        <f>IF(('Activity data'!BA15*EF!$H14)*kgtoGg=0,"NO",('Activity data'!BA15*EF!$H14)*kgtoGg)</f>
        <v>6.1640372100573568</v>
      </c>
      <c r="BB14" s="28">
        <f>IF(('Activity data'!BB15*EF!$H14)*kgtoGg=0,"NO",('Activity data'!BB15*EF!$H14)*kgtoGg)</f>
        <v>6.2559776076165319</v>
      </c>
      <c r="BC14" s="28">
        <f>IF(('Activity data'!BC15*EF!$H14)*kgtoGg=0,"NO",('Activity data'!BC15*EF!$H14)*kgtoGg)</f>
        <v>6.3518773469834944</v>
      </c>
      <c r="BD14" s="28">
        <f>IF(('Activity data'!BD15*EF!$H14)*kgtoGg=0,"NO",('Activity data'!BD15*EF!$H14)*kgtoGg)</f>
        <v>6.4481555521530023</v>
      </c>
      <c r="BE14" s="28">
        <f>IF(('Activity data'!BE15*EF!$H14)*kgtoGg=0,"NO",('Activity data'!BE15*EF!$H14)*kgtoGg)</f>
        <v>6.548301007136792</v>
      </c>
      <c r="BF14" s="28">
        <f>IF(('Activity data'!BF15*EF!$H14)*kgtoGg=0,"NO",('Activity data'!BF15*EF!$H14)*kgtoGg)</f>
        <v>6.655285300703988</v>
      </c>
      <c r="BG14" s="28">
        <f>IF(('Activity data'!BG15*EF!$H14)*kgtoGg=0,"NO",('Activity data'!BG15*EF!$H14)*kgtoGg)</f>
        <v>6.7604584310144817</v>
      </c>
      <c r="BH14" s="28">
        <f>IF(('Activity data'!BH15*EF!$H14)*kgtoGg=0,"NO",('Activity data'!BH15*EF!$H14)*kgtoGg)</f>
        <v>6.870052798721713</v>
      </c>
      <c r="BI14" s="28">
        <f>IF(('Activity data'!BI15*EF!$H14)*kgtoGg=0,"NO",('Activity data'!BI15*EF!$H14)*kgtoGg)</f>
        <v>6.9835781533318109</v>
      </c>
      <c r="BJ14" s="28">
        <f>IF(('Activity data'!BJ15*EF!$H14)*kgtoGg=0,"NO",('Activity data'!BJ15*EF!$H14)*kgtoGg)</f>
        <v>7.1018128938876846</v>
      </c>
      <c r="BK14" s="28">
        <f>IF(('Activity data'!BK15*EF!$H14)*kgtoGg=0,"NO",('Activity data'!BK15*EF!$H14)*kgtoGg)</f>
        <v>7.2281193641319499</v>
      </c>
      <c r="BL14" s="28">
        <f>IF(('Activity data'!BL15*EF!$H14)*kgtoGg=0,"NO",('Activity data'!BL15*EF!$H14)*kgtoGg)</f>
        <v>7.3625646606687285</v>
      </c>
      <c r="BM14" s="28">
        <f>IF(('Activity data'!BM15*EF!$H14)*kgtoGg=0,"NO",('Activity data'!BM15*EF!$H14)*kgtoGg)</f>
        <v>7.5033365199462763</v>
      </c>
      <c r="BN14" s="28">
        <f>IF(('Activity data'!BN15*EF!$H14)*kgtoGg=0,"NO",('Activity data'!BN15*EF!$H14)*kgtoGg)</f>
        <v>7.6438006017055562</v>
      </c>
      <c r="BO14" s="28">
        <f>IF(('Activity data'!BO15*EF!$H14)*kgtoGg=0,"NO",('Activity data'!BO15*EF!$H14)*kgtoGg)</f>
        <v>7.7911518606106451</v>
      </c>
      <c r="BP14" s="28">
        <f>IF(('Activity data'!BP15*EF!$H14)*kgtoGg=0,"NO",('Activity data'!BP15*EF!$H14)*kgtoGg)</f>
        <v>7.9459840664027253</v>
      </c>
    </row>
    <row r="15" spans="1:74" x14ac:dyDescent="0.25">
      <c r="A15" t="str">
        <f t="shared" si="1"/>
        <v>3A Livestock</v>
      </c>
      <c r="B15" t="str">
        <f t="shared" si="2"/>
        <v>3A1 Enteric fermentation (CH4)</v>
      </c>
      <c r="C15" t="str">
        <f>EF!C15</f>
        <v>3A1g Mules &amp; asses</v>
      </c>
      <c r="D15" t="str">
        <f>EF!D15</f>
        <v>Mules &amp; Asses</v>
      </c>
      <c r="E15" t="str">
        <f t="shared" si="3"/>
        <v>Enteric fermentation Emissions</v>
      </c>
      <c r="F15" t="str">
        <f t="shared" si="4"/>
        <v>CH4</v>
      </c>
      <c r="G15" t="str">
        <f t="shared" si="5"/>
        <v>Gg CH4</v>
      </c>
      <c r="H15" s="28">
        <f>IF(('Activity data'!H16*EF!$H15)*kgtoGg=0,"NO",('Activity data'!H16*EF!$H15)*kgtoGg)</f>
        <v>2.2399999999999998</v>
      </c>
      <c r="I15" s="28">
        <f>IF(('Activity data'!I16*EF!$H15)*kgtoGg=0,"NO",('Activity data'!I16*EF!$H15)*kgtoGg)</f>
        <v>2.2399999999999998</v>
      </c>
      <c r="J15" s="28">
        <f>IF(('Activity data'!J16*EF!$H15)*kgtoGg=0,"NO",('Activity data'!J16*EF!$H15)*kgtoGg)</f>
        <v>2.2399999999999998</v>
      </c>
      <c r="K15" s="28">
        <f>IF(('Activity data'!K16*EF!$H15)*kgtoGg=0,"NO",('Activity data'!K16*EF!$H15)*kgtoGg)</f>
        <v>2.2399999999999998</v>
      </c>
      <c r="L15" s="28">
        <f>IF(('Activity data'!L16*EF!$H15)*kgtoGg=0,"NO",('Activity data'!L16*EF!$H15)*kgtoGg)</f>
        <v>2.2399999999999998</v>
      </c>
      <c r="M15" s="28">
        <f>IF(('Activity data'!M16*EF!$H15)*kgtoGg=0,"NO",('Activity data'!M16*EF!$H15)*kgtoGg)</f>
        <v>2.2399999999999998</v>
      </c>
      <c r="N15" s="28">
        <f>IF(('Activity data'!N16*EF!$H15)*kgtoGg=0,"NO",('Activity data'!N16*EF!$H15)*kgtoGg)</f>
        <v>2.2399999999999998</v>
      </c>
      <c r="O15" s="28">
        <f>IF(('Activity data'!O16*EF!$H15)*kgtoGg=0,"NO",('Activity data'!O16*EF!$H15)*kgtoGg)</f>
        <v>2.2399999999999998</v>
      </c>
      <c r="P15" s="28">
        <f>IF(('Activity data'!P16*EF!$H15)*kgtoGg=0,"NO",('Activity data'!P16*EF!$H15)*kgtoGg)</f>
        <v>2.2399999999999998</v>
      </c>
      <c r="Q15" s="28">
        <f>IF(('Activity data'!Q16*EF!$H15)*kgtoGg=0,"NO",('Activity data'!Q16*EF!$H15)*kgtoGg)</f>
        <v>2.2399999999999998</v>
      </c>
      <c r="R15" s="28">
        <f>IF(('Activity data'!R16*EF!$H15)*kgtoGg=0,"NO",('Activity data'!R16*EF!$H15)*kgtoGg)</f>
        <v>1.64</v>
      </c>
      <c r="S15" s="28">
        <f>IF(('Activity data'!S16*EF!$H15)*kgtoGg=0,"NO",('Activity data'!S16*EF!$H15)*kgtoGg)</f>
        <v>1.64</v>
      </c>
      <c r="T15" s="28">
        <f>IF(('Activity data'!T16*EF!$H15)*kgtoGg=0,"NO",('Activity data'!T16*EF!$H15)*kgtoGg)</f>
        <v>1.64</v>
      </c>
      <c r="U15" s="28">
        <f>IF(('Activity data'!U16*EF!$H15)*kgtoGg=0,"NO",('Activity data'!U16*EF!$H15)*kgtoGg)</f>
        <v>1.64</v>
      </c>
      <c r="V15" s="28">
        <f>IF(('Activity data'!V16*EF!$H15)*kgtoGg=0,"NO",('Activity data'!V16*EF!$H15)*kgtoGg)</f>
        <v>1.64</v>
      </c>
      <c r="W15" s="28">
        <f>IF(('Activity data'!W16*EF!$H15)*kgtoGg=0,"NO",('Activity data'!W16*EF!$H15)*kgtoGg)</f>
        <v>1.64</v>
      </c>
      <c r="X15" s="28">
        <f>IF(('Activity data'!X16*EF!$H15)*kgtoGg=0,"NO",('Activity data'!X16*EF!$H15)*kgtoGg)</f>
        <v>1.6404999999999998</v>
      </c>
      <c r="Y15" s="28">
        <f>IF(('Activity data'!Y16*EF!$H15)*kgtoGg=0,"NO",('Activity data'!Y16*EF!$H15)*kgtoGg)</f>
        <v>1.6459999999999999</v>
      </c>
      <c r="Z15" s="28">
        <f>IF(('Activity data'!Z16*EF!$H15)*kgtoGg=0,"NO",('Activity data'!Z16*EF!$H15)*kgtoGg)</f>
        <v>1.647</v>
      </c>
      <c r="AA15" s="28">
        <f>IF(('Activity data'!AA16*EF!$H15)*kgtoGg=0,"NO",('Activity data'!AA16*EF!$H15)*kgtoGg)</f>
        <v>1.6479999999999999</v>
      </c>
      <c r="AB15" s="28">
        <f>IF(('Activity data'!AB16*EF!$H15)*kgtoGg=0,"NO",('Activity data'!AB16*EF!$H15)*kgtoGg)</f>
        <v>1.663</v>
      </c>
      <c r="AC15" s="28">
        <f>IF(('Activity data'!AC16*EF!$H15)*kgtoGg=0,"NO",('Activity data'!AC16*EF!$H15)*kgtoGg)</f>
        <v>1.67</v>
      </c>
      <c r="AD15" s="28">
        <f>IF(('Activity data'!AD16*EF!$H15)*kgtoGg=0,"NO",('Activity data'!AD16*EF!$H15)*kgtoGg)</f>
        <v>1.67</v>
      </c>
      <c r="AE15" s="28">
        <f>IF(('Activity data'!AE16*EF!$H15)*kgtoGg=0,"NO",('Activity data'!AE16*EF!$H15)*kgtoGg)</f>
        <v>1.67</v>
      </c>
      <c r="AF15" s="28">
        <f>IF(('Activity data'!AF16*EF!$H15)*kgtoGg=0,"NO",('Activity data'!AF16*EF!$H15)*kgtoGg)</f>
        <v>1.67</v>
      </c>
      <c r="AG15" s="28">
        <f>IF(('Activity data'!AG16*EF!$H15)*kgtoGg=0,"NO",('Activity data'!AG16*EF!$H15)*kgtoGg)</f>
        <v>1.67</v>
      </c>
      <c r="AH15" s="28">
        <f>IF(('Activity data'!AH16*EF!$H15)*kgtoGg=0,"NO",('Activity data'!AH16*EF!$H15)*kgtoGg)</f>
        <v>1.67</v>
      </c>
      <c r="AI15" s="28">
        <f>IF(('Activity data'!AI16*EF!$H15)*kgtoGg=0,"NO",('Activity data'!AI16*EF!$H15)*kgtoGg)</f>
        <v>1.67</v>
      </c>
      <c r="AJ15" s="28">
        <f>IF(('Activity data'!AJ16*EF!$H15)*kgtoGg=0,"NO",('Activity data'!AJ16*EF!$H15)*kgtoGg)</f>
        <v>1.67</v>
      </c>
      <c r="AK15" s="28">
        <f>IF(('Activity data'!AK16*EF!$H15)*kgtoGg=0,"NO",('Activity data'!AK16*EF!$H15)*kgtoGg)</f>
        <v>1.67</v>
      </c>
      <c r="AL15" s="28">
        <f>IF(('Activity data'!AL16*EF!$H15)*kgtoGg=0,"NO",('Activity data'!AL16*EF!$H15)*kgtoGg)</f>
        <v>1.67</v>
      </c>
      <c r="AM15" s="28">
        <f>IF(('Activity data'!AM16*EF!$H15)*kgtoGg=0,"NO",('Activity data'!AM16*EF!$H15)*kgtoGg)</f>
        <v>1.67</v>
      </c>
      <c r="AN15" s="28">
        <f>IF(('Activity data'!AN16*EF!$H15)*kgtoGg=0,"NO",('Activity data'!AN16*EF!$H15)*kgtoGg)</f>
        <v>1.67</v>
      </c>
      <c r="AO15" s="28">
        <f>IF(('Activity data'!AO16*EF!$H15)*kgtoGg=0,"NO",('Activity data'!AO16*EF!$H15)*kgtoGg)</f>
        <v>1.67</v>
      </c>
      <c r="AP15" s="28">
        <f>IF(('Activity data'!AP16*EF!$H15)*kgtoGg=0,"NO",('Activity data'!AP16*EF!$H15)*kgtoGg)</f>
        <v>1.67</v>
      </c>
      <c r="AQ15" s="28">
        <f>IF(('Activity data'!AQ16*EF!$H15)*kgtoGg=0,"NO",('Activity data'!AQ16*EF!$H15)*kgtoGg)</f>
        <v>1.67</v>
      </c>
      <c r="AR15" s="28">
        <f>IF(('Activity data'!AR16*EF!$H15)*kgtoGg=0,"NO",('Activity data'!AR16*EF!$H15)*kgtoGg)</f>
        <v>1.67</v>
      </c>
      <c r="AS15" s="28">
        <f>IF(('Activity data'!AS16*EF!$H15)*kgtoGg=0,"NO",('Activity data'!AS16*EF!$H15)*kgtoGg)</f>
        <v>1.67</v>
      </c>
      <c r="AT15" s="28">
        <f>IF(('Activity data'!AT16*EF!$H15)*kgtoGg=0,"NO",('Activity data'!AT16*EF!$H15)*kgtoGg)</f>
        <v>1.67</v>
      </c>
      <c r="AU15" s="28">
        <f>IF(('Activity data'!AU16*EF!$H15)*kgtoGg=0,"NO",('Activity data'!AU16*EF!$H15)*kgtoGg)</f>
        <v>1.67</v>
      </c>
      <c r="AV15" s="28">
        <f>IF(('Activity data'!AV16*EF!$H15)*kgtoGg=0,"NO",('Activity data'!AV16*EF!$H15)*kgtoGg)</f>
        <v>1.67</v>
      </c>
      <c r="AW15" s="28">
        <f>IF(('Activity data'!AW16*EF!$H15)*kgtoGg=0,"NO",('Activity data'!AW16*EF!$H15)*kgtoGg)</f>
        <v>1.67</v>
      </c>
      <c r="AX15" s="28">
        <f>IF(('Activity data'!AX16*EF!$H15)*kgtoGg=0,"NO",('Activity data'!AX16*EF!$H15)*kgtoGg)</f>
        <v>1.67</v>
      </c>
      <c r="AY15" s="28">
        <f>IF(('Activity data'!AY16*EF!$H15)*kgtoGg=0,"NO",('Activity data'!AY16*EF!$H15)*kgtoGg)</f>
        <v>1.67</v>
      </c>
      <c r="AZ15" s="28">
        <f>IF(('Activity data'!AZ16*EF!$H15)*kgtoGg=0,"NO",('Activity data'!AZ16*EF!$H15)*kgtoGg)</f>
        <v>1.67</v>
      </c>
      <c r="BA15" s="28">
        <f>IF(('Activity data'!BA16*EF!$H15)*kgtoGg=0,"NO",('Activity data'!BA16*EF!$H15)*kgtoGg)</f>
        <v>1.67</v>
      </c>
      <c r="BB15" s="28">
        <f>IF(('Activity data'!BB16*EF!$H15)*kgtoGg=0,"NO",('Activity data'!BB16*EF!$H15)*kgtoGg)</f>
        <v>1.67</v>
      </c>
      <c r="BC15" s="28">
        <f>IF(('Activity data'!BC16*EF!$H15)*kgtoGg=0,"NO",('Activity data'!BC16*EF!$H15)*kgtoGg)</f>
        <v>1.67</v>
      </c>
      <c r="BD15" s="28">
        <f>IF(('Activity data'!BD16*EF!$H15)*kgtoGg=0,"NO",('Activity data'!BD16*EF!$H15)*kgtoGg)</f>
        <v>1.67</v>
      </c>
      <c r="BE15" s="28">
        <f>IF(('Activity data'!BE16*EF!$H15)*kgtoGg=0,"NO",('Activity data'!BE16*EF!$H15)*kgtoGg)</f>
        <v>1.67</v>
      </c>
      <c r="BF15" s="28">
        <f>IF(('Activity data'!BF16*EF!$H15)*kgtoGg=0,"NO",('Activity data'!BF16*EF!$H15)*kgtoGg)</f>
        <v>1.67</v>
      </c>
      <c r="BG15" s="28">
        <f>IF(('Activity data'!BG16*EF!$H15)*kgtoGg=0,"NO",('Activity data'!BG16*EF!$H15)*kgtoGg)</f>
        <v>1.67</v>
      </c>
      <c r="BH15" s="28">
        <f>IF(('Activity data'!BH16*EF!$H15)*kgtoGg=0,"NO",('Activity data'!BH16*EF!$H15)*kgtoGg)</f>
        <v>1.67</v>
      </c>
      <c r="BI15" s="28">
        <f>IF(('Activity data'!BI16*EF!$H15)*kgtoGg=0,"NO",('Activity data'!BI16*EF!$H15)*kgtoGg)</f>
        <v>1.67</v>
      </c>
      <c r="BJ15" s="28">
        <f>IF(('Activity data'!BJ16*EF!$H15)*kgtoGg=0,"NO",('Activity data'!BJ16*EF!$H15)*kgtoGg)</f>
        <v>1.67</v>
      </c>
      <c r="BK15" s="28">
        <f>IF(('Activity data'!BK16*EF!$H15)*kgtoGg=0,"NO",('Activity data'!BK16*EF!$H15)*kgtoGg)</f>
        <v>1.67</v>
      </c>
      <c r="BL15" s="28">
        <f>IF(('Activity data'!BL16*EF!$H15)*kgtoGg=0,"NO",('Activity data'!BL16*EF!$H15)*kgtoGg)</f>
        <v>1.67</v>
      </c>
      <c r="BM15" s="28">
        <f>IF(('Activity data'!BM16*EF!$H15)*kgtoGg=0,"NO",('Activity data'!BM16*EF!$H15)*kgtoGg)</f>
        <v>1.67</v>
      </c>
      <c r="BN15" s="28">
        <f>IF(('Activity data'!BN16*EF!$H15)*kgtoGg=0,"NO",('Activity data'!BN16*EF!$H15)*kgtoGg)</f>
        <v>1.67</v>
      </c>
      <c r="BO15" s="28">
        <f>IF(('Activity data'!BO16*EF!$H15)*kgtoGg=0,"NO",('Activity data'!BO16*EF!$H15)*kgtoGg)</f>
        <v>1.67</v>
      </c>
      <c r="BP15" s="28">
        <f>IF(('Activity data'!BP16*EF!$H15)*kgtoGg=0,"NO",('Activity data'!BP16*EF!$H15)*kgtoGg)</f>
        <v>1.67</v>
      </c>
    </row>
    <row r="16" spans="1:74" x14ac:dyDescent="0.25">
      <c r="A16" t="str">
        <f t="shared" si="1"/>
        <v>3A Livestock</v>
      </c>
      <c r="B16" t="str">
        <f t="shared" si="2"/>
        <v>3A1 Enteric fermentation (CH4)</v>
      </c>
      <c r="C16" t="str">
        <f>EF!C16</f>
        <v>3A1h Swine</v>
      </c>
      <c r="D16" t="str">
        <f>EF!D16</f>
        <v>Commercial</v>
      </c>
      <c r="E16" t="str">
        <f t="shared" si="3"/>
        <v>Enteric fermentation Emissions</v>
      </c>
      <c r="F16" t="str">
        <f t="shared" si="4"/>
        <v>CH4</v>
      </c>
      <c r="G16" t="str">
        <f t="shared" si="5"/>
        <v>Gg CH4</v>
      </c>
      <c r="H16" s="28">
        <f>IF(('Activity data'!H17*EF!$H16)*kgtoGg=0,"NO",('Activity data'!H17*EF!$H16)*kgtoGg)</f>
        <v>1.6933773600000002</v>
      </c>
      <c r="I16" s="28">
        <f>IF(('Activity data'!I17*EF!$H16)*kgtoGg=0,"NO",('Activity data'!I17*EF!$H16)*kgtoGg)</f>
        <v>1.8500481000000002</v>
      </c>
      <c r="J16" s="28">
        <f>IF(('Activity data'!J17*EF!$H16)*kgtoGg=0,"NO",('Activity data'!J17*EF!$H16)*kgtoGg)</f>
        <v>1.8378255600000002</v>
      </c>
      <c r="K16" s="28">
        <f>IF(('Activity data'!K17*EF!$H16)*kgtoGg=0,"NO",('Activity data'!K17*EF!$H16)*kgtoGg)</f>
        <v>1.8367144200000003</v>
      </c>
      <c r="L16" s="28">
        <f>IF(('Activity data'!L17*EF!$H16)*kgtoGg=0,"NO",('Activity data'!L17*EF!$H16)*kgtoGg)</f>
        <v>1.7444898000000002</v>
      </c>
      <c r="M16" s="28">
        <f>IF(('Activity data'!M17*EF!$H16)*kgtoGg=0,"NO",('Activity data'!M17*EF!$H16)*kgtoGg)</f>
        <v>1.7611569000000002</v>
      </c>
      <c r="N16" s="28">
        <f>IF(('Activity data'!N17*EF!$H16)*kgtoGg=0,"NO",('Activity data'!N17*EF!$H16)*kgtoGg)</f>
        <v>1.8967159800000004</v>
      </c>
      <c r="O16" s="28">
        <f>IF(('Activity data'!O17*EF!$H16)*kgtoGg=0,"NO",('Activity data'!O17*EF!$H16)*kgtoGg)</f>
        <v>1.8878268600000003</v>
      </c>
      <c r="P16" s="28">
        <f>IF(('Activity data'!P17*EF!$H16)*kgtoGg=0,"NO",('Activity data'!P17*EF!$H16)*kgtoGg)</f>
        <v>1.9289390400000004</v>
      </c>
      <c r="Q16" s="28">
        <f>IF(('Activity data'!Q17*EF!$H16)*kgtoGg=0,"NO",('Activity data'!Q17*EF!$H16)*kgtoGg)</f>
        <v>1.9778292000000004</v>
      </c>
      <c r="R16" s="28">
        <f>IF(('Activity data'!R17*EF!$H16)*kgtoGg=0,"NO",('Activity data'!R17*EF!$H16)*kgtoGg)</f>
        <v>1.8300475800000002</v>
      </c>
      <c r="S16" s="28">
        <f>IF(('Activity data'!S17*EF!$H16)*kgtoGg=0,"NO",('Activity data'!S17*EF!$H16)*kgtoGg)</f>
        <v>1.8644929200000002</v>
      </c>
      <c r="T16" s="28">
        <f>IF(('Activity data'!T17*EF!$H16)*kgtoGg=0,"NO",('Activity data'!T17*EF!$H16)*kgtoGg)</f>
        <v>1.9000494000000003</v>
      </c>
      <c r="U16" s="28">
        <f>IF(('Activity data'!U17*EF!$H16)*kgtoGg=0,"NO",('Activity data'!U17*EF!$H16)*kgtoGg)</f>
        <v>1.8478258200000002</v>
      </c>
      <c r="V16" s="28">
        <f>IF(('Activity data'!V17*EF!$H16)*kgtoGg=0,"NO",('Activity data'!V17*EF!$H16)*kgtoGg)</f>
        <v>1.8478258200000002</v>
      </c>
      <c r="W16" s="28">
        <f>IF(('Activity data'!W17*EF!$H16)*kgtoGg=0,"NO",('Activity data'!W17*EF!$H16)*kgtoGg)</f>
        <v>1.8344921400000003</v>
      </c>
      <c r="X16" s="28">
        <f>IF(('Activity data'!X17*EF!$H16)*kgtoGg=0,"NO",('Activity data'!X17*EF!$H16)*kgtoGg)</f>
        <v>1.8022690800000003</v>
      </c>
      <c r="Y16" s="28">
        <f>IF(('Activity data'!Y17*EF!$H16)*kgtoGg=0,"NO",('Activity data'!Y17*EF!$H16)*kgtoGg)</f>
        <v>1.8344921400000003</v>
      </c>
      <c r="Z16" s="28">
        <f>IF(('Activity data'!Z17*EF!$H16)*kgtoGg=0,"NO",('Activity data'!Z17*EF!$H16)*kgtoGg)</f>
        <v>1.7944911000000003</v>
      </c>
      <c r="AA16" s="28">
        <f>IF(('Activity data'!AA17*EF!$H16)*kgtoGg=0,"NO",('Activity data'!AA17*EF!$H16)*kgtoGg)</f>
        <v>1.7922688200000003</v>
      </c>
      <c r="AB16" s="28">
        <f>IF(('Activity data'!AB17*EF!$H16)*kgtoGg=0,"NO",('Activity data'!AB17*EF!$H16)*kgtoGg)</f>
        <v>1.7711571600000002</v>
      </c>
      <c r="AC16" s="28">
        <f>IF(('Activity data'!AC17*EF!$H16)*kgtoGg=0,"NO",('Activity data'!AC17*EF!$H16)*kgtoGg)</f>
        <v>1.7600457600000003</v>
      </c>
      <c r="AD16" s="28">
        <f>IF(('Activity data'!AD17*EF!$H16)*kgtoGg=0,"NO",('Activity data'!AD17*EF!$H16)*kgtoGg)</f>
        <v>1.7417405182504593</v>
      </c>
      <c r="AE16" s="28">
        <f>IF(('Activity data'!AE17*EF!$H16)*kgtoGg=0,"NO",('Activity data'!AE17*EF!$H16)*kgtoGg)</f>
        <v>1.734676837578996</v>
      </c>
      <c r="AF16" s="28">
        <f>IF(('Activity data'!AF17*EF!$H16)*kgtoGg=0,"NO",('Activity data'!AF17*EF!$H16)*kgtoGg)</f>
        <v>1.7296115452467886</v>
      </c>
      <c r="AG16" s="28">
        <f>IF(('Activity data'!AG17*EF!$H16)*kgtoGg=0,"NO",('Activity data'!AG17*EF!$H16)*kgtoGg)</f>
        <v>1.7264954527325453</v>
      </c>
      <c r="AH16" s="28">
        <f>IF(('Activity data'!AH17*EF!$H16)*kgtoGg=0,"NO",('Activity data'!AH17*EF!$H16)*kgtoGg)</f>
        <v>1.7249711136904702</v>
      </c>
      <c r="AI16" s="28">
        <f>IF(('Activity data'!AI17*EF!$H16)*kgtoGg=0,"NO",('Activity data'!AI17*EF!$H16)*kgtoGg)</f>
        <v>1.7221958461445162</v>
      </c>
      <c r="AJ16" s="28">
        <f>IF(('Activity data'!AJ17*EF!$H16)*kgtoGg=0,"NO",('Activity data'!AJ17*EF!$H16)*kgtoGg)</f>
        <v>1.7199586936435851</v>
      </c>
      <c r="AK16" s="28">
        <f>IF(('Activity data'!AK17*EF!$H16)*kgtoGg=0,"NO",('Activity data'!AK17*EF!$H16)*kgtoGg)</f>
        <v>1.7182128583902043</v>
      </c>
      <c r="AL16" s="28">
        <f>IF(('Activity data'!AL17*EF!$H16)*kgtoGg=0,"NO",('Activity data'!AL17*EF!$H16)*kgtoGg)</f>
        <v>1.7453198088294959</v>
      </c>
      <c r="AM16" s="28">
        <f>IF(('Activity data'!AM17*EF!$H16)*kgtoGg=0,"NO",('Activity data'!AM17*EF!$H16)*kgtoGg)</f>
        <v>1.7387429178166069</v>
      </c>
      <c r="AN16" s="28">
        <f>IF(('Activity data'!AN17*EF!$H16)*kgtoGg=0,"NO",('Activity data'!AN17*EF!$H16)*kgtoGg)</f>
        <v>1.7327041699357528</v>
      </c>
      <c r="AO16" s="28">
        <f>IF(('Activity data'!AO17*EF!$H16)*kgtoGg=0,"NO",('Activity data'!AO17*EF!$H16)*kgtoGg)</f>
        <v>1.7267984883888545</v>
      </c>
      <c r="AP16" s="28">
        <f>IF(('Activity data'!AP17*EF!$H16)*kgtoGg=0,"NO",('Activity data'!AP17*EF!$H16)*kgtoGg)</f>
        <v>1.7213238592155371</v>
      </c>
      <c r="AQ16" s="28">
        <f>IF(('Activity data'!AQ17*EF!$H16)*kgtoGg=0,"NO",('Activity data'!AQ17*EF!$H16)*kgtoGg)</f>
        <v>1.7157400551065702</v>
      </c>
      <c r="AR16" s="28">
        <f>IF(('Activity data'!AR17*EF!$H16)*kgtoGg=0,"NO",('Activity data'!AR17*EF!$H16)*kgtoGg)</f>
        <v>1.7092218327768598</v>
      </c>
      <c r="AS16" s="28">
        <f>IF(('Activity data'!AS17*EF!$H16)*kgtoGg=0,"NO",('Activity data'!AS17*EF!$H16)*kgtoGg)</f>
        <v>1.7030047314889896</v>
      </c>
      <c r="AT16" s="28">
        <f>IF(('Activity data'!AT17*EF!$H16)*kgtoGg=0,"NO",('Activity data'!AT17*EF!$H16)*kgtoGg)</f>
        <v>1.6966765345631705</v>
      </c>
      <c r="AU16" s="28">
        <f>IF(('Activity data'!AU17*EF!$H16)*kgtoGg=0,"NO",('Activity data'!AU17*EF!$H16)*kgtoGg)</f>
        <v>1.6903403149156846</v>
      </c>
      <c r="AV16" s="28">
        <f>IF(('Activity data'!AV17*EF!$H16)*kgtoGg=0,"NO",('Activity data'!AV17*EF!$H16)*kgtoGg)</f>
        <v>1.6839872620978906</v>
      </c>
      <c r="AW16" s="28">
        <f>IF(('Activity data'!AW17*EF!$H16)*kgtoGg=0,"NO",('Activity data'!AW17*EF!$H16)*kgtoGg)</f>
        <v>1.6967875826059937</v>
      </c>
      <c r="AX16" s="28">
        <f>IF(('Activity data'!AX17*EF!$H16)*kgtoGg=0,"NO",('Activity data'!AX17*EF!$H16)*kgtoGg)</f>
        <v>1.7033932301187282</v>
      </c>
      <c r="AY16" s="28">
        <f>IF(('Activity data'!AY17*EF!$H16)*kgtoGg=0,"NO",('Activity data'!AY17*EF!$H16)*kgtoGg)</f>
        <v>1.7126140097634033</v>
      </c>
      <c r="AZ16" s="28">
        <f>IF(('Activity data'!AZ17*EF!$H16)*kgtoGg=0,"NO",('Activity data'!AZ17*EF!$H16)*kgtoGg)</f>
        <v>1.722092408148012</v>
      </c>
      <c r="BA16" s="28">
        <f>IF(('Activity data'!BA17*EF!$H16)*kgtoGg=0,"NO",('Activity data'!BA17*EF!$H16)*kgtoGg)</f>
        <v>1.7315917294246423</v>
      </c>
      <c r="BB16" s="28">
        <f>IF(('Activity data'!BB17*EF!$H16)*kgtoGg=0,"NO",('Activity data'!BB17*EF!$H16)*kgtoGg)</f>
        <v>1.7385494708105136</v>
      </c>
      <c r="BC16" s="28">
        <f>IF(('Activity data'!BC17*EF!$H16)*kgtoGg=0,"NO",('Activity data'!BC17*EF!$H16)*kgtoGg)</f>
        <v>1.7438039853543501</v>
      </c>
      <c r="BD16" s="28">
        <f>IF(('Activity data'!BD17*EF!$H16)*kgtoGg=0,"NO",('Activity data'!BD17*EF!$H16)*kgtoGg)</f>
        <v>1.7456779308388326</v>
      </c>
      <c r="BE16" s="28">
        <f>IF(('Activity data'!BE17*EF!$H16)*kgtoGg=0,"NO",('Activity data'!BE17*EF!$H16)*kgtoGg)</f>
        <v>1.7455589430746423</v>
      </c>
      <c r="BF16" s="28">
        <f>IF(('Activity data'!BF17*EF!$H16)*kgtoGg=0,"NO",('Activity data'!BF17*EF!$H16)*kgtoGg)</f>
        <v>1.7443931120994485</v>
      </c>
      <c r="BG16" s="28">
        <f>IF(('Activity data'!BG17*EF!$H16)*kgtoGg=0,"NO",('Activity data'!BG17*EF!$H16)*kgtoGg)</f>
        <v>1.7538695306625827</v>
      </c>
      <c r="BH16" s="28">
        <f>IF(('Activity data'!BH17*EF!$H16)*kgtoGg=0,"NO",('Activity data'!BH17*EF!$H16)*kgtoGg)</f>
        <v>1.761910760921964</v>
      </c>
      <c r="BI16" s="28">
        <f>IF(('Activity data'!BI17*EF!$H16)*kgtoGg=0,"NO",('Activity data'!BI17*EF!$H16)*kgtoGg)</f>
        <v>1.7681858484107205</v>
      </c>
      <c r="BJ16" s="28">
        <f>IF(('Activity data'!BJ17*EF!$H16)*kgtoGg=0,"NO",('Activity data'!BJ17*EF!$H16)*kgtoGg)</f>
        <v>1.7728054637112971</v>
      </c>
      <c r="BK16" s="28">
        <f>IF(('Activity data'!BK17*EF!$H16)*kgtoGg=0,"NO",('Activity data'!BK17*EF!$H16)*kgtoGg)</f>
        <v>1.7766427319110543</v>
      </c>
      <c r="BL16" s="28">
        <f>IF(('Activity data'!BL17*EF!$H16)*kgtoGg=0,"NO",('Activity data'!BL17*EF!$H16)*kgtoGg)</f>
        <v>1.7788531575205253</v>
      </c>
      <c r="BM16" s="28">
        <f>IF(('Activity data'!BM17*EF!$H16)*kgtoGg=0,"NO",('Activity data'!BM17*EF!$H16)*kgtoGg)</f>
        <v>1.7792059425091933</v>
      </c>
      <c r="BN16" s="28">
        <f>IF(('Activity data'!BN17*EF!$H16)*kgtoGg=0,"NO",('Activity data'!BN17*EF!$H16)*kgtoGg)</f>
        <v>1.7757080057524008</v>
      </c>
      <c r="BO16" s="28">
        <f>IF(('Activity data'!BO17*EF!$H16)*kgtoGg=0,"NO",('Activity data'!BO17*EF!$H16)*kgtoGg)</f>
        <v>1.7702595117050979</v>
      </c>
      <c r="BP16" s="28">
        <f>IF(('Activity data'!BP17*EF!$H16)*kgtoGg=0,"NO",('Activity data'!BP17*EF!$H16)*kgtoGg)</f>
        <v>1.7627872600538561</v>
      </c>
    </row>
    <row r="17" spans="1:68" x14ac:dyDescent="0.25">
      <c r="A17" t="str">
        <f t="shared" si="1"/>
        <v>3A Livestock</v>
      </c>
      <c r="B17" t="str">
        <f t="shared" si="2"/>
        <v>3A1 Enteric fermentation (CH4)</v>
      </c>
      <c r="C17" t="str">
        <f>EF!C17</f>
        <v>3A1h Swine</v>
      </c>
      <c r="D17" t="str">
        <f>EF!D17</f>
        <v>Subsistence</v>
      </c>
      <c r="E17" t="str">
        <f t="shared" si="3"/>
        <v>Enteric fermentation Emissions</v>
      </c>
      <c r="F17" t="str">
        <f t="shared" si="4"/>
        <v>CH4</v>
      </c>
      <c r="G17" t="str">
        <f t="shared" si="5"/>
        <v>Gg CH4</v>
      </c>
      <c r="H17" s="28">
        <f>IF(('Activity data'!H18*EF!$H17)*kgtoGg=0,"NO",('Activity data'!H18*EF!$H17)*kgtoGg)</f>
        <v>0.22469223109375691</v>
      </c>
      <c r="I17" s="28">
        <f>IF(('Activity data'!I18*EF!$H17)*kgtoGg=0,"NO",('Activity data'!I18*EF!$H17)*kgtoGg)</f>
        <v>0.24548068554534469</v>
      </c>
      <c r="J17" s="28">
        <f>IF(('Activity data'!J18*EF!$H17)*kgtoGg=0,"NO",('Activity data'!J18*EF!$H17)*kgtoGg)</f>
        <v>0.24385889122642646</v>
      </c>
      <c r="K17" s="28">
        <f>IF(('Activity data'!K18*EF!$H17)*kgtoGg=0,"NO",('Activity data'!K18*EF!$H17)*kgtoGg)</f>
        <v>0.2437114553792521</v>
      </c>
      <c r="L17" s="28">
        <f>IF(('Activity data'!L18*EF!$H17)*kgtoGg=0,"NO",('Activity data'!L18*EF!$H17)*kgtoGg)</f>
        <v>0.23147428006377843</v>
      </c>
      <c r="M17" s="28">
        <f>IF(('Activity data'!M18*EF!$H17)*kgtoGg=0,"NO",('Activity data'!M18*EF!$H17)*kgtoGg)</f>
        <v>0.23368581777139416</v>
      </c>
      <c r="N17" s="28">
        <f>IF(('Activity data'!N18*EF!$H17)*kgtoGg=0,"NO",('Activity data'!N18*EF!$H17)*kgtoGg)</f>
        <v>0.25167299112666869</v>
      </c>
      <c r="O17" s="28">
        <f>IF(('Activity data'!O18*EF!$H17)*kgtoGg=0,"NO",('Activity data'!O18*EF!$H17)*kgtoGg)</f>
        <v>0.25049350434927364</v>
      </c>
      <c r="P17" s="28">
        <f>IF(('Activity data'!P18*EF!$H17)*kgtoGg=0,"NO",('Activity data'!P18*EF!$H17)*kgtoGg)</f>
        <v>0.25594863069472573</v>
      </c>
      <c r="Q17" s="28">
        <f>IF(('Activity data'!Q18*EF!$H17)*kgtoGg=0,"NO",('Activity data'!Q18*EF!$H17)*kgtoGg)</f>
        <v>0.2624358079703985</v>
      </c>
      <c r="R17" s="28">
        <f>IF(('Activity data'!R18*EF!$H17)*kgtoGg=0,"NO",('Activity data'!R18*EF!$H17)*kgtoGg)</f>
        <v>0.24282684029620583</v>
      </c>
      <c r="S17" s="28">
        <f>IF(('Activity data'!S18*EF!$H17)*kgtoGg=0,"NO",('Activity data'!S18*EF!$H17)*kgtoGg)</f>
        <v>0.24739735155861162</v>
      </c>
      <c r="T17" s="28">
        <f>IF(('Activity data'!T18*EF!$H17)*kgtoGg=0,"NO",('Activity data'!T18*EF!$H17)*kgtoGg)</f>
        <v>0.25211529866819182</v>
      </c>
      <c r="U17" s="28">
        <f>IF(('Activity data'!U18*EF!$H17)*kgtoGg=0,"NO",('Activity data'!U18*EF!$H17)*kgtoGg)</f>
        <v>0.24518581385099592</v>
      </c>
      <c r="V17" s="28">
        <f>IF(('Activity data'!V18*EF!$H17)*kgtoGg=0,"NO",('Activity data'!V18*EF!$H17)*kgtoGg)</f>
        <v>0.24518581385099592</v>
      </c>
      <c r="W17" s="28">
        <f>IF(('Activity data'!W18*EF!$H17)*kgtoGg=0,"NO",('Activity data'!W18*EF!$H17)*kgtoGg)</f>
        <v>0.24341658368490332</v>
      </c>
      <c r="X17" s="28">
        <f>IF(('Activity data'!X18*EF!$H17)*kgtoGg=0,"NO",('Activity data'!X18*EF!$H17)*kgtoGg)</f>
        <v>0.23914094411684628</v>
      </c>
      <c r="Y17" s="28">
        <f>IF(('Activity data'!Y18*EF!$H17)*kgtoGg=0,"NO",('Activity data'!Y18*EF!$H17)*kgtoGg)</f>
        <v>0.24341658368490332</v>
      </c>
      <c r="Z17" s="28">
        <f>IF(('Activity data'!Z18*EF!$H17)*kgtoGg=0,"NO",('Activity data'!Z18*EF!$H17)*kgtoGg)</f>
        <v>0.23810889318662562</v>
      </c>
      <c r="AA17" s="28">
        <f>IF(('Activity data'!AA18*EF!$H17)*kgtoGg=0,"NO",('Activity data'!AA18*EF!$H17)*kgtoGg)</f>
        <v>0.23781402149227684</v>
      </c>
      <c r="AB17" s="28">
        <f>IF(('Activity data'!AB18*EF!$H17)*kgtoGg=0,"NO",('Activity data'!AB18*EF!$H17)*kgtoGg)</f>
        <v>0.23501274039596362</v>
      </c>
      <c r="AC17" s="28">
        <f>IF(('Activity data'!AC18*EF!$H17)*kgtoGg=0,"NO",('Activity data'!AC18*EF!$H17)*kgtoGg)</f>
        <v>0.2335383819242198</v>
      </c>
      <c r="AD17" s="28">
        <f>IF(('Activity data'!AD18*EF!$H17)*kgtoGg=0,"NO",('Activity data'!AD18*EF!$H17)*kgtoGg)</f>
        <v>0.23184575238864516</v>
      </c>
      <c r="AE17" s="28">
        <f>IF(('Activity data'!AE18*EF!$H17)*kgtoGg=0,"NO",('Activity data'!AE18*EF!$H17)*kgtoGg)</f>
        <v>0.23090549501807336</v>
      </c>
      <c r="AF17" s="28">
        <f>IF(('Activity data'!AF18*EF!$H17)*kgtoGg=0,"NO",('Activity data'!AF18*EF!$H17)*kgtoGg)</f>
        <v>0.23023124618506771</v>
      </c>
      <c r="AG17" s="28">
        <f>IF(('Activity data'!AG18*EF!$H17)*kgtoGg=0,"NO",('Activity data'!AG18*EF!$H17)*kgtoGg)</f>
        <v>0.22981645833009887</v>
      </c>
      <c r="AH17" s="28">
        <f>IF(('Activity data'!AH18*EF!$H17)*kgtoGg=0,"NO",('Activity data'!AH18*EF!$H17)*kgtoGg)</f>
        <v>0.22961355122171961</v>
      </c>
      <c r="AI17" s="28">
        <f>IF(('Activity data'!AI18*EF!$H17)*kgtoGg=0,"NO",('Activity data'!AI18*EF!$H17)*kgtoGg)</f>
        <v>0.22924413110113936</v>
      </c>
      <c r="AJ17" s="28">
        <f>IF(('Activity data'!AJ18*EF!$H17)*kgtoGg=0,"NO",('Activity data'!AJ18*EF!$H17)*kgtoGg)</f>
        <v>0.22894634029972452</v>
      </c>
      <c r="AK17" s="28">
        <f>IF(('Activity data'!AK18*EF!$H17)*kgtoGg=0,"NO",('Activity data'!AK18*EF!$H17)*kgtoGg)</f>
        <v>0.22871394949086096</v>
      </c>
      <c r="AL17" s="28">
        <f>IF(('Activity data'!AL18*EF!$H17)*kgtoGg=0,"NO",('Activity data'!AL18*EF!$H17)*kgtoGg)</f>
        <v>0.23232219724861083</v>
      </c>
      <c r="AM17" s="28">
        <f>IF(('Activity data'!AM18*EF!$H17)*kgtoGg=0,"NO",('Activity data'!AM18*EF!$H17)*kgtoGg)</f>
        <v>0.23144673719627593</v>
      </c>
      <c r="AN17" s="28">
        <f>IF(('Activity data'!AN18*EF!$H17)*kgtoGg=0,"NO",('Activity data'!AN18*EF!$H17)*kgtoGg)</f>
        <v>0.23064291020181163</v>
      </c>
      <c r="AO17" s="28">
        <f>IF(('Activity data'!AO18*EF!$H17)*kgtoGg=0,"NO",('Activity data'!AO18*EF!$H17)*kgtoGg)</f>
        <v>0.22985679587119723</v>
      </c>
      <c r="AP17" s="28">
        <f>IF(('Activity data'!AP18*EF!$H17)*kgtoGg=0,"NO",('Activity data'!AP18*EF!$H17)*kgtoGg)</f>
        <v>0.22912805958330773</v>
      </c>
      <c r="AQ17" s="28">
        <f>IF(('Activity data'!AQ18*EF!$H17)*kgtoGg=0,"NO",('Activity data'!AQ18*EF!$H17)*kgtoGg)</f>
        <v>0.22838479085224866</v>
      </c>
      <c r="AR17" s="28">
        <f>IF(('Activity data'!AR18*EF!$H17)*kgtoGg=0,"NO",('Activity data'!AR18*EF!$H17)*kgtoGg)</f>
        <v>0.22751714027833528</v>
      </c>
      <c r="AS17" s="28">
        <f>IF(('Activity data'!AS18*EF!$H17)*kgtoGg=0,"NO",('Activity data'!AS18*EF!$H17)*kgtoGg)</f>
        <v>0.22668957238825108</v>
      </c>
      <c r="AT17" s="28">
        <f>IF(('Activity data'!AT18*EF!$H17)*kgtoGg=0,"NO",('Activity data'!AT18*EF!$H17)*kgtoGg)</f>
        <v>0.22584721638736768</v>
      </c>
      <c r="AU17" s="28">
        <f>IF(('Activity data'!AU18*EF!$H17)*kgtoGg=0,"NO",('Activity data'!AU18*EF!$H17)*kgtoGg)</f>
        <v>0.22500379246969557</v>
      </c>
      <c r="AV17" s="28">
        <f>IF(('Activity data'!AV18*EF!$H17)*kgtoGg=0,"NO",('Activity data'!AV18*EF!$H17)*kgtoGg)</f>
        <v>0.22415812786289996</v>
      </c>
      <c r="AW17" s="28">
        <f>IF(('Activity data'!AW18*EF!$H17)*kgtoGg=0,"NO",('Activity data'!AW18*EF!$H17)*kgtoGg)</f>
        <v>0.22586199816270672</v>
      </c>
      <c r="AX17" s="28">
        <f>IF(('Activity data'!AX18*EF!$H17)*kgtoGg=0,"NO",('Activity data'!AX18*EF!$H17)*kgtoGg)</f>
        <v>0.22674128603685137</v>
      </c>
      <c r="AY17" s="28">
        <f>IF(('Activity data'!AY18*EF!$H17)*kgtoGg=0,"NO",('Activity data'!AY18*EF!$H17)*kgtoGg)</f>
        <v>0.22796867816095318</v>
      </c>
      <c r="AZ17" s="28">
        <f>IF(('Activity data'!AZ18*EF!$H17)*kgtoGg=0,"NO",('Activity data'!AZ18*EF!$H17)*kgtoGg)</f>
        <v>0.22923036231074048</v>
      </c>
      <c r="BA17" s="28">
        <f>IF(('Activity data'!BA18*EF!$H17)*kgtoGg=0,"NO",('Activity data'!BA18*EF!$H17)*kgtoGg)</f>
        <v>0.23049483153878261</v>
      </c>
      <c r="BB17" s="28">
        <f>IF(('Activity data'!BB18*EF!$H17)*kgtoGg=0,"NO",('Activity data'!BB18*EF!$H17)*kgtoGg)</f>
        <v>0.23142098716852774</v>
      </c>
      <c r="BC17" s="28">
        <f>IF(('Activity data'!BC18*EF!$H17)*kgtoGg=0,"NO",('Activity data'!BC18*EF!$H17)*kgtoGg)</f>
        <v>0.23212042366040922</v>
      </c>
      <c r="BD17" s="28">
        <f>IF(('Activity data'!BD18*EF!$H17)*kgtoGg=0,"NO",('Activity data'!BD18*EF!$H17)*kgtoGg)</f>
        <v>0.23236986741866864</v>
      </c>
      <c r="BE17" s="28">
        <f>IF(('Activity data'!BE18*EF!$H17)*kgtoGg=0,"NO",('Activity data'!BE18*EF!$H17)*kgtoGg)</f>
        <v>0.23235402877483816</v>
      </c>
      <c r="BF17" s="28">
        <f>IF(('Activity data'!BF18*EF!$H17)*kgtoGg=0,"NO",('Activity data'!BF18*EF!$H17)*kgtoGg)</f>
        <v>0.23219884322522866</v>
      </c>
      <c r="BG17" s="28">
        <f>IF(('Activity data'!BG18*EF!$H17)*kgtoGg=0,"NO",('Activity data'!BG18*EF!$H17)*kgtoGg)</f>
        <v>0.23346026383794224</v>
      </c>
      <c r="BH17" s="28">
        <f>IF(('Activity data'!BH18*EF!$H17)*kgtoGg=0,"NO",('Activity data'!BH18*EF!$H17)*kgtoGg)</f>
        <v>0.23453064433382073</v>
      </c>
      <c r="BI17" s="28">
        <f>IF(('Activity data'!BI18*EF!$H17)*kgtoGg=0,"NO",('Activity data'!BI18*EF!$H17)*kgtoGg)</f>
        <v>0.2353659308560615</v>
      </c>
      <c r="BJ17" s="28">
        <f>IF(('Activity data'!BJ18*EF!$H17)*kgtoGg=0,"NO",('Activity data'!BJ18*EF!$H17)*kgtoGg)</f>
        <v>0.23598085493567364</v>
      </c>
      <c r="BK17" s="28">
        <f>IF(('Activity data'!BK18*EF!$H17)*kgtoGg=0,"NO",('Activity data'!BK18*EF!$H17)*kgtoGg)</f>
        <v>0.23649163959249689</v>
      </c>
      <c r="BL17" s="28">
        <f>IF(('Activity data'!BL18*EF!$H17)*kgtoGg=0,"NO",('Activity data'!BL18*EF!$H17)*kgtoGg)</f>
        <v>0.23678587273638776</v>
      </c>
      <c r="BM17" s="28">
        <f>IF(('Activity data'!BM18*EF!$H17)*kgtoGg=0,"NO",('Activity data'!BM18*EF!$H17)*kgtoGg)</f>
        <v>0.23683283248743683</v>
      </c>
      <c r="BN17" s="28">
        <f>IF(('Activity data'!BN18*EF!$H17)*kgtoGg=0,"NO",('Activity data'!BN18*EF!$H17)*kgtoGg)</f>
        <v>0.23636721675955502</v>
      </c>
      <c r="BO17" s="28">
        <f>IF(('Activity data'!BO18*EF!$H17)*kgtoGg=0,"NO",('Activity data'!BO18*EF!$H17)*kgtoGg)</f>
        <v>0.23564195935838322</v>
      </c>
      <c r="BP17" s="28">
        <f>IF(('Activity data'!BP18*EF!$H17)*kgtoGg=0,"NO",('Activity data'!BP18*EF!$H17)*kgtoGg)</f>
        <v>0.23464731647790435</v>
      </c>
    </row>
    <row r="18" spans="1:68" x14ac:dyDescent="0.25">
      <c r="A18" t="str">
        <f t="shared" si="1"/>
        <v>3A Livestock</v>
      </c>
      <c r="B18" t="str">
        <f>'IPCC Categories'!B12</f>
        <v>3A2 Manure management (CH4)</v>
      </c>
      <c r="C18" t="str">
        <f>EF!C18</f>
        <v>3A1ai Dairy cattle</v>
      </c>
      <c r="D18" t="str">
        <f>EF!D18</f>
        <v>TMR</v>
      </c>
      <c r="E18" t="str">
        <f>'IPCC Categories'!F6&amp;" Emissions"</f>
        <v>Manure management Emissions</v>
      </c>
      <c r="F18" t="str">
        <f t="shared" si="4"/>
        <v>CH4</v>
      </c>
      <c r="G18" t="str">
        <f t="shared" si="5"/>
        <v>Gg CH4</v>
      </c>
      <c r="H18" s="28">
        <f>IF(('Activity data'!H5*EF!$H18)*kgtoGg=0,"NO",('Activity data'!H5*EF!$H18)*kgtoGg)</f>
        <v>6.0766424349879422</v>
      </c>
      <c r="I18" s="28">
        <f>IF(('Activity data'!I5*EF!$H18)*kgtoGg=0,"NO",('Activity data'!I5*EF!$H18)*kgtoGg)</f>
        <v>6.9957938304816798</v>
      </c>
      <c r="J18" s="28">
        <f>IF(('Activity data'!J5*EF!$H18)*kgtoGg=0,"NO",('Activity data'!J5*EF!$H18)*kgtoGg)</f>
        <v>6.0522668467284246</v>
      </c>
      <c r="K18" s="28">
        <f>IF(('Activity data'!K5*EF!$H18)*kgtoGg=0,"NO",('Activity data'!K5*EF!$H18)*kgtoGg)</f>
        <v>6.4189962026778016</v>
      </c>
      <c r="L18" s="28">
        <f>IF(('Activity data'!L5*EF!$H18)*kgtoGg=0,"NO",('Activity data'!L5*EF!$H18)*kgtoGg)</f>
        <v>5.9547644936903517</v>
      </c>
      <c r="M18" s="28">
        <f>IF(('Activity data'!M5*EF!$H18)*kgtoGg=0,"NO",('Activity data'!M5*EF!$H18)*kgtoGg)</f>
        <v>6.3702450261587664</v>
      </c>
      <c r="N18" s="28">
        <f>IF(('Activity data'!N5*EF!$H18)*kgtoGg=0,"NO",('Activity data'!N5*EF!$H18)*kgtoGg)</f>
        <v>6.3946206144182849</v>
      </c>
      <c r="O18" s="28">
        <f>IF(('Activity data'!O5*EF!$H18)*kgtoGg=0,"NO",('Activity data'!O5*EF!$H18)*kgtoGg)</f>
        <v>6.1648327655448512</v>
      </c>
      <c r="P18" s="28">
        <f>IF(('Activity data'!P5*EF!$H18)*kgtoGg=0,"NO",('Activity data'!P5*EF!$H18)*kgtoGg)</f>
        <v>6.0917060007662966</v>
      </c>
      <c r="Q18" s="28">
        <f>IF(('Activity data'!Q5*EF!$H18)*kgtoGg=0,"NO",('Activity data'!Q5*EF!$H18)*kgtoGg)</f>
        <v>5.9837960931904526</v>
      </c>
      <c r="R18" s="28">
        <f>IF(('Activity data'!R5*EF!$H18)*kgtoGg=0,"NO",('Activity data'!R5*EF!$H18)*kgtoGg)</f>
        <v>7.7048769541209179</v>
      </c>
      <c r="S18" s="28">
        <f>IF(('Activity data'!S5*EF!$H18)*kgtoGg=0,"NO",('Activity data'!S5*EF!$H18)*kgtoGg)</f>
        <v>7.6805013658613994</v>
      </c>
      <c r="T18" s="28">
        <f>IF(('Activity data'!T5*EF!$H18)*kgtoGg=0,"NO",('Activity data'!T5*EF!$H18)*kgtoGg)</f>
        <v>6.697535228070274</v>
      </c>
      <c r="U18" s="28">
        <f>IF(('Activity data'!U5*EF!$H18)*kgtoGg=0,"NO",('Activity data'!U5*EF!$H18)*kgtoGg)</f>
        <v>6.0917060007662966</v>
      </c>
      <c r="V18" s="28">
        <f>IF(('Activity data'!V5*EF!$H18)*kgtoGg=0,"NO",('Activity data'!V5*EF!$H18)*kgtoGg)</f>
        <v>5.881637728911798</v>
      </c>
      <c r="W18" s="28">
        <f>IF(('Activity data'!W5*EF!$H18)*kgtoGg=0,"NO",('Activity data'!W5*EF!$H18)*kgtoGg)</f>
        <v>6.2971182613802119</v>
      </c>
      <c r="X18" s="28">
        <f>IF(('Activity data'!X5*EF!$H18)*kgtoGg=0,"NO",('Activity data'!X5*EF!$H18)*kgtoGg)</f>
        <v>6.1601767543042687</v>
      </c>
      <c r="Y18" s="28">
        <f>IF(('Activity data'!Y5*EF!$H18)*kgtoGg=0,"NO",('Activity data'!Y5*EF!$H18)*kgtoGg)</f>
        <v>6.1160815890258151</v>
      </c>
      <c r="Z18" s="28">
        <f>IF(('Activity data'!Z5*EF!$H18)*kgtoGg=0,"NO",('Activity data'!Z5*EF!$H18)*kgtoGg)</f>
        <v>7.4901526710258377</v>
      </c>
      <c r="AA18" s="28">
        <f>IF(('Activity data'!AA5*EF!$H18)*kgtoGg=0,"NO",('Activity data'!AA5*EF!$H18)*kgtoGg)</f>
        <v>7.6758453546208179</v>
      </c>
      <c r="AB18" s="28">
        <f>IF(('Activity data'!AB5*EF!$H18)*kgtoGg=0,"NO",('Activity data'!AB5*EF!$H18)*kgtoGg)</f>
        <v>7.6758453546208179</v>
      </c>
      <c r="AC18" s="28">
        <f>IF(('Activity data'!AC5*EF!$H18)*kgtoGg=0,"NO",('Activity data'!AC5*EF!$H18)*kgtoGg)</f>
        <v>7.3973063292283463</v>
      </c>
      <c r="AD18" s="28">
        <f>IF(('Activity data'!AD5*EF!$H18)*kgtoGg=0,"NO",('Activity data'!AD5*EF!$H18)*kgtoGg)</f>
        <v>7.3613482591936581</v>
      </c>
      <c r="AE18" s="28">
        <f>IF(('Activity data'!AE5*EF!$H18)*kgtoGg=0,"NO",('Activity data'!AE5*EF!$H18)*kgtoGg)</f>
        <v>7.4310256849247942</v>
      </c>
      <c r="AF18" s="28">
        <f>IF(('Activity data'!AF5*EF!$H18)*kgtoGg=0,"NO",('Activity data'!AF5*EF!$H18)*kgtoGg)</f>
        <v>7.4842085310163577</v>
      </c>
      <c r="AG18" s="28">
        <f>IF(('Activity data'!AG5*EF!$H18)*kgtoGg=0,"NO",('Activity data'!AG5*EF!$H18)*kgtoGg)</f>
        <v>7.5201714869146157</v>
      </c>
      <c r="AH18" s="28">
        <f>IF(('Activity data'!AH5*EF!$H18)*kgtoGg=0,"NO",('Activity data'!AH5*EF!$H18)*kgtoGg)</f>
        <v>7.5421124920739473</v>
      </c>
      <c r="AI18" s="28">
        <f>IF(('Activity data'!AI5*EF!$H18)*kgtoGg=0,"NO",('Activity data'!AI5*EF!$H18)*kgtoGg)</f>
        <v>7.5760462992562294</v>
      </c>
      <c r="AJ18" s="28">
        <f>IF(('Activity data'!AJ5*EF!$H18)*kgtoGg=0,"NO",('Activity data'!AJ5*EF!$H18)*kgtoGg)</f>
        <v>7.6051133325411575</v>
      </c>
      <c r="AK18" s="28">
        <f>IF(('Activity data'!AK5*EF!$H18)*kgtoGg=0,"NO",('Activity data'!AK5*EF!$H18)*kgtoGg)</f>
        <v>7.6296183703868632</v>
      </c>
      <c r="AL18" s="28">
        <f>IF(('Activity data'!AL5*EF!$H18)*kgtoGg=0,"NO",('Activity data'!AL5*EF!$H18)*kgtoGg)</f>
        <v>7.3892021554986229</v>
      </c>
      <c r="AM18" s="28">
        <f>IF(('Activity data'!AM5*EF!$H18)*kgtoGg=0,"NO",('Activity data'!AM5*EF!$H18)*kgtoGg)</f>
        <v>7.4544387456022498</v>
      </c>
      <c r="AN18" s="28">
        <f>IF(('Activity data'!AN5*EF!$H18)*kgtoGg=0,"NO",('Activity data'!AN5*EF!$H18)*kgtoGg)</f>
        <v>7.5164483976049663</v>
      </c>
      <c r="AO18" s="28">
        <f>IF(('Activity data'!AO5*EF!$H18)*kgtoGg=0,"NO",('Activity data'!AO5*EF!$H18)*kgtoGg)</f>
        <v>7.5786683446627627</v>
      </c>
      <c r="AP18" s="28">
        <f>IF(('Activity data'!AP5*EF!$H18)*kgtoGg=0,"NO",('Activity data'!AP5*EF!$H18)*kgtoGg)</f>
        <v>7.6381852922778553</v>
      </c>
      <c r="AQ18" s="28">
        <f>IF(('Activity data'!AQ5*EF!$H18)*kgtoGg=0,"NO",('Activity data'!AQ5*EF!$H18)*kgtoGg)</f>
        <v>7.7000293547125276</v>
      </c>
      <c r="AR18" s="28">
        <f>IF(('Activity data'!AR5*EF!$H18)*kgtoGg=0,"NO",('Activity data'!AR5*EF!$H18)*kgtoGg)</f>
        <v>7.7732702217121954</v>
      </c>
      <c r="AS18" s="28">
        <f>IF(('Activity data'!AS5*EF!$H18)*kgtoGg=0,"NO",('Activity data'!AS5*EF!$H18)*kgtoGg)</f>
        <v>7.8452635974558254</v>
      </c>
      <c r="AT18" s="28">
        <f>IF(('Activity data'!AT5*EF!$H18)*kgtoGg=0,"NO",('Activity data'!AT5*EF!$H18)*kgtoGg)</f>
        <v>7.9201970032097799</v>
      </c>
      <c r="AU18" s="28">
        <f>IF(('Activity data'!AU5*EF!$H18)*kgtoGg=0,"NO",('Activity data'!AU5*EF!$H18)*kgtoGg)</f>
        <v>7.9970883758827105</v>
      </c>
      <c r="AV18" s="28">
        <f>IF(('Activity data'!AV5*EF!$H18)*kgtoGg=0,"NO",('Activity data'!AV5*EF!$H18)*kgtoGg)</f>
        <v>8.0760969995408605</v>
      </c>
      <c r="AW18" s="28">
        <f>IF(('Activity data'!AW5*EF!$H18)*kgtoGg=0,"NO",('Activity data'!AW5*EF!$H18)*kgtoGg)</f>
        <v>8.170224386808389</v>
      </c>
      <c r="AX18" s="28">
        <f>IF(('Activity data'!AX5*EF!$H18)*kgtoGg=0,"NO",('Activity data'!AX5*EF!$H18)*kgtoGg)</f>
        <v>8.2589073183536996</v>
      </c>
      <c r="AY18" s="28">
        <f>IF(('Activity data'!AY5*EF!$H18)*kgtoGg=0,"NO",('Activity data'!AY5*EF!$H18)*kgtoGg)</f>
        <v>8.356265083735023</v>
      </c>
      <c r="AZ18" s="28">
        <f>IF(('Activity data'!AZ5*EF!$H18)*kgtoGg=0,"NO",('Activity data'!AZ5*EF!$H18)*kgtoGg)</f>
        <v>8.4590154607503596</v>
      </c>
      <c r="BA18" s="28">
        <f>IF(('Activity data'!BA5*EF!$H18)*kgtoGg=0,"NO",('Activity data'!BA5*EF!$H18)*kgtoGg)</f>
        <v>8.5672067367364946</v>
      </c>
      <c r="BB18" s="28">
        <f>IF(('Activity data'!BB5*EF!$H18)*kgtoGg=0,"NO",('Activity data'!BB5*EF!$H18)*kgtoGg)</f>
        <v>8.6770281582333055</v>
      </c>
      <c r="BC18" s="28">
        <f>IF(('Activity data'!BC5*EF!$H18)*kgtoGg=0,"NO",('Activity data'!BC5*EF!$H18)*kgtoGg)</f>
        <v>8.7898341488535703</v>
      </c>
      <c r="BD18" s="28">
        <f>IF(('Activity data'!BD5*EF!$H18)*kgtoGg=0,"NO",('Activity data'!BD5*EF!$H18)*kgtoGg)</f>
        <v>8.9026992790831514</v>
      </c>
      <c r="BE18" s="28">
        <f>IF(('Activity data'!BE5*EF!$H18)*kgtoGg=0,"NO",('Activity data'!BE5*EF!$H18)*kgtoGg)</f>
        <v>9.018366123335948</v>
      </c>
      <c r="BF18" s="28">
        <f>IF(('Activity data'!BF5*EF!$H18)*kgtoGg=0,"NO",('Activity data'!BF5*EF!$H18)*kgtoGg)</f>
        <v>9.1390426920937049</v>
      </c>
      <c r="BG18" s="28">
        <f>IF(('Activity data'!BG5*EF!$H18)*kgtoGg=0,"NO",('Activity data'!BG5*EF!$H18)*kgtoGg)</f>
        <v>9.2634269567184369</v>
      </c>
      <c r="BH18" s="28">
        <f>IF(('Activity data'!BH5*EF!$H18)*kgtoGg=0,"NO",('Activity data'!BH5*EF!$H18)*kgtoGg)</f>
        <v>9.3910258286606538</v>
      </c>
      <c r="BI18" s="28">
        <f>IF(('Activity data'!BI5*EF!$H18)*kgtoGg=0,"NO",('Activity data'!BI5*EF!$H18)*kgtoGg)</f>
        <v>9.5213798520370307</v>
      </c>
      <c r="BJ18" s="28">
        <f>IF(('Activity data'!BJ5*EF!$H18)*kgtoGg=0,"NO",('Activity data'!BJ5*EF!$H18)*kgtoGg)</f>
        <v>9.6549807703798649</v>
      </c>
      <c r="BK18" s="28">
        <f>IF(('Activity data'!BK5*EF!$H18)*kgtoGg=0,"NO",('Activity data'!BK5*EF!$H18)*kgtoGg)</f>
        <v>9.7941653704341132</v>
      </c>
      <c r="BL18" s="28">
        <f>IF(('Activity data'!BL5*EF!$H18)*kgtoGg=0,"NO",('Activity data'!BL5*EF!$H18)*kgtoGg)</f>
        <v>9.9370718046126747</v>
      </c>
      <c r="BM18" s="28">
        <f>IF(('Activity data'!BM5*EF!$H18)*kgtoGg=0,"NO",('Activity data'!BM5*EF!$H18)*kgtoGg)</f>
        <v>10.083851279487687</v>
      </c>
      <c r="BN18" s="28">
        <f>IF(('Activity data'!BN5*EF!$H18)*kgtoGg=0,"NO",('Activity data'!BN5*EF!$H18)*kgtoGg)</f>
        <v>10.229756084700455</v>
      </c>
      <c r="BO18" s="28">
        <f>IF(('Activity data'!BO5*EF!$H18)*kgtoGg=0,"NO",('Activity data'!BO5*EF!$H18)*kgtoGg)</f>
        <v>10.379753496339852</v>
      </c>
      <c r="BP18" s="28">
        <f>IF(('Activity data'!BP5*EF!$H18)*kgtoGg=0,"NO",('Activity data'!BP5*EF!$H18)*kgtoGg)</f>
        <v>10.534073598238898</v>
      </c>
    </row>
    <row r="19" spans="1:68" x14ac:dyDescent="0.25">
      <c r="A19" t="str">
        <f t="shared" si="1"/>
        <v>3A Livestock</v>
      </c>
      <c r="B19" t="str">
        <f>B18</f>
        <v>3A2 Manure management (CH4)</v>
      </c>
      <c r="C19" t="str">
        <f>EF!C19</f>
        <v>3A1ai Dairy cattle</v>
      </c>
      <c r="D19" t="str">
        <f>EF!D19</f>
        <v>Pasture</v>
      </c>
      <c r="E19" t="str">
        <f>E18</f>
        <v>Manure management Emissions</v>
      </c>
      <c r="F19" t="str">
        <f t="shared" ref="F19:F35" si="6">F18</f>
        <v>CH4</v>
      </c>
      <c r="G19" t="str">
        <f t="shared" ref="G19:G35" si="7">G18</f>
        <v>Gg CH4</v>
      </c>
      <c r="H19" s="28">
        <f>IF(('Activity data'!H6*EF!$H19)*kgtoGg=0,"NO",('Activity data'!H6*EF!$H19)*kgtoGg)</f>
        <v>1.7124372347402925</v>
      </c>
      <c r="I19" s="28">
        <f>IF(('Activity data'!I6*EF!$H19)*kgtoGg=0,"NO",('Activity data'!I6*EF!$H19)*kgtoGg)</f>
        <v>1.9714600571042187</v>
      </c>
      <c r="J19" s="28">
        <f>IF(('Activity data'!J6*EF!$H19)*kgtoGg=0,"NO",('Activity data'!J6*EF!$H19)*kgtoGg)</f>
        <v>1.7055680359350514</v>
      </c>
      <c r="K19" s="28">
        <f>IF(('Activity data'!K6*EF!$H19)*kgtoGg=0,"NO",('Activity data'!K6*EF!$H19)*kgtoGg)</f>
        <v>1.8089147460498598</v>
      </c>
      <c r="L19" s="28">
        <f>IF(('Activity data'!L6*EF!$H19)*kgtoGg=0,"NO",('Activity data'!L6*EF!$H19)*kgtoGg)</f>
        <v>1.6780912407140869</v>
      </c>
      <c r="M19" s="28">
        <f>IF(('Activity data'!M6*EF!$H19)*kgtoGg=0,"NO",('Activity data'!M6*EF!$H19)*kgtoGg)</f>
        <v>1.7951763484393775</v>
      </c>
      <c r="N19" s="28">
        <f>IF(('Activity data'!N6*EF!$H19)*kgtoGg=0,"NO",('Activity data'!N6*EF!$H19)*kgtoGg)</f>
        <v>1.8020455472446186</v>
      </c>
      <c r="O19" s="28">
        <f>IF(('Activity data'!O6*EF!$H19)*kgtoGg=0,"NO",('Activity data'!O6*EF!$H19)*kgtoGg)</f>
        <v>1.7372898416536373</v>
      </c>
      <c r="P19" s="28">
        <f>IF(('Activity data'!P6*EF!$H19)*kgtoGg=0,"NO",('Activity data'!P6*EF!$H19)*kgtoGg)</f>
        <v>1.7166822452379138</v>
      </c>
      <c r="Q19" s="28">
        <f>IF(('Activity data'!Q6*EF!$H19)*kgtoGg=0,"NO",('Activity data'!Q6*EF!$H19)*kgtoGg)</f>
        <v>1.6862725336731379</v>
      </c>
      <c r="R19" s="28">
        <f>IF(('Activity data'!R6*EF!$H19)*kgtoGg=0,"NO",('Activity data'!R6*EF!$H19)*kgtoGg)</f>
        <v>2.1712842785285944</v>
      </c>
      <c r="S19" s="28">
        <f>IF(('Activity data'!S6*EF!$H19)*kgtoGg=0,"NO",('Activity data'!S6*EF!$H19)*kgtoGg)</f>
        <v>2.1644150797233528</v>
      </c>
      <c r="T19" s="28">
        <f>IF(('Activity data'!T6*EF!$H19)*kgtoGg=0,"NO",('Activity data'!T6*EF!$H19)*kgtoGg)</f>
        <v>1.8874088492513235</v>
      </c>
      <c r="U19" s="28">
        <f>IF(('Activity data'!U6*EF!$H19)*kgtoGg=0,"NO",('Activity data'!U6*EF!$H19)*kgtoGg)</f>
        <v>1.7166822452379138</v>
      </c>
      <c r="V19" s="28">
        <f>IF(('Activity data'!V6*EF!$H19)*kgtoGg=0,"NO",('Activity data'!V6*EF!$H19)*kgtoGg)</f>
        <v>1.6574836442983631</v>
      </c>
      <c r="W19" s="28">
        <f>IF(('Activity data'!W6*EF!$H19)*kgtoGg=0,"NO",('Activity data'!W6*EF!$H19)*kgtoGg)</f>
        <v>1.7745687520236539</v>
      </c>
      <c r="X19" s="28">
        <f>IF(('Activity data'!X6*EF!$H19)*kgtoGg=0,"NO",('Activity data'!X6*EF!$H19)*kgtoGg)</f>
        <v>1.735977747499827</v>
      </c>
      <c r="Y19" s="28">
        <f>IF(('Activity data'!Y6*EF!$H19)*kgtoGg=0,"NO",('Activity data'!Y6*EF!$H19)*kgtoGg)</f>
        <v>1.723551444043155</v>
      </c>
      <c r="Z19" s="28">
        <f>IF(('Activity data'!Z6*EF!$H19)*kgtoGg=0,"NO",('Activity data'!Z6*EF!$H19)*kgtoGg)</f>
        <v>2.1107735834352335</v>
      </c>
      <c r="AA19" s="28">
        <f>IF(('Activity data'!AA6*EF!$H19)*kgtoGg=0,"NO",('Activity data'!AA6*EF!$H19)*kgtoGg)</f>
        <v>2.1631029855695427</v>
      </c>
      <c r="AB19" s="28">
        <f>IF(('Activity data'!AB6*EF!$H19)*kgtoGg=0,"NO",('Activity data'!AB6*EF!$H19)*kgtoGg)</f>
        <v>2.1631029855695427</v>
      </c>
      <c r="AC19" s="28">
        <f>IF(('Activity data'!AC6*EF!$H19)*kgtoGg=0,"NO",('Activity data'!AC6*EF!$H19)*kgtoGg)</f>
        <v>2.0846088823680784</v>
      </c>
      <c r="AD19" s="28">
        <f>IF(('Activity data'!AD6*EF!$H19)*kgtoGg=0,"NO",('Activity data'!AD6*EF!$H19)*kgtoGg)</f>
        <v>2.07100470749582</v>
      </c>
      <c r="AE19" s="28">
        <f>IF(('Activity data'!AE6*EF!$H19)*kgtoGg=0,"NO",('Activity data'!AE6*EF!$H19)*kgtoGg)</f>
        <v>2.090607404123459</v>
      </c>
      <c r="AF19" s="28">
        <f>IF(('Activity data'!AF6*EF!$H19)*kgtoGg=0,"NO",('Activity data'!AF6*EF!$H19)*kgtoGg)</f>
        <v>2.1055695986475524</v>
      </c>
      <c r="AG19" s="28">
        <f>IF(('Activity data'!AG6*EF!$H19)*kgtoGg=0,"NO",('Activity data'!AG6*EF!$H19)*kgtoGg)</f>
        <v>2.1156872358436654</v>
      </c>
      <c r="AH19" s="28">
        <f>IF(('Activity data'!AH6*EF!$H19)*kgtoGg=0,"NO",('Activity data'!AH6*EF!$H19)*kgtoGg)</f>
        <v>2.1218600079191363</v>
      </c>
      <c r="AI19" s="28">
        <f>IF(('Activity data'!AI6*EF!$H19)*kgtoGg=0,"NO",('Activity data'!AI6*EF!$H19)*kgtoGg)</f>
        <v>2.1314067746177487</v>
      </c>
      <c r="AJ19" s="28">
        <f>IF(('Activity data'!AJ6*EF!$H19)*kgtoGg=0,"NO",('Activity data'!AJ6*EF!$H19)*kgtoGg)</f>
        <v>2.139584347617483</v>
      </c>
      <c r="AK19" s="28">
        <f>IF(('Activity data'!AK6*EF!$H19)*kgtoGg=0,"NO",('Activity data'!AK6*EF!$H19)*kgtoGg)</f>
        <v>2.1464784717573693</v>
      </c>
      <c r="AL19" s="28">
        <f>IF(('Activity data'!AL6*EF!$H19)*kgtoGg=0,"NO",('Activity data'!AL6*EF!$H19)*kgtoGg)</f>
        <v>2.0788409826370797</v>
      </c>
      <c r="AM19" s="28">
        <f>IF(('Activity data'!AM6*EF!$H19)*kgtoGg=0,"NO",('Activity data'!AM6*EF!$H19)*kgtoGg)</f>
        <v>2.0971943168971259</v>
      </c>
      <c r="AN19" s="28">
        <f>IF(('Activity data'!AN6*EF!$H19)*kgtoGg=0,"NO",('Activity data'!AN6*EF!$H19)*kgtoGg)</f>
        <v>2.1146398006164184</v>
      </c>
      <c r="AO19" s="28">
        <f>IF(('Activity data'!AO6*EF!$H19)*kgtoGg=0,"NO",('Activity data'!AO6*EF!$H19)*kgtoGg)</f>
        <v>2.1321444476891749</v>
      </c>
      <c r="AP19" s="28">
        <f>IF(('Activity data'!AP6*EF!$H19)*kgtoGg=0,"NO",('Activity data'!AP6*EF!$H19)*kgtoGg)</f>
        <v>2.1488886464889938</v>
      </c>
      <c r="AQ19" s="28">
        <f>IF(('Activity data'!AQ6*EF!$H19)*kgtoGg=0,"NO",('Activity data'!AQ6*EF!$H19)*kgtoGg)</f>
        <v>2.1662875440717722</v>
      </c>
      <c r="AR19" s="28">
        <f>IF(('Activity data'!AR6*EF!$H19)*kgtoGg=0,"NO",('Activity data'!AR6*EF!$H19)*kgtoGg)</f>
        <v>2.1868927613494558</v>
      </c>
      <c r="AS19" s="28">
        <f>IF(('Activity data'!AS6*EF!$H19)*kgtoGg=0,"NO",('Activity data'!AS6*EF!$H19)*kgtoGg)</f>
        <v>2.2071470157093636</v>
      </c>
      <c r="AT19" s="28">
        <f>IF(('Activity data'!AT6*EF!$H19)*kgtoGg=0,"NO",('Activity data'!AT6*EF!$H19)*kgtoGg)</f>
        <v>2.2282284033303501</v>
      </c>
      <c r="AU19" s="28">
        <f>IF(('Activity data'!AU6*EF!$H19)*kgtoGg=0,"NO",('Activity data'!AU6*EF!$H19)*kgtoGg)</f>
        <v>2.2498606355199597</v>
      </c>
      <c r="AV19" s="28">
        <f>IF(('Activity data'!AV6*EF!$H19)*kgtoGg=0,"NO",('Activity data'!AV6*EF!$H19)*kgtoGg)</f>
        <v>2.2720885244565325</v>
      </c>
      <c r="AW19" s="28">
        <f>IF(('Activity data'!AW6*EF!$H19)*kgtoGg=0,"NO",('Activity data'!AW6*EF!$H19)*kgtoGg)</f>
        <v>2.2985698503321119</v>
      </c>
      <c r="AX19" s="28">
        <f>IF(('Activity data'!AX6*EF!$H19)*kgtoGg=0,"NO",('Activity data'!AX6*EF!$H19)*kgtoGg)</f>
        <v>2.3235194604087024</v>
      </c>
      <c r="AY19" s="28">
        <f>IF(('Activity data'!AY6*EF!$H19)*kgtoGg=0,"NO",('Activity data'!AY6*EF!$H19)*kgtoGg)</f>
        <v>2.3509096046209637</v>
      </c>
      <c r="AZ19" s="28">
        <f>IF(('Activity data'!AZ6*EF!$H19)*kgtoGg=0,"NO",('Activity data'!AZ6*EF!$H19)*kgtoGg)</f>
        <v>2.379816879077103</v>
      </c>
      <c r="BA19" s="28">
        <f>IF(('Activity data'!BA6*EF!$H19)*kgtoGg=0,"NO",('Activity data'!BA6*EF!$H19)*kgtoGg)</f>
        <v>2.4102548686936691</v>
      </c>
      <c r="BB19" s="28">
        <f>IF(('Activity data'!BB6*EF!$H19)*kgtoGg=0,"NO",('Activity data'!BB6*EF!$H19)*kgtoGg)</f>
        <v>2.4411514752520835</v>
      </c>
      <c r="BC19" s="28">
        <f>IF(('Activity data'!BC6*EF!$H19)*kgtoGg=0,"NO",('Activity data'!BC6*EF!$H19)*kgtoGg)</f>
        <v>2.4728877454817293</v>
      </c>
      <c r="BD19" s="28">
        <f>IF(('Activity data'!BD6*EF!$H19)*kgtoGg=0,"NO",('Activity data'!BD6*EF!$H19)*kgtoGg)</f>
        <v>2.5046406537517143</v>
      </c>
      <c r="BE19" s="28">
        <f>IF(('Activity data'!BE6*EF!$H19)*kgtoGg=0,"NO",('Activity data'!BE6*EF!$H19)*kgtoGg)</f>
        <v>2.5371817821583962</v>
      </c>
      <c r="BF19" s="28">
        <f>IF(('Activity data'!BF6*EF!$H19)*kgtoGg=0,"NO",('Activity data'!BF6*EF!$H19)*kgtoGg)</f>
        <v>2.5711323212691668</v>
      </c>
      <c r="BG19" s="28">
        <f>IF(('Activity data'!BG6*EF!$H19)*kgtoGg=0,"NO",('Activity data'!BG6*EF!$H19)*kgtoGg)</f>
        <v>2.6061259648934185</v>
      </c>
      <c r="BH19" s="28">
        <f>IF(('Activity data'!BH6*EF!$H19)*kgtoGg=0,"NO",('Activity data'!BH6*EF!$H19)*kgtoGg)</f>
        <v>2.6420239899778108</v>
      </c>
      <c r="BI19" s="28">
        <f>IF(('Activity data'!BI6*EF!$H19)*kgtoGg=0,"NO",('Activity data'!BI6*EF!$H19)*kgtoGg)</f>
        <v>2.6786971355142062</v>
      </c>
      <c r="BJ19" s="28">
        <f>IF(('Activity data'!BJ6*EF!$H19)*kgtoGg=0,"NO",('Activity data'!BJ6*EF!$H19)*kgtoGg)</f>
        <v>2.7162837461555673</v>
      </c>
      <c r="BK19" s="28">
        <f>IF(('Activity data'!BK6*EF!$H19)*kgtoGg=0,"NO",('Activity data'!BK6*EF!$H19)*kgtoGg)</f>
        <v>2.7554412417357113</v>
      </c>
      <c r="BL19" s="28">
        <f>IF(('Activity data'!BL6*EF!$H19)*kgtoGg=0,"NO",('Activity data'!BL6*EF!$H19)*kgtoGg)</f>
        <v>2.7956458194155687</v>
      </c>
      <c r="BM19" s="28">
        <f>IF(('Activity data'!BM6*EF!$H19)*kgtoGg=0,"NO",('Activity data'!BM6*EF!$H19)*kgtoGg)</f>
        <v>2.8369400188919043</v>
      </c>
      <c r="BN19" s="28">
        <f>IF(('Activity data'!BN6*EF!$H19)*kgtoGg=0,"NO",('Activity data'!BN6*EF!$H19)*kgtoGg)</f>
        <v>2.8779881432031704</v>
      </c>
      <c r="BO19" s="28">
        <f>IF(('Activity data'!BO6*EF!$H19)*kgtoGg=0,"NO",('Activity data'!BO6*EF!$H19)*kgtoGg)</f>
        <v>2.9201876608294977</v>
      </c>
      <c r="BP19" s="28">
        <f>IF(('Activity data'!BP6*EF!$H19)*kgtoGg=0,"NO",('Activity data'!BP6*EF!$H19)*kgtoGg)</f>
        <v>2.9636033023996426</v>
      </c>
    </row>
    <row r="20" spans="1:68" x14ac:dyDescent="0.25">
      <c r="A20" t="str">
        <f t="shared" si="1"/>
        <v>3A Livestock</v>
      </c>
      <c r="B20" t="str">
        <f t="shared" ref="B20:B35" si="8">B19</f>
        <v>3A2 Manure management (CH4)</v>
      </c>
      <c r="C20" t="str">
        <f>EF!C20</f>
        <v>3A1aii Other cattle</v>
      </c>
      <c r="D20" t="str">
        <f>EF!D20</f>
        <v>Non-lactating</v>
      </c>
      <c r="E20" t="str">
        <f>E19</f>
        <v>Manure management Emissions</v>
      </c>
      <c r="F20" t="str">
        <f t="shared" si="6"/>
        <v>CH4</v>
      </c>
      <c r="G20" t="str">
        <f t="shared" si="7"/>
        <v>Gg CH4</v>
      </c>
      <c r="H20" s="28">
        <f>IF(('Activity data'!H7*EF!$H20)*kgtoGg=0,"NO",('Activity data'!H7*EF!$H20)*kgtoGg)</f>
        <v>0.41752621472755574</v>
      </c>
      <c r="I20" s="28">
        <f>IF(('Activity data'!I7*EF!$H20)*kgtoGg=0,"NO",('Activity data'!I7*EF!$H20)*kgtoGg)</f>
        <v>0.47458519205570593</v>
      </c>
      <c r="J20" s="28">
        <f>IF(('Activity data'!J7*EF!$H20)*kgtoGg=0,"NO",('Activity data'!J7*EF!$H20)*kgtoGg)</f>
        <v>0.41051742697229299</v>
      </c>
      <c r="K20" s="28">
        <f>IF(('Activity data'!K7*EF!$H20)*kgtoGg=0,"NO",('Activity data'!K7*EF!$H20)*kgtoGg)</f>
        <v>0.42961947568884723</v>
      </c>
      <c r="L20" s="28">
        <f>IF(('Activity data'!L7*EF!$H20)*kgtoGg=0,"NO",('Activity data'!L7*EF!$H20)*kgtoGg)</f>
        <v>0.38248227595124251</v>
      </c>
      <c r="M20" s="28">
        <f>IF(('Activity data'!M7*EF!$H20)*kgtoGg=0,"NO",('Activity data'!M7*EF!$H20)*kgtoGg)</f>
        <v>0.41560190017832183</v>
      </c>
      <c r="N20" s="28">
        <f>IF(('Activity data'!N7*EF!$H20)*kgtoGg=0,"NO",('Activity data'!N7*EF!$H20)*kgtoGg)</f>
        <v>0.42261068793358447</v>
      </c>
      <c r="O20" s="28">
        <f>IF(('Activity data'!O7*EF!$H20)*kgtoGg=0,"NO",('Activity data'!O7*EF!$H20)*kgtoGg)</f>
        <v>0.40834594360154697</v>
      </c>
      <c r="P20" s="28">
        <f>IF(('Activity data'!P7*EF!$H20)*kgtoGg=0,"NO",('Activity data'!P7*EF!$H20)*kgtoGg)</f>
        <v>0.38731958033575903</v>
      </c>
      <c r="Q20" s="28">
        <f>IF(('Activity data'!Q7*EF!$H20)*kgtoGg=0,"NO",('Activity data'!Q7*EF!$H20)*kgtoGg)</f>
        <v>0.40809877478003481</v>
      </c>
      <c r="R20" s="28">
        <f>IF(('Activity data'!R7*EF!$H20)*kgtoGg=0,"NO",('Activity data'!R7*EF!$H20)*kgtoGg)</f>
        <v>0.50578050173355138</v>
      </c>
      <c r="S20" s="28">
        <f>IF(('Activity data'!S7*EF!$H20)*kgtoGg=0,"NO",('Activity data'!S7*EF!$H20)*kgtoGg)</f>
        <v>0.49877171397828873</v>
      </c>
      <c r="T20" s="28">
        <f>IF(('Activity data'!T7*EF!$H20)*kgtoGg=0,"NO",('Activity data'!T7*EF!$H20)*kgtoGg)</f>
        <v>0.45790179553141008</v>
      </c>
      <c r="U20" s="28">
        <f>IF(('Activity data'!U7*EF!$H20)*kgtoGg=0,"NO",('Activity data'!U7*EF!$H20)*kgtoGg)</f>
        <v>0.38731958033575903</v>
      </c>
      <c r="V20" s="28">
        <f>IF(('Activity data'!V7*EF!$H20)*kgtoGg=0,"NO",('Activity data'!V7*EF!$H20)*kgtoGg)</f>
        <v>0.36145591268545452</v>
      </c>
      <c r="W20" s="28">
        <f>IF(('Activity data'!W7*EF!$H20)*kgtoGg=0,"NO",('Activity data'!W7*EF!$H20)*kgtoGg)</f>
        <v>0.39457553691253394</v>
      </c>
      <c r="X20" s="28">
        <f>IF(('Activity data'!X7*EF!$H20)*kgtoGg=0,"NO",('Activity data'!X7*EF!$H20)*kgtoGg)</f>
        <v>0.38973823252801737</v>
      </c>
      <c r="Y20" s="28">
        <f>IF(('Activity data'!Y7*EF!$H20)*kgtoGg=0,"NO",('Activity data'!Y7*EF!$H20)*kgtoGg)</f>
        <v>0.39432836809102173</v>
      </c>
      <c r="Z20" s="28">
        <f>IF(('Activity data'!Z7*EF!$H20)*kgtoGg=0,"NO",('Activity data'!Z7*EF!$H20)*kgtoGg)</f>
        <v>0.46130912300971733</v>
      </c>
      <c r="AA20" s="28">
        <f>IF(('Activity data'!AA7*EF!$H20)*kgtoGg=0,"NO",('Activity data'!AA7*EF!$H20)*kgtoGg)</f>
        <v>0.48016400290475908</v>
      </c>
      <c r="AB20" s="28">
        <f>IF(('Activity data'!AB7*EF!$H20)*kgtoGg=0,"NO",('Activity data'!AB7*EF!$H20)*kgtoGg)</f>
        <v>0.48016400290475908</v>
      </c>
      <c r="AC20" s="28">
        <f>IF(('Activity data'!AC7*EF!$H20)*kgtoGg=0,"NO",('Activity data'!AC7*EF!$H20)*kgtoGg)</f>
        <v>0.45188168306219634</v>
      </c>
      <c r="AD20" s="28">
        <f>IF(('Activity data'!AD7*EF!$H20)*kgtoGg=0,"NO",('Activity data'!AD7*EF!$H20)*kgtoGg)</f>
        <v>0.45977155313695617</v>
      </c>
      <c r="AE20" s="28">
        <f>IF(('Activity data'!AE7*EF!$H20)*kgtoGg=0,"NO",('Activity data'!AE7*EF!$H20)*kgtoGg)</f>
        <v>0.46376289920267305</v>
      </c>
      <c r="AF20" s="28">
        <f>IF(('Activity data'!AF7*EF!$H20)*kgtoGg=0,"NO",('Activity data'!AF7*EF!$H20)*kgtoGg)</f>
        <v>0.46680938292797991</v>
      </c>
      <c r="AG20" s="28">
        <f>IF(('Activity data'!AG7*EF!$H20)*kgtoGg=0,"NO",('Activity data'!AG7*EF!$H20)*kgtoGg)</f>
        <v>0.46886945620178228</v>
      </c>
      <c r="AH20" s="28">
        <f>IF(('Activity data'!AH7*EF!$H20)*kgtoGg=0,"NO",('Activity data'!AH7*EF!$H20)*kgtoGg)</f>
        <v>0.4701263072364128</v>
      </c>
      <c r="AI20" s="28">
        <f>IF(('Activity data'!AI7*EF!$H20)*kgtoGg=0,"NO",('Activity data'!AI7*EF!$H20)*kgtoGg)</f>
        <v>0.47207014437405936</v>
      </c>
      <c r="AJ20" s="28">
        <f>IF(('Activity data'!AJ7*EF!$H20)*kgtoGg=0,"NO",('Activity data'!AJ7*EF!$H20)*kgtoGg)</f>
        <v>0.47373519711856704</v>
      </c>
      <c r="AK20" s="28">
        <f>IF(('Activity data'!AK7*EF!$H20)*kgtoGg=0,"NO",('Activity data'!AK7*EF!$H20)*kgtoGg)</f>
        <v>0.47513892415597381</v>
      </c>
      <c r="AL20" s="28">
        <f>IF(('Activity data'!AL7*EF!$H20)*kgtoGg=0,"NO",('Activity data'!AL7*EF!$H20)*kgtoGg)</f>
        <v>0.46136711351056531</v>
      </c>
      <c r="AM20" s="28">
        <f>IF(('Activity data'!AM7*EF!$H20)*kgtoGg=0,"NO",('Activity data'!AM7*EF!$H20)*kgtoGg)</f>
        <v>0.46510407429117206</v>
      </c>
      <c r="AN20" s="28">
        <f>IF(('Activity data'!AN7*EF!$H20)*kgtoGg=0,"NO",('Activity data'!AN7*EF!$H20)*kgtoGg)</f>
        <v>0.46865618572411383</v>
      </c>
      <c r="AO20" s="28">
        <f>IF(('Activity data'!AO7*EF!$H20)*kgtoGg=0,"NO",('Activity data'!AO7*EF!$H20)*kgtoGg)</f>
        <v>0.47222034353121362</v>
      </c>
      <c r="AP20" s="28">
        <f>IF(('Activity data'!AP7*EF!$H20)*kgtoGg=0,"NO",('Activity data'!AP7*EF!$H20)*kgtoGg)</f>
        <v>0.47562966487473768</v>
      </c>
      <c r="AQ20" s="28">
        <f>IF(('Activity data'!AQ7*EF!$H20)*kgtoGg=0,"NO",('Activity data'!AQ7*EF!$H20)*kgtoGg)</f>
        <v>0.47917229080697388</v>
      </c>
      <c r="AR20" s="28">
        <f>IF(('Activity data'!AR7*EF!$H20)*kgtoGg=0,"NO",('Activity data'!AR7*EF!$H20)*kgtoGg)</f>
        <v>0.48336776219934158</v>
      </c>
      <c r="AS20" s="28">
        <f>IF(('Activity data'!AS7*EF!$H20)*kgtoGg=0,"NO",('Activity data'!AS7*EF!$H20)*kgtoGg)</f>
        <v>0.4874917732978688</v>
      </c>
      <c r="AT20" s="28">
        <f>IF(('Activity data'!AT7*EF!$H20)*kgtoGg=0,"NO",('Activity data'!AT7*EF!$H20)*kgtoGg)</f>
        <v>0.49178419872990031</v>
      </c>
      <c r="AU20" s="28">
        <f>IF(('Activity data'!AU7*EF!$H20)*kgtoGg=0,"NO",('Activity data'!AU7*EF!$H20)*kgtoGg)</f>
        <v>0.49618878277681822</v>
      </c>
      <c r="AV20" s="28">
        <f>IF(('Activity data'!AV7*EF!$H20)*kgtoGg=0,"NO",('Activity data'!AV7*EF!$H20)*kgtoGg)</f>
        <v>0.50071464973999369</v>
      </c>
      <c r="AW20" s="28">
        <f>IF(('Activity data'!AW7*EF!$H20)*kgtoGg=0,"NO",('Activity data'!AW7*EF!$H20)*kgtoGg)</f>
        <v>0.50610656789575548</v>
      </c>
      <c r="AX20" s="28">
        <f>IF(('Activity data'!AX7*EF!$H20)*kgtoGg=0,"NO",('Activity data'!AX7*EF!$H20)*kgtoGg)</f>
        <v>0.51118661019360745</v>
      </c>
      <c r="AY20" s="28">
        <f>IF(('Activity data'!AY7*EF!$H20)*kgtoGg=0,"NO",('Activity data'!AY7*EF!$H20)*kgtoGg)</f>
        <v>0.51676357475198786</v>
      </c>
      <c r="AZ20" s="28">
        <f>IF(('Activity data'!AZ7*EF!$H20)*kgtoGg=0,"NO",('Activity data'!AZ7*EF!$H20)*kgtoGg)</f>
        <v>0.52264944537289149</v>
      </c>
      <c r="BA20" s="28">
        <f>IF(('Activity data'!BA7*EF!$H20)*kgtoGg=0,"NO",('Activity data'!BA7*EF!$H20)*kgtoGg)</f>
        <v>0.52884698810959418</v>
      </c>
      <c r="BB20" s="28">
        <f>IF(('Activity data'!BB7*EF!$H20)*kgtoGg=0,"NO",('Activity data'!BB7*EF!$H20)*kgtoGg)</f>
        <v>0.5351379108011719</v>
      </c>
      <c r="BC20" s="28">
        <f>IF(('Activity data'!BC7*EF!$H20)*kgtoGg=0,"NO",('Activity data'!BC7*EF!$H20)*kgtoGg)</f>
        <v>0.54159979916927647</v>
      </c>
      <c r="BD20" s="28">
        <f>IF(('Activity data'!BD7*EF!$H20)*kgtoGg=0,"NO",('Activity data'!BD7*EF!$H20)*kgtoGg)</f>
        <v>0.54806507524357839</v>
      </c>
      <c r="BE20" s="28">
        <f>IF(('Activity data'!BE7*EF!$H20)*kgtoGg=0,"NO",('Activity data'!BE7*EF!$H20)*kgtoGg)</f>
        <v>0.55469084246872968</v>
      </c>
      <c r="BF20" s="28">
        <f>IF(('Activity data'!BF7*EF!$H20)*kgtoGg=0,"NO",('Activity data'!BF7*EF!$H20)*kgtoGg)</f>
        <v>0.56160358275557776</v>
      </c>
      <c r="BG20" s="28">
        <f>IF(('Activity data'!BG7*EF!$H20)*kgtoGg=0,"NO",('Activity data'!BG7*EF!$H20)*kgtoGg)</f>
        <v>0.56872871173440498</v>
      </c>
      <c r="BH20" s="28">
        <f>IF(('Activity data'!BH7*EF!$H20)*kgtoGg=0,"NO",('Activity data'!BH7*EF!$H20)*kgtoGg)</f>
        <v>0.57603798371413728</v>
      </c>
      <c r="BI20" s="28">
        <f>IF(('Activity data'!BI7*EF!$H20)*kgtoGg=0,"NO",('Activity data'!BI7*EF!$H20)*kgtoGg)</f>
        <v>0.58350507959051623</v>
      </c>
      <c r="BJ20" s="28">
        <f>IF(('Activity data'!BJ7*EF!$H20)*kgtoGg=0,"NO",('Activity data'!BJ7*EF!$H20)*kgtoGg)</f>
        <v>0.59115816800772436</v>
      </c>
      <c r="BK20" s="28">
        <f>IF(('Activity data'!BK7*EF!$H20)*kgtoGg=0,"NO",('Activity data'!BK7*EF!$H20)*kgtoGg)</f>
        <v>0.59913110759333044</v>
      </c>
      <c r="BL20" s="28">
        <f>IF(('Activity data'!BL7*EF!$H20)*kgtoGg=0,"NO",('Activity data'!BL7*EF!$H20)*kgtoGg)</f>
        <v>0.60731724575556933</v>
      </c>
      <c r="BM20" s="28">
        <f>IF(('Activity data'!BM7*EF!$H20)*kgtoGg=0,"NO",('Activity data'!BM7*EF!$H20)*kgtoGg)</f>
        <v>0.61572524409108442</v>
      </c>
      <c r="BN20" s="28">
        <f>IF(('Activity data'!BN7*EF!$H20)*kgtoGg=0,"NO",('Activity data'!BN7*EF!$H20)*kgtoGg)</f>
        <v>0.6240831385474942</v>
      </c>
      <c r="BO20" s="28">
        <f>IF(('Activity data'!BO7*EF!$H20)*kgtoGg=0,"NO",('Activity data'!BO7*EF!$H20)*kgtoGg)</f>
        <v>0.63267547060529405</v>
      </c>
      <c r="BP20" s="28">
        <f>IF(('Activity data'!BP7*EF!$H20)*kgtoGg=0,"NO",('Activity data'!BP7*EF!$H20)*kgtoGg)</f>
        <v>0.64151542020321017</v>
      </c>
    </row>
    <row r="21" spans="1:68" x14ac:dyDescent="0.25">
      <c r="A21" t="str">
        <f t="shared" si="1"/>
        <v>3A Livestock</v>
      </c>
      <c r="B21" t="str">
        <f t="shared" si="8"/>
        <v>3A2 Manure management (CH4)</v>
      </c>
      <c r="C21" t="str">
        <f>EF!C21</f>
        <v>3A1aii Other cattle</v>
      </c>
      <c r="D21" t="str">
        <f>EF!D21</f>
        <v>Commercial</v>
      </c>
      <c r="E21" t="str">
        <f>E19</f>
        <v>Manure management Emissions</v>
      </c>
      <c r="F21" t="str">
        <f>F19</f>
        <v>CH4</v>
      </c>
      <c r="G21" t="str">
        <f>G19</f>
        <v>Gg CH4</v>
      </c>
      <c r="H21" s="28">
        <f>IF(('Activity data'!H8*EF!$H21)*kgtoGg=0,"NO",('Activity data'!H8*EF!$H21)*kgtoGg)</f>
        <v>0.10860830449259461</v>
      </c>
      <c r="I21" s="28">
        <f>IF(('Activity data'!I8*EF!$H21)*kgtoGg=0,"NO",('Activity data'!I8*EF!$H21)*kgtoGg)</f>
        <v>0.10392054759979548</v>
      </c>
      <c r="J21" s="28">
        <f>IF(('Activity data'!J8*EF!$H21)*kgtoGg=0,"NO",('Activity data'!J8*EF!$H21)*kgtoGg)</f>
        <v>0.10388278936218015</v>
      </c>
      <c r="K21" s="28">
        <f>IF(('Activity data'!K8*EF!$H21)*kgtoGg=0,"NO",('Activity data'!K8*EF!$H21)*kgtoGg)</f>
        <v>9.7186039320312306E-2</v>
      </c>
      <c r="L21" s="28">
        <f>IF(('Activity data'!L8*EF!$H21)*kgtoGg=0,"NO",('Activity data'!L8*EF!$H21)*kgtoGg)</f>
        <v>0.10011588737831177</v>
      </c>
      <c r="M21" s="28">
        <f>IF(('Activity data'!M8*EF!$H21)*kgtoGg=0,"NO",('Activity data'!M8*EF!$H21)*kgtoGg)</f>
        <v>0.10239221522239531</v>
      </c>
      <c r="N21" s="28">
        <f>IF(('Activity data'!N8*EF!$H21)*kgtoGg=0,"NO",('Activity data'!N8*EF!$H21)*kgtoGg)</f>
        <v>0.10663977797793223</v>
      </c>
      <c r="O21" s="28">
        <f>IF(('Activity data'!O8*EF!$H21)*kgtoGg=0,"NO",('Activity data'!O8*EF!$H21)*kgtoGg)</f>
        <v>0.11067943145039739</v>
      </c>
      <c r="P21" s="28">
        <f>IF(('Activity data'!P8*EF!$H21)*kgtoGg=0,"NO",('Activity data'!P8*EF!$H21)*kgtoGg)</f>
        <v>0.11163804459694349</v>
      </c>
      <c r="Q21" s="28">
        <f>IF(('Activity data'!Q8*EF!$H21)*kgtoGg=0,"NO",('Activity data'!Q8*EF!$H21)*kgtoGg)</f>
        <v>0.10983154393736459</v>
      </c>
      <c r="R21" s="28">
        <f>IF(('Activity data'!R8*EF!$H21)*kgtoGg=0,"NO",('Activity data'!R8*EF!$H21)*kgtoGg)</f>
        <v>0.10237054804806753</v>
      </c>
      <c r="S21" s="28">
        <f>IF(('Activity data'!S8*EF!$H21)*kgtoGg=0,"NO",('Activity data'!S8*EF!$H21)*kgtoGg)</f>
        <v>0.10290250904130627</v>
      </c>
      <c r="T21" s="28">
        <f>IF(('Activity data'!T8*EF!$H21)*kgtoGg=0,"NO",('Activity data'!T8*EF!$H21)*kgtoGg)</f>
        <v>9.5906082860390207E-2</v>
      </c>
      <c r="U21" s="28">
        <f>IF(('Activity data'!U8*EF!$H21)*kgtoGg=0,"NO",('Activity data'!U8*EF!$H21)*kgtoGg)</f>
        <v>9.8414695558664236E-2</v>
      </c>
      <c r="V21" s="28">
        <f>IF(('Activity data'!V8*EF!$H21)*kgtoGg=0,"NO",('Activity data'!V8*EF!$H21)*kgtoGg)</f>
        <v>9.9322008483640145E-2</v>
      </c>
      <c r="W21" s="28">
        <f>IF(('Activity data'!W8*EF!$H21)*kgtoGg=0,"NO",('Activity data'!W8*EF!$H21)*kgtoGg)</f>
        <v>0.100164479203091</v>
      </c>
      <c r="X21" s="28">
        <f>IF(('Activity data'!X8*EF!$H21)*kgtoGg=0,"NO",('Activity data'!X8*EF!$H21)*kgtoGg)</f>
        <v>9.7882734565425497E-2</v>
      </c>
      <c r="Y21" s="28">
        <f>IF(('Activity data'!Y8*EF!$H21)*kgtoGg=0,"NO",('Activity data'!Y8*EF!$H21)*kgtoGg)</f>
        <v>0.10075044881469088</v>
      </c>
      <c r="Z21" s="28">
        <f>IF(('Activity data'!Z8*EF!$H21)*kgtoGg=0,"NO",('Activity data'!Z8*EF!$H21)*kgtoGg)</f>
        <v>9.7950798966544531E-2</v>
      </c>
      <c r="AA21" s="28">
        <f>IF(('Activity data'!AA8*EF!$H21)*kgtoGg=0,"NO",('Activity data'!AA8*EF!$H21)*kgtoGg)</f>
        <v>9.6306138291681109E-2</v>
      </c>
      <c r="AB21" s="28">
        <f>IF(('Activity data'!AB8*EF!$H21)*kgtoGg=0,"NO",('Activity data'!AB8*EF!$H21)*kgtoGg)</f>
        <v>9.6003388653333327E-2</v>
      </c>
      <c r="AC21" s="28">
        <f>IF(('Activity data'!AC8*EF!$H21)*kgtoGg=0,"NO",('Activity data'!AC8*EF!$H21)*kgtoGg)</f>
        <v>9.5658660192370931E-2</v>
      </c>
      <c r="AD21" s="28">
        <f>IF(('Activity data'!AD8*EF!$H21)*kgtoGg=0,"NO",('Activity data'!AD8*EF!$H21)*kgtoGg)</f>
        <v>9.4936119565008664E-2</v>
      </c>
      <c r="AE21" s="28">
        <f>IF(('Activity data'!AE8*EF!$H21)*kgtoGg=0,"NO",('Activity data'!AE8*EF!$H21)*kgtoGg)</f>
        <v>9.4402595454890451E-2</v>
      </c>
      <c r="AF21" s="28">
        <f>IF(('Activity data'!AF8*EF!$H21)*kgtoGg=0,"NO",('Activity data'!AF8*EF!$H21)*kgtoGg)</f>
        <v>9.4025469203189008E-2</v>
      </c>
      <c r="AG21" s="28">
        <f>IF(('Activity data'!AG8*EF!$H21)*kgtoGg=0,"NO",('Activity data'!AG8*EF!$H21)*kgtoGg)</f>
        <v>9.3798314936356278E-2</v>
      </c>
      <c r="AH21" s="28">
        <f>IF(('Activity data'!AH8*EF!$H21)*kgtoGg=0,"NO",('Activity data'!AH8*EF!$H21)*kgtoGg)</f>
        <v>9.3693369953489952E-2</v>
      </c>
      <c r="AI21" s="28">
        <f>IF(('Activity data'!AI8*EF!$H21)*kgtoGg=0,"NO",('Activity data'!AI8*EF!$H21)*kgtoGg)</f>
        <v>9.3493648552536085E-2</v>
      </c>
      <c r="AJ21" s="28">
        <f>IF(('Activity data'!AJ8*EF!$H21)*kgtoGg=0,"NO",('Activity data'!AJ8*EF!$H21)*kgtoGg)</f>
        <v>9.3334978488129702E-2</v>
      </c>
      <c r="AK21" s="28">
        <f>IF(('Activity data'!AK8*EF!$H21)*kgtoGg=0,"NO",('Activity data'!AK8*EF!$H21)*kgtoGg)</f>
        <v>9.3213589701229643E-2</v>
      </c>
      <c r="AL21" s="28">
        <f>IF(('Activity data'!AL8*EF!$H21)*kgtoGg=0,"NO",('Activity data'!AL8*EF!$H21)*kgtoGg)</f>
        <v>9.5307575359215163E-2</v>
      </c>
      <c r="AM21" s="28">
        <f>IF(('Activity data'!AM8*EF!$H21)*kgtoGg=0,"NO",('Activity data'!AM8*EF!$H21)*kgtoGg)</f>
        <v>9.4807118882876559E-2</v>
      </c>
      <c r="AN21" s="28">
        <f>IF(('Activity data'!AN8*EF!$H21)*kgtoGg=0,"NO",('Activity data'!AN8*EF!$H21)*kgtoGg)</f>
        <v>9.4351782028570433E-2</v>
      </c>
      <c r="AO21" s="28">
        <f>IF(('Activity data'!AO8*EF!$H21)*kgtoGg=0,"NO",('Activity data'!AO8*EF!$H21)*kgtoGg)</f>
        <v>9.3909539789486227E-2</v>
      </c>
      <c r="AP21" s="28">
        <f>IF(('Activity data'!AP8*EF!$H21)*kgtoGg=0,"NO",('Activity data'!AP8*EF!$H21)*kgtoGg)</f>
        <v>9.3502752283818866E-2</v>
      </c>
      <c r="AQ21" s="28">
        <f>IF(('Activity data'!AQ8*EF!$H21)*kgtoGg=0,"NO",('Activity data'!AQ8*EF!$H21)*kgtoGg)</f>
        <v>9.30898806958977E-2</v>
      </c>
      <c r="AR21" s="28">
        <f>IF(('Activity data'!AR8*EF!$H21)*kgtoGg=0,"NO",('Activity data'!AR8*EF!$H21)*kgtoGg)</f>
        <v>9.2609844037007727E-2</v>
      </c>
      <c r="AS21" s="28">
        <f>IF(('Activity data'!AS8*EF!$H21)*kgtoGg=0,"NO",('Activity data'!AS8*EF!$H21)*kgtoGg)</f>
        <v>9.2155218631207597E-2</v>
      </c>
      <c r="AT21" s="28">
        <f>IF(('Activity data'!AT8*EF!$H21)*kgtoGg=0,"NO",('Activity data'!AT8*EF!$H21)*kgtoGg)</f>
        <v>9.1694904463873989E-2</v>
      </c>
      <c r="AU21" s="28">
        <f>IF(('Activity data'!AU8*EF!$H21)*kgtoGg=0,"NO",('Activity data'!AU8*EF!$H21)*kgtoGg)</f>
        <v>9.1236558886422403E-2</v>
      </c>
      <c r="AV21" s="28">
        <f>IF(('Activity data'!AV8*EF!$H21)*kgtoGg=0,"NO",('Activity data'!AV8*EF!$H21)*kgtoGg)</f>
        <v>9.0779455952361698E-2</v>
      </c>
      <c r="AW21" s="28">
        <f>IF(('Activity data'!AW8*EF!$H21)*kgtoGg=0,"NO",('Activity data'!AW8*EF!$H21)*kgtoGg)</f>
        <v>9.1624157397738173E-2</v>
      </c>
      <c r="AX21" s="28">
        <f>IF(('Activity data'!AX8*EF!$H21)*kgtoGg=0,"NO",('Activity data'!AX8*EF!$H21)*kgtoGg)</f>
        <v>9.2023976451273484E-2</v>
      </c>
      <c r="AY21" s="28">
        <f>IF(('Activity data'!AY8*EF!$H21)*kgtoGg=0,"NO",('Activity data'!AY8*EF!$H21)*kgtoGg)</f>
        <v>9.2560088372222571E-2</v>
      </c>
      <c r="AZ21" s="28">
        <f>IF(('Activity data'!AZ8*EF!$H21)*kgtoGg=0,"NO",('Activity data'!AZ8*EF!$H21)*kgtoGg)</f>
        <v>9.3072548103634273E-2</v>
      </c>
      <c r="BA21" s="28">
        <f>IF(('Activity data'!BA8*EF!$H21)*kgtoGg=0,"NO",('Activity data'!BA8*EF!$H21)*kgtoGg)</f>
        <v>9.3541929468028737E-2</v>
      </c>
      <c r="BB21" s="28">
        <f>IF(('Activity data'!BB8*EF!$H21)*kgtoGg=0,"NO",('Activity data'!BB8*EF!$H21)*kgtoGg)</f>
        <v>9.3797381485616033E-2</v>
      </c>
      <c r="BC21" s="28">
        <f>IF(('Activity data'!BC8*EF!$H21)*kgtoGg=0,"NO",('Activity data'!BC8*EF!$H21)*kgtoGg)</f>
        <v>9.3893425724573348E-2</v>
      </c>
      <c r="BD21" s="28">
        <f>IF(('Activity data'!BD8*EF!$H21)*kgtoGg=0,"NO",('Activity data'!BD8*EF!$H21)*kgtoGg)</f>
        <v>9.3721523449051825E-2</v>
      </c>
      <c r="BE21" s="28">
        <f>IF(('Activity data'!BE8*EF!$H21)*kgtoGg=0,"NO",('Activity data'!BE8*EF!$H21)*kgtoGg)</f>
        <v>9.3368593106688297E-2</v>
      </c>
      <c r="BF21" s="28">
        <f>IF(('Activity data'!BF8*EF!$H21)*kgtoGg=0,"NO",('Activity data'!BF8*EF!$H21)*kgtoGg)</f>
        <v>9.2890881959403537E-2</v>
      </c>
      <c r="BG21" s="28">
        <f>IF(('Activity data'!BG8*EF!$H21)*kgtoGg=0,"NO",('Activity data'!BG8*EF!$H21)*kgtoGg)</f>
        <v>9.3226523996835536E-2</v>
      </c>
      <c r="BH21" s="28">
        <f>IF(('Activity data'!BH8*EF!$H21)*kgtoGg=0,"NO",('Activity data'!BH8*EF!$H21)*kgtoGg)</f>
        <v>9.3431330919603525E-2</v>
      </c>
      <c r="BI21" s="28">
        <f>IF(('Activity data'!BI8*EF!$H21)*kgtoGg=0,"NO",('Activity data'!BI8*EF!$H21)*kgtoGg)</f>
        <v>9.3483176192993928E-2</v>
      </c>
      <c r="BJ21" s="28">
        <f>IF(('Activity data'!BJ8*EF!$H21)*kgtoGg=0,"NO",('Activity data'!BJ8*EF!$H21)*kgtoGg)</f>
        <v>9.3386977911550262E-2</v>
      </c>
      <c r="BK21" s="28">
        <f>IF(('Activity data'!BK8*EF!$H21)*kgtoGg=0,"NO",('Activity data'!BK8*EF!$H21)*kgtoGg)</f>
        <v>9.319285774760587E-2</v>
      </c>
      <c r="BL21" s="28">
        <f>IF(('Activity data'!BL8*EF!$H21)*kgtoGg=0,"NO",('Activity data'!BL8*EF!$H21)*kgtoGg)</f>
        <v>9.2848394451057845E-2</v>
      </c>
      <c r="BM21" s="28">
        <f>IF(('Activity data'!BM8*EF!$H21)*kgtoGg=0,"NO",('Activity data'!BM8*EF!$H21)*kgtoGg)</f>
        <v>9.2335599753901418E-2</v>
      </c>
      <c r="BN21" s="28">
        <f>IF(('Activity data'!BN8*EF!$H21)*kgtoGg=0,"NO",('Activity data'!BN8*EF!$H21)*kgtoGg)</f>
        <v>9.1535757521890304E-2</v>
      </c>
      <c r="BO21" s="28">
        <f>IF(('Activity data'!BO8*EF!$H21)*kgtoGg=0,"NO",('Activity data'!BO8*EF!$H21)*kgtoGg)</f>
        <v>9.0558814069106874E-2</v>
      </c>
      <c r="BP21" s="28">
        <f>IF(('Activity data'!BP8*EF!$H21)*kgtoGg=0,"NO",('Activity data'!BP8*EF!$H21)*kgtoGg)</f>
        <v>8.9397441418643267E-2</v>
      </c>
    </row>
    <row r="22" spans="1:68" x14ac:dyDescent="0.25">
      <c r="A22" t="str">
        <f t="shared" si="1"/>
        <v>3A Livestock</v>
      </c>
      <c r="B22" t="str">
        <f t="shared" si="8"/>
        <v>3A2 Manure management (CH4)</v>
      </c>
      <c r="C22" t="str">
        <f>EF!C22</f>
        <v>3A1aii Other cattle</v>
      </c>
      <c r="D22" t="str">
        <f>EF!D22</f>
        <v>Subsistence</v>
      </c>
      <c r="E22" t="str">
        <f t="shared" ref="E22:E53" si="9">E21</f>
        <v>Manure management Emissions</v>
      </c>
      <c r="F22" t="str">
        <f t="shared" si="6"/>
        <v>CH4</v>
      </c>
      <c r="G22" t="str">
        <f t="shared" si="7"/>
        <v>Gg CH4</v>
      </c>
      <c r="H22" s="28">
        <f>IF(('Activity data'!H9*EF!$H22)*kgtoGg=0,"NO",('Activity data'!H9*EF!$H22)*kgtoGg)</f>
        <v>7.5090377447119647E-2</v>
      </c>
      <c r="I22" s="28">
        <f>IF(('Activity data'!I9*EF!$H22)*kgtoGg=0,"NO",('Activity data'!I9*EF!$H22)*kgtoGg)</f>
        <v>8.0897014718953164E-2</v>
      </c>
      <c r="J22" s="28">
        <f>IF(('Activity data'!J9*EF!$H22)*kgtoGg=0,"NO",('Activity data'!J9*EF!$H22)*kgtoGg)</f>
        <v>8.1688828892385018E-2</v>
      </c>
      <c r="K22" s="28">
        <f>IF(('Activity data'!K9*EF!$H22)*kgtoGg=0,"NO",('Activity data'!K9*EF!$H22)*kgtoGg)</f>
        <v>8.1688828892385004E-2</v>
      </c>
      <c r="L22" s="28">
        <f>IF(('Activity data'!L9*EF!$H22)*kgtoGg=0,"NO",('Activity data'!L9*EF!$H22)*kgtoGg)</f>
        <v>7.1791151724486982E-2</v>
      </c>
      <c r="M22" s="28">
        <f>IF(('Activity data'!M9*EF!$H22)*kgtoGg=0,"NO",('Activity data'!M9*EF!$H22)*kgtoGg)</f>
        <v>7.0867368522149823E-2</v>
      </c>
      <c r="N22" s="28">
        <f>IF(('Activity data'!N9*EF!$H22)*kgtoGg=0,"NO",('Activity data'!N9*EF!$H22)*kgtoGg)</f>
        <v>7.2582965897918836E-2</v>
      </c>
      <c r="O22" s="28">
        <f>IF(('Activity data'!O9*EF!$H22)*kgtoGg=0,"NO",('Activity data'!O9*EF!$H22)*kgtoGg)</f>
        <v>7.4694470360403734E-2</v>
      </c>
      <c r="P22" s="28">
        <f>IF(('Activity data'!P9*EF!$H22)*kgtoGg=0,"NO",('Activity data'!P9*EF!$H22)*kgtoGg)</f>
        <v>7.799369608303644E-2</v>
      </c>
      <c r="Q22" s="28">
        <f>IF(('Activity data'!Q9*EF!$H22)*kgtoGg=0,"NO",('Activity data'!Q9*EF!$H22)*kgtoGg)</f>
        <v>8.076504569004786E-2</v>
      </c>
      <c r="R22" s="28">
        <f>IF(('Activity data'!R9*EF!$H22)*kgtoGg=0,"NO",('Activity data'!R9*EF!$H22)*kgtoGg)</f>
        <v>8.300851918143809E-2</v>
      </c>
      <c r="S22" s="28">
        <f>IF(('Activity data'!S9*EF!$H22)*kgtoGg=0,"NO",('Activity data'!S9*EF!$H22)*kgtoGg)</f>
        <v>8.1292921805669105E-2</v>
      </c>
      <c r="T22" s="28">
        <f>IF(('Activity data'!T9*EF!$H22)*kgtoGg=0,"NO",('Activity data'!T9*EF!$H22)*kgtoGg)</f>
        <v>8.7759404222029144E-2</v>
      </c>
      <c r="U22" s="28">
        <f>IF(('Activity data'!U9*EF!$H22)*kgtoGg=0,"NO",('Activity data'!U9*EF!$H22)*kgtoGg)</f>
        <v>8.762743519312384E-2</v>
      </c>
      <c r="V22" s="28">
        <f>IF(('Activity data'!V9*EF!$H22)*kgtoGg=0,"NO",('Activity data'!V9*EF!$H22)*kgtoGg)</f>
        <v>8.5779868788449537E-2</v>
      </c>
      <c r="W22" s="28">
        <f>IF(('Activity data'!W9*EF!$H22)*kgtoGg=0,"NO",('Activity data'!W9*EF!$H22)*kgtoGg)</f>
        <v>8.472411655720706E-2</v>
      </c>
      <c r="X22" s="28">
        <f>IF(('Activity data'!X9*EF!$H22)*kgtoGg=0,"NO",('Activity data'!X9*EF!$H22)*kgtoGg)</f>
        <v>8.6703651990786682E-2</v>
      </c>
      <c r="Y22" s="28">
        <f>IF(('Activity data'!Y9*EF!$H22)*kgtoGg=0,"NO",('Activity data'!Y9*EF!$H22)*kgtoGg)</f>
        <v>8.9606970626703419E-2</v>
      </c>
      <c r="Z22" s="28">
        <f>IF(('Activity data'!Z9*EF!$H22)*kgtoGg=0,"NO",('Activity data'!Z9*EF!$H22)*kgtoGg)</f>
        <v>9.1322568002472418E-2</v>
      </c>
      <c r="AA22" s="28">
        <f>IF(('Activity data'!AA9*EF!$H22)*kgtoGg=0,"NO",('Activity data'!AA9*EF!$H22)*kgtoGg)</f>
        <v>9.1058629944661823E-2</v>
      </c>
      <c r="AB22" s="28">
        <f>IF(('Activity data'!AB9*EF!$H22)*kgtoGg=0,"NO",('Activity data'!AB9*EF!$H22)*kgtoGg)</f>
        <v>9.0002877713419346E-2</v>
      </c>
      <c r="AC22" s="28">
        <f>IF(('Activity data'!AC9*EF!$H22)*kgtoGg=0,"NO",('Activity data'!AC9*EF!$H22)*kgtoGg)</f>
        <v>8.9738939655608738E-2</v>
      </c>
      <c r="AD22" s="28">
        <f>IF(('Activity data'!AD9*EF!$H22)*kgtoGg=0,"NO",('Activity data'!AD9*EF!$H22)*kgtoGg)</f>
        <v>8.904330134651664E-2</v>
      </c>
      <c r="AE22" s="28">
        <f>IF(('Activity data'!AE9*EF!$H22)*kgtoGg=0,"NO",('Activity data'!AE9*EF!$H22)*kgtoGg)</f>
        <v>8.9276832332694345E-2</v>
      </c>
      <c r="AF22" s="28">
        <f>IF(('Activity data'!AF9*EF!$H22)*kgtoGg=0,"NO",('Activity data'!AF9*EF!$H22)*kgtoGg)</f>
        <v>8.9512484152147326E-2</v>
      </c>
      <c r="AG22" s="28">
        <f>IF(('Activity data'!AG9*EF!$H22)*kgtoGg=0,"NO",('Activity data'!AG9*EF!$H22)*kgtoGg)</f>
        <v>8.9750276065417758E-2</v>
      </c>
      <c r="AH22" s="28">
        <f>IF(('Activity data'!AH9*EF!$H22)*kgtoGg=0,"NO",('Activity data'!AH9*EF!$H22)*kgtoGg)</f>
        <v>9.0009441379528668E-2</v>
      </c>
      <c r="AI22" s="28">
        <f>IF(('Activity data'!AI9*EF!$H22)*kgtoGg=0,"NO",('Activity data'!AI9*EF!$H22)*kgtoGg)</f>
        <v>9.0268606693639578E-2</v>
      </c>
      <c r="AJ22" s="28">
        <f>IF(('Activity data'!AJ9*EF!$H22)*kgtoGg=0,"NO",('Activity data'!AJ9*EF!$H22)*kgtoGg)</f>
        <v>9.0527772007750473E-2</v>
      </c>
      <c r="AK22" s="28">
        <f>IF(('Activity data'!AK9*EF!$H22)*kgtoGg=0,"NO",('Activity data'!AK9*EF!$H22)*kgtoGg)</f>
        <v>9.0786937321861369E-2</v>
      </c>
      <c r="AL22" s="28">
        <f>IF(('Activity data'!AL9*EF!$H22)*kgtoGg=0,"NO",('Activity data'!AL9*EF!$H22)*kgtoGg)</f>
        <v>9.1046102635972279E-2</v>
      </c>
      <c r="AM22" s="28">
        <f>IF(('Activity data'!AM9*EF!$H22)*kgtoGg=0,"NO",('Activity data'!AM9*EF!$H22)*kgtoGg)</f>
        <v>9.1308794646125721E-2</v>
      </c>
      <c r="AN22" s="28">
        <f>IF(('Activity data'!AN9*EF!$H22)*kgtoGg=0,"NO",('Activity data'!AN9*EF!$H22)*kgtoGg)</f>
        <v>9.1571486651430292E-2</v>
      </c>
      <c r="AO22" s="28">
        <f>IF(('Activity data'!AO9*EF!$H22)*kgtoGg=0,"NO",('Activity data'!AO9*EF!$H22)*kgtoGg)</f>
        <v>9.1834178656734836E-2</v>
      </c>
      <c r="AP22" s="28">
        <f>IF(('Activity data'!AP9*EF!$H22)*kgtoGg=0,"NO",('Activity data'!AP9*EF!$H22)*kgtoGg)</f>
        <v>9.2096870662039421E-2</v>
      </c>
      <c r="AQ22" s="28">
        <f>IF(('Activity data'!AQ9*EF!$H22)*kgtoGg=0,"NO",('Activity data'!AQ9*EF!$H22)*kgtoGg)</f>
        <v>9.2359562672192835E-2</v>
      </c>
      <c r="AR22" s="28">
        <f>IF(('Activity data'!AR9*EF!$H22)*kgtoGg=0,"NO",('Activity data'!AR9*EF!$H22)*kgtoGg)</f>
        <v>9.2644161280418413E-2</v>
      </c>
      <c r="AS22" s="28">
        <f>IF(('Activity data'!AS9*EF!$H22)*kgtoGg=0,"NO",('Activity data'!AS9*EF!$H22)*kgtoGg)</f>
        <v>9.2928759888643964E-2</v>
      </c>
      <c r="AT22" s="28">
        <f>IF(('Activity data'!AT9*EF!$H22)*kgtoGg=0,"NO",('Activity data'!AT9*EF!$H22)*kgtoGg)</f>
        <v>9.3213358496869514E-2</v>
      </c>
      <c r="AU22" s="28">
        <f>IF(('Activity data'!AU9*EF!$H22)*kgtoGg=0,"NO",('Activity data'!AU9*EF!$H22)*kgtoGg)</f>
        <v>9.3497957105095078E-2</v>
      </c>
      <c r="AV22" s="28">
        <f>IF(('Activity data'!AV9*EF!$H22)*kgtoGg=0,"NO",('Activity data'!AV9*EF!$H22)*kgtoGg)</f>
        <v>9.3782555713320628E-2</v>
      </c>
      <c r="AW22" s="28">
        <f>IF(('Activity data'!AW9*EF!$H22)*kgtoGg=0,"NO",('Activity data'!AW9*EF!$H22)*kgtoGg)</f>
        <v>9.4057492160069631E-2</v>
      </c>
      <c r="AX22" s="28">
        <f>IF(('Activity data'!AX9*EF!$H22)*kgtoGg=0,"NO",('Activity data'!AX9*EF!$H22)*kgtoGg)</f>
        <v>9.4332428601969803E-2</v>
      </c>
      <c r="AY22" s="28">
        <f>IF(('Activity data'!AY9*EF!$H22)*kgtoGg=0,"NO",('Activity data'!AY9*EF!$H22)*kgtoGg)</f>
        <v>9.4607365048718833E-2</v>
      </c>
      <c r="AZ22" s="28">
        <f>IF(('Activity data'!AZ9*EF!$H22)*kgtoGg=0,"NO",('Activity data'!AZ9*EF!$H22)*kgtoGg)</f>
        <v>9.4882301490618992E-2</v>
      </c>
      <c r="BA22" s="28">
        <f>IF(('Activity data'!BA9*EF!$H22)*kgtoGg=0,"NO",('Activity data'!BA9*EF!$H22)*kgtoGg)</f>
        <v>9.5157237932519137E-2</v>
      </c>
      <c r="BB22" s="28">
        <f>IF(('Activity data'!BB9*EF!$H22)*kgtoGg=0,"NO",('Activity data'!BB9*EF!$H22)*kgtoGg)</f>
        <v>9.5442983416894139E-2</v>
      </c>
      <c r="BC22" s="28">
        <f>IF(('Activity data'!BC9*EF!$H22)*kgtoGg=0,"NO",('Activity data'!BC9*EF!$H22)*kgtoGg)</f>
        <v>9.5728728901269142E-2</v>
      </c>
      <c r="BD22" s="28">
        <f>IF(('Activity data'!BD9*EF!$H22)*kgtoGg=0,"NO",('Activity data'!BD9*EF!$H22)*kgtoGg)</f>
        <v>9.6014474380795245E-2</v>
      </c>
      <c r="BE22" s="28">
        <f>IF(('Activity data'!BE9*EF!$H22)*kgtoGg=0,"NO",('Activity data'!BE9*EF!$H22)*kgtoGg)</f>
        <v>9.6300219865170261E-2</v>
      </c>
      <c r="BF22" s="28">
        <f>IF(('Activity data'!BF9*EF!$H22)*kgtoGg=0,"NO",('Activity data'!BF9*EF!$H22)*kgtoGg)</f>
        <v>9.6585965349545236E-2</v>
      </c>
      <c r="BG22" s="28">
        <f>IF(('Activity data'!BG9*EF!$H22)*kgtoGg=0,"NO",('Activity data'!BG9*EF!$H22)*kgtoGg)</f>
        <v>9.6912151921118878E-2</v>
      </c>
      <c r="BH22" s="28">
        <f>IF(('Activity data'!BH9*EF!$H22)*kgtoGg=0,"NO",('Activity data'!BH9*EF!$H22)*kgtoGg)</f>
        <v>9.7238338487843648E-2</v>
      </c>
      <c r="BI22" s="28">
        <f>IF(('Activity data'!BI9*EF!$H22)*kgtoGg=0,"NO",('Activity data'!BI9*EF!$H22)*kgtoGg)</f>
        <v>9.756452505941729E-2</v>
      </c>
      <c r="BJ22" s="28">
        <f>IF(('Activity data'!BJ9*EF!$H22)*kgtoGg=0,"NO",('Activity data'!BJ9*EF!$H22)*kgtoGg)</f>
        <v>9.7890711630990931E-2</v>
      </c>
      <c r="BK22" s="28">
        <f>IF(('Activity data'!BK9*EF!$H22)*kgtoGg=0,"NO",('Activity data'!BK9*EF!$H22)*kgtoGg)</f>
        <v>9.8216898202564559E-2</v>
      </c>
      <c r="BL22" s="28">
        <f>IF(('Activity data'!BL9*EF!$H22)*kgtoGg=0,"NO",('Activity data'!BL9*EF!$H22)*kgtoGg)</f>
        <v>9.8531572295154801E-2</v>
      </c>
      <c r="BM22" s="28">
        <f>IF(('Activity data'!BM9*EF!$H22)*kgtoGg=0,"NO",('Activity data'!BM9*EF!$H22)*kgtoGg)</f>
        <v>9.8846246387745029E-2</v>
      </c>
      <c r="BN22" s="28">
        <f>IF(('Activity data'!BN9*EF!$H22)*kgtoGg=0,"NO",('Activity data'!BN9*EF!$H22)*kgtoGg)</f>
        <v>9.9160920485184142E-2</v>
      </c>
      <c r="BO22" s="28">
        <f>IF(('Activity data'!BO9*EF!$H22)*kgtoGg=0,"NO",('Activity data'!BO9*EF!$H22)*kgtoGg)</f>
        <v>9.9475594577774371E-2</v>
      </c>
      <c r="BP22" s="28">
        <f>IF(('Activity data'!BP9*EF!$H22)*kgtoGg=0,"NO",('Activity data'!BP9*EF!$H22)*kgtoGg)</f>
        <v>9.9790268670364599E-2</v>
      </c>
    </row>
    <row r="23" spans="1:68" x14ac:dyDescent="0.25">
      <c r="A23" t="str">
        <f t="shared" si="1"/>
        <v>3A Livestock</v>
      </c>
      <c r="B23" t="str">
        <f t="shared" si="8"/>
        <v>3A2 Manure management (CH4)</v>
      </c>
      <c r="C23" t="str">
        <f>EF!C23</f>
        <v>3A1aii Other cattle</v>
      </c>
      <c r="D23" t="str">
        <f>EF!D23</f>
        <v>Feedlot</v>
      </c>
      <c r="E23" t="str">
        <f t="shared" si="9"/>
        <v>Manure management Emissions</v>
      </c>
      <c r="F23" t="str">
        <f t="shared" si="6"/>
        <v>CH4</v>
      </c>
      <c r="G23" t="str">
        <f t="shared" si="7"/>
        <v>Gg CH4</v>
      </c>
      <c r="H23" s="28">
        <f>IF(('Activity data'!H10*EF!$H23)*kgtoGg=0,"NO",('Activity data'!H10*EF!$H23)*kgtoGg)</f>
        <v>0.3654</v>
      </c>
      <c r="I23" s="28">
        <f>IF(('Activity data'!I10*EF!$H23)*kgtoGg=0,"NO",('Activity data'!I10*EF!$H23)*kgtoGg)</f>
        <v>0.3654</v>
      </c>
      <c r="J23" s="28">
        <f>IF(('Activity data'!J10*EF!$H23)*kgtoGg=0,"NO",('Activity data'!J10*EF!$H23)*kgtoGg)</f>
        <v>0.3654</v>
      </c>
      <c r="K23" s="28">
        <f>IF(('Activity data'!K10*EF!$H23)*kgtoGg=0,"NO",('Activity data'!K10*EF!$H23)*kgtoGg)</f>
        <v>0.3654</v>
      </c>
      <c r="L23" s="28">
        <f>IF(('Activity data'!L10*EF!$H23)*kgtoGg=0,"NO",('Activity data'!L10*EF!$H23)*kgtoGg)</f>
        <v>0.3654</v>
      </c>
      <c r="M23" s="28">
        <f>IF(('Activity data'!M10*EF!$H23)*kgtoGg=0,"NO",('Activity data'!M10*EF!$H23)*kgtoGg)</f>
        <v>0.3654</v>
      </c>
      <c r="N23" s="28">
        <f>IF(('Activity data'!N10*EF!$H23)*kgtoGg=0,"NO",('Activity data'!N10*EF!$H23)*kgtoGg)</f>
        <v>0.3654</v>
      </c>
      <c r="O23" s="28">
        <f>IF(('Activity data'!O10*EF!$H23)*kgtoGg=0,"NO",('Activity data'!O10*EF!$H23)*kgtoGg)</f>
        <v>0.3654</v>
      </c>
      <c r="P23" s="28">
        <f>IF(('Activity data'!P10*EF!$H23)*kgtoGg=0,"NO",('Activity data'!P10*EF!$H23)*kgtoGg)</f>
        <v>0.3654</v>
      </c>
      <c r="Q23" s="28">
        <f>IF(('Activity data'!Q10*EF!$H23)*kgtoGg=0,"NO",('Activity data'!Q10*EF!$H23)*kgtoGg)</f>
        <v>0.3654</v>
      </c>
      <c r="R23" s="28">
        <f>IF(('Activity data'!R10*EF!$H23)*kgtoGg=0,"NO",('Activity data'!R10*EF!$H23)*kgtoGg)</f>
        <v>0.3654</v>
      </c>
      <c r="S23" s="28">
        <f>IF(('Activity data'!S10*EF!$H23)*kgtoGg=0,"NO",('Activity data'!S10*EF!$H23)*kgtoGg)</f>
        <v>0.3654</v>
      </c>
      <c r="T23" s="28">
        <f>IF(('Activity data'!T10*EF!$H23)*kgtoGg=0,"NO",('Activity data'!T10*EF!$H23)*kgtoGg)</f>
        <v>0.3654</v>
      </c>
      <c r="U23" s="28">
        <f>IF(('Activity data'!U10*EF!$H23)*kgtoGg=0,"NO",('Activity data'!U10*EF!$H23)*kgtoGg)</f>
        <v>0.3654</v>
      </c>
      <c r="V23" s="28">
        <f>IF(('Activity data'!V10*EF!$H23)*kgtoGg=0,"NO",('Activity data'!V10*EF!$H23)*kgtoGg)</f>
        <v>0.3654</v>
      </c>
      <c r="W23" s="28">
        <f>IF(('Activity data'!W10*EF!$H23)*kgtoGg=0,"NO",('Activity data'!W10*EF!$H23)*kgtoGg)</f>
        <v>0.3654</v>
      </c>
      <c r="X23" s="28">
        <f>IF(('Activity data'!X10*EF!$H23)*kgtoGg=0,"NO",('Activity data'!X10*EF!$H23)*kgtoGg)</f>
        <v>0.3654</v>
      </c>
      <c r="Y23" s="28">
        <f>IF(('Activity data'!Y10*EF!$H23)*kgtoGg=0,"NO",('Activity data'!Y10*EF!$H23)*kgtoGg)</f>
        <v>0.3654</v>
      </c>
      <c r="Z23" s="28">
        <f>IF(('Activity data'!Z10*EF!$H23)*kgtoGg=0,"NO",('Activity data'!Z10*EF!$H23)*kgtoGg)</f>
        <v>0.34029854249999997</v>
      </c>
      <c r="AA23" s="28">
        <f>IF(('Activity data'!AA10*EF!$H23)*kgtoGg=0,"NO",('Activity data'!AA10*EF!$H23)*kgtoGg)</f>
        <v>0.34871289249999998</v>
      </c>
      <c r="AB23" s="28">
        <f>IF(('Activity data'!AB10*EF!$H23)*kgtoGg=0,"NO",('Activity data'!AB10*EF!$H23)*kgtoGg)</f>
        <v>0.34784542999999996</v>
      </c>
      <c r="AC23" s="28">
        <f>IF(('Activity data'!AC10*EF!$H23)*kgtoGg=0,"NO",('Activity data'!AC10*EF!$H23)*kgtoGg)</f>
        <v>0.40176614500000002</v>
      </c>
      <c r="AD23" s="28">
        <f>IF(('Activity data'!AD10*EF!$H23)*kgtoGg=0,"NO",('Activity data'!AD10*EF!$H23)*kgtoGg)</f>
        <v>0.41381912934999998</v>
      </c>
      <c r="AE23" s="28">
        <f>IF(('Activity data'!AE10*EF!$H23)*kgtoGg=0,"NO",('Activity data'!AE10*EF!$H23)*kgtoGg)</f>
        <v>0.42623370323050003</v>
      </c>
      <c r="AF23" s="28">
        <f>IF(('Activity data'!AF10*EF!$H23)*kgtoGg=0,"NO",('Activity data'!AF10*EF!$H23)*kgtoGg)</f>
        <v>0.43902071432741502</v>
      </c>
      <c r="AG23" s="28">
        <f>IF(('Activity data'!AG10*EF!$H23)*kgtoGg=0,"NO",('Activity data'!AG10*EF!$H23)*kgtoGg)</f>
        <v>0.45219133575723747</v>
      </c>
      <c r="AH23" s="28">
        <f>IF(('Activity data'!AH10*EF!$H23)*kgtoGg=0,"NO",('Activity data'!AH10*EF!$H23)*kgtoGg)</f>
        <v>0.46575707582995463</v>
      </c>
      <c r="AI23" s="28">
        <f>IF(('Activity data'!AI10*EF!$H23)*kgtoGg=0,"NO",('Activity data'!AI10*EF!$H23)*kgtoGg)</f>
        <v>0.47972978810485323</v>
      </c>
      <c r="AJ23" s="28">
        <f>IF(('Activity data'!AJ10*EF!$H23)*kgtoGg=0,"NO",('Activity data'!AJ10*EF!$H23)*kgtoGg)</f>
        <v>0.49412168174799881</v>
      </c>
      <c r="AK23" s="28">
        <f>IF(('Activity data'!AK10*EF!$H23)*kgtoGg=0,"NO",('Activity data'!AK10*EF!$H23)*kgtoGg)</f>
        <v>0.5089453322004388</v>
      </c>
      <c r="AL23" s="28">
        <f>IF(('Activity data'!AL10*EF!$H23)*kgtoGg=0,"NO",('Activity data'!AL10*EF!$H23)*kgtoGg)</f>
        <v>0.52421369216645186</v>
      </c>
      <c r="AM23" s="28">
        <f>IF(('Activity data'!AM10*EF!$H23)*kgtoGg=0,"NO",('Activity data'!AM10*EF!$H23)*kgtoGg)</f>
        <v>0.53994010293144545</v>
      </c>
      <c r="AN23" s="28">
        <f>IF(('Activity data'!AN10*EF!$H23)*kgtoGg=0,"NO",('Activity data'!AN10*EF!$H23)*kgtoGg)</f>
        <v>0.55613830601938896</v>
      </c>
      <c r="AO23" s="28">
        <f>IF(('Activity data'!AO10*EF!$H23)*kgtoGg=0,"NO",('Activity data'!AO10*EF!$H23)*kgtoGg)</f>
        <v>0.57282245519997066</v>
      </c>
      <c r="AP23" s="28">
        <f>IF(('Activity data'!AP10*EF!$H23)*kgtoGg=0,"NO",('Activity data'!AP10*EF!$H23)*kgtoGg)</f>
        <v>0.59000712885596973</v>
      </c>
      <c r="AQ23" s="28">
        <f>IF(('Activity data'!AQ10*EF!$H23)*kgtoGg=0,"NO",('Activity data'!AQ10*EF!$H23)*kgtoGg)</f>
        <v>0.60770734272164895</v>
      </c>
      <c r="AR23" s="28">
        <f>IF(('Activity data'!AR10*EF!$H23)*kgtoGg=0,"NO",('Activity data'!AR10*EF!$H23)*kgtoGg)</f>
        <v>0.62593856300329831</v>
      </c>
      <c r="AS23" s="28">
        <f>IF(('Activity data'!AS10*EF!$H23)*kgtoGg=0,"NO",('Activity data'!AS10*EF!$H23)*kgtoGg)</f>
        <v>0.64471671989339729</v>
      </c>
      <c r="AT23" s="28">
        <f>IF(('Activity data'!AT10*EF!$H23)*kgtoGg=0,"NO",('Activity data'!AT10*EF!$H23)*kgtoGg)</f>
        <v>0.66405822149019922</v>
      </c>
      <c r="AU23" s="28">
        <f>IF(('Activity data'!AU10*EF!$H23)*kgtoGg=0,"NO",('Activity data'!AU10*EF!$H23)*kgtoGg)</f>
        <v>0.68397996813490514</v>
      </c>
      <c r="AV23" s="28">
        <f>IF(('Activity data'!AV10*EF!$H23)*kgtoGg=0,"NO",('Activity data'!AV10*EF!$H23)*kgtoGg)</f>
        <v>0.70449936717895245</v>
      </c>
      <c r="AW23" s="28">
        <f>IF(('Activity data'!AW10*EF!$H23)*kgtoGg=0,"NO",('Activity data'!AW10*EF!$H23)*kgtoGg)</f>
        <v>0.72563434819432104</v>
      </c>
      <c r="AX23" s="28">
        <f>IF(('Activity data'!AX10*EF!$H23)*kgtoGg=0,"NO",('Activity data'!AX10*EF!$H23)*kgtoGg)</f>
        <v>0.74740337864015061</v>
      </c>
      <c r="AY23" s="28">
        <f>IF(('Activity data'!AY10*EF!$H23)*kgtoGg=0,"NO",('Activity data'!AY10*EF!$H23)*kgtoGg)</f>
        <v>0.76982547999935524</v>
      </c>
      <c r="AZ23" s="28">
        <f>IF(('Activity data'!AZ10*EF!$H23)*kgtoGg=0,"NO",('Activity data'!AZ10*EF!$H23)*kgtoGg)</f>
        <v>0.79292024439933595</v>
      </c>
      <c r="BA23" s="28">
        <f>IF(('Activity data'!BA10*EF!$H23)*kgtoGg=0,"NO",('Activity data'!BA10*EF!$H23)*kgtoGg)</f>
        <v>0.81670785173131599</v>
      </c>
      <c r="BB23" s="28">
        <f>IF(('Activity data'!BB10*EF!$H23)*kgtoGg=0,"NO",('Activity data'!BB10*EF!$H23)*kgtoGg)</f>
        <v>0.8412090872832555</v>
      </c>
      <c r="BC23" s="28">
        <f>IF(('Activity data'!BC10*EF!$H23)*kgtoGg=0,"NO",('Activity data'!BC10*EF!$H23)*kgtoGg)</f>
        <v>0.86644535990175309</v>
      </c>
      <c r="BD23" s="28">
        <f>IF(('Activity data'!BD10*EF!$H23)*kgtoGg=0,"NO",('Activity data'!BD10*EF!$H23)*kgtoGg)</f>
        <v>0.87</v>
      </c>
      <c r="BE23" s="28">
        <f>IF(('Activity data'!BE10*EF!$H23)*kgtoGg=0,"NO",('Activity data'!BE10*EF!$H23)*kgtoGg)</f>
        <v>0.87</v>
      </c>
      <c r="BF23" s="28">
        <f>IF(('Activity data'!BF10*EF!$H23)*kgtoGg=0,"NO",('Activity data'!BF10*EF!$H23)*kgtoGg)</f>
        <v>0.87</v>
      </c>
      <c r="BG23" s="28">
        <f>IF(('Activity data'!BG10*EF!$H23)*kgtoGg=0,"NO",('Activity data'!BG10*EF!$H23)*kgtoGg)</f>
        <v>0.87</v>
      </c>
      <c r="BH23" s="28">
        <f>IF(('Activity data'!BH10*EF!$H23)*kgtoGg=0,"NO",('Activity data'!BH10*EF!$H23)*kgtoGg)</f>
        <v>0.87</v>
      </c>
      <c r="BI23" s="28">
        <f>IF(('Activity data'!BI10*EF!$H23)*kgtoGg=0,"NO",('Activity data'!BI10*EF!$H23)*kgtoGg)</f>
        <v>0.87</v>
      </c>
      <c r="BJ23" s="28">
        <f>IF(('Activity data'!BJ10*EF!$H23)*kgtoGg=0,"NO",('Activity data'!BJ10*EF!$H23)*kgtoGg)</f>
        <v>0.87</v>
      </c>
      <c r="BK23" s="28">
        <f>IF(('Activity data'!BK10*EF!$H23)*kgtoGg=0,"NO",('Activity data'!BK10*EF!$H23)*kgtoGg)</f>
        <v>0.87</v>
      </c>
      <c r="BL23" s="28">
        <f>IF(('Activity data'!BL10*EF!$H23)*kgtoGg=0,"NO",('Activity data'!BL10*EF!$H23)*kgtoGg)</f>
        <v>0.87</v>
      </c>
      <c r="BM23" s="28">
        <f>IF(('Activity data'!BM10*EF!$H23)*kgtoGg=0,"NO",('Activity data'!BM10*EF!$H23)*kgtoGg)</f>
        <v>0.87</v>
      </c>
      <c r="BN23" s="28">
        <f>IF(('Activity data'!BN10*EF!$H23)*kgtoGg=0,"NO",('Activity data'!BN10*EF!$H23)*kgtoGg)</f>
        <v>0.87</v>
      </c>
      <c r="BO23" s="28">
        <f>IF(('Activity data'!BO10*EF!$H23)*kgtoGg=0,"NO",('Activity data'!BO10*EF!$H23)*kgtoGg)</f>
        <v>0.87</v>
      </c>
      <c r="BP23" s="28">
        <f>IF(('Activity data'!BP10*EF!$H23)*kgtoGg=0,"NO",('Activity data'!BP10*EF!$H23)*kgtoGg)</f>
        <v>0.87</v>
      </c>
    </row>
    <row r="24" spans="1:68" x14ac:dyDescent="0.25">
      <c r="A24" t="str">
        <f t="shared" si="1"/>
        <v>3A Livestock</v>
      </c>
      <c r="B24" t="str">
        <f t="shared" si="8"/>
        <v>3A2 Manure management (CH4)</v>
      </c>
      <c r="C24" t="str">
        <f>EF!C24</f>
        <v>3A1c Sheep</v>
      </c>
      <c r="D24" t="str">
        <f>EF!D24</f>
        <v>Commercial</v>
      </c>
      <c r="E24" t="str">
        <f t="shared" si="9"/>
        <v>Manure management Emissions</v>
      </c>
      <c r="F24" t="str">
        <f t="shared" si="6"/>
        <v>CH4</v>
      </c>
      <c r="G24" t="str">
        <f t="shared" si="7"/>
        <v>Gg CH4</v>
      </c>
      <c r="H24" s="28">
        <f>IF(('Activity data'!H11*EF!$H24)*kgtoGg=0,"NO",('Activity data'!H11*EF!$H24)*kgtoGg)</f>
        <v>5.683257382813009E-2</v>
      </c>
      <c r="I24" s="28">
        <f>IF(('Activity data'!I11*EF!$H24)*kgtoGg=0,"NO",('Activity data'!I11*EF!$H24)*kgtoGg)</f>
        <v>5.427710801805239E-2</v>
      </c>
      <c r="J24" s="28">
        <f>IF(('Activity data'!J11*EF!$H24)*kgtoGg=0,"NO",('Activity data'!J11*EF!$H24)*kgtoGg)</f>
        <v>5.2034440322709721E-2</v>
      </c>
      <c r="K24" s="28">
        <f>IF(('Activity data'!K11*EF!$H24)*kgtoGg=0,"NO",('Activity data'!K11*EF!$H24)*kgtoGg)</f>
        <v>4.8663803668171031E-2</v>
      </c>
      <c r="L24" s="28">
        <f>IF(('Activity data'!L11*EF!$H24)*kgtoGg=0,"NO",('Activity data'!L11*EF!$H24)*kgtoGg)</f>
        <v>4.9006933721304616E-2</v>
      </c>
      <c r="M24" s="28">
        <f>IF(('Activity data'!M11*EF!$H24)*kgtoGg=0,"NO",('Activity data'!M11*EF!$H24)*kgtoGg)</f>
        <v>4.8305507645838179E-2</v>
      </c>
      <c r="N24" s="28">
        <f>IF(('Activity data'!N11*EF!$H24)*kgtoGg=0,"NO",('Activity data'!N11*EF!$H24)*kgtoGg)</f>
        <v>4.846664606858047E-2</v>
      </c>
      <c r="O24" s="28">
        <f>IF(('Activity data'!O11*EF!$H24)*kgtoGg=0,"NO",('Activity data'!O11*EF!$H24)*kgtoGg)</f>
        <v>4.7412611209230918E-2</v>
      </c>
      <c r="P24" s="28">
        <f>IF(('Activity data'!P11*EF!$H24)*kgtoGg=0,"NO",('Activity data'!P11*EF!$H24)*kgtoGg)</f>
        <v>4.7543417693574654E-2</v>
      </c>
      <c r="Q24" s="28">
        <f>IF(('Activity data'!Q11*EF!$H24)*kgtoGg=0,"NO",('Activity data'!Q11*EF!$H24)*kgtoGg)</f>
        <v>4.637563806523054E-2</v>
      </c>
      <c r="R24" s="28">
        <f>IF(('Activity data'!R11*EF!$H24)*kgtoGg=0,"NO",('Activity data'!R11*EF!$H24)*kgtoGg)</f>
        <v>4.4713068691760109E-2</v>
      </c>
      <c r="S24" s="28">
        <f>IF(('Activity data'!S11*EF!$H24)*kgtoGg=0,"NO",('Activity data'!S11*EF!$H24)*kgtoGg)</f>
        <v>4.3598369955613454E-2</v>
      </c>
      <c r="T24" s="28">
        <f>IF(('Activity data'!T11*EF!$H24)*kgtoGg=0,"NO",('Activity data'!T11*EF!$H24)*kgtoGg)</f>
        <v>4.2870403434048299E-2</v>
      </c>
      <c r="U24" s="28">
        <f>IF(('Activity data'!U11*EF!$H24)*kgtoGg=0,"NO",('Activity data'!U11*EF!$H24)*kgtoGg)</f>
        <v>4.3020167379891124E-2</v>
      </c>
      <c r="V24" s="28">
        <f>IF(('Activity data'!V11*EF!$H24)*kgtoGg=0,"NO",('Activity data'!V11*EF!$H24)*kgtoGg)</f>
        <v>4.2254285935327783E-2</v>
      </c>
      <c r="W24" s="28">
        <f>IF(('Activity data'!W11*EF!$H24)*kgtoGg=0,"NO",('Activity data'!W11*EF!$H24)*kgtoGg)</f>
        <v>4.2153811389382595E-2</v>
      </c>
      <c r="X24" s="28">
        <f>IF(('Activity data'!X11*EF!$H24)*kgtoGg=0,"NO",('Activity data'!X11*EF!$H24)*kgtoGg)</f>
        <v>4.1602149259758997E-2</v>
      </c>
      <c r="Y24" s="28">
        <f>IF(('Activity data'!Y11*EF!$H24)*kgtoGg=0,"NO",('Activity data'!Y11*EF!$H24)*kgtoGg)</f>
        <v>4.1562338590610905E-2</v>
      </c>
      <c r="Z24" s="28">
        <f>IF(('Activity data'!Z11*EF!$H24)*kgtoGg=0,"NO",('Activity data'!Z11*EF!$H24)*kgtoGg)</f>
        <v>4.1696936567254456E-2</v>
      </c>
      <c r="AA24" s="28">
        <f>IF(('Activity data'!AA11*EF!$H24)*kgtoGg=0,"NO",('Activity data'!AA11*EF!$H24)*kgtoGg)</f>
        <v>4.1549068367561531E-2</v>
      </c>
      <c r="AB24" s="28">
        <f>IF(('Activity data'!AB11*EF!$H24)*kgtoGg=0,"NO",('Activity data'!AB11*EF!$H24)*kgtoGg)</f>
        <v>4.0745272000000006E-2</v>
      </c>
      <c r="AC24" s="28">
        <f>IF(('Activity data'!AC11*EF!$H24)*kgtoGg=0,"NO",('Activity data'!AC11*EF!$H24)*kgtoGg)</f>
        <v>4.042678664681524E-2</v>
      </c>
      <c r="AD24" s="28">
        <f>IF(('Activity data'!AD11*EF!$H24)*kgtoGg=0,"NO",('Activity data'!AD11*EF!$H24)*kgtoGg)</f>
        <v>4.1505638308349149E-2</v>
      </c>
      <c r="AE24" s="28">
        <f>IF(('Activity data'!AE11*EF!$H24)*kgtoGg=0,"NO",('Activity data'!AE11*EF!$H24)*kgtoGg)</f>
        <v>4.1368609715778944E-2</v>
      </c>
      <c r="AF24" s="28">
        <f>IF(('Activity data'!AF11*EF!$H24)*kgtoGg=0,"NO",('Activity data'!AF11*EF!$H24)*kgtoGg)</f>
        <v>4.1235009492427976E-2</v>
      </c>
      <c r="AG24" s="28">
        <f>IF(('Activity data'!AG11*EF!$H24)*kgtoGg=0,"NO",('Activity data'!AG11*EF!$H24)*kgtoGg)</f>
        <v>4.1104913257496808E-2</v>
      </c>
      <c r="AH24" s="28">
        <f>IF(('Activity data'!AH11*EF!$H24)*kgtoGg=0,"NO",('Activity data'!AH11*EF!$H24)*kgtoGg)</f>
        <v>4.0967878054505004E-2</v>
      </c>
      <c r="AI24" s="28">
        <f>IF(('Activity data'!AI11*EF!$H24)*kgtoGg=0,"NO",('Activity data'!AI11*EF!$H24)*kgtoGg)</f>
        <v>4.0830818414057508E-2</v>
      </c>
      <c r="AJ24" s="28">
        <f>IF(('Activity data'!AJ11*EF!$H24)*kgtoGg=0,"NO",('Activity data'!AJ11*EF!$H24)*kgtoGg)</f>
        <v>4.0696428806602014E-2</v>
      </c>
      <c r="AK24" s="28">
        <f>IF(('Activity data'!AK11*EF!$H24)*kgtoGg=0,"NO",('Activity data'!AK11*EF!$H24)*kgtoGg)</f>
        <v>4.0564579693101732E-2</v>
      </c>
      <c r="AL24" s="28">
        <f>IF(('Activity data'!AL11*EF!$H24)*kgtoGg=0,"NO",('Activity data'!AL11*EF!$H24)*kgtoGg)</f>
        <v>4.0473706283455681E-2</v>
      </c>
      <c r="AM24" s="28">
        <f>IF(('Activity data'!AM11*EF!$H24)*kgtoGg=0,"NO",('Activity data'!AM11*EF!$H24)*kgtoGg)</f>
        <v>4.0337350298198883E-2</v>
      </c>
      <c r="AN24" s="28">
        <f>IF(('Activity data'!AN11*EF!$H24)*kgtoGg=0,"NO",('Activity data'!AN11*EF!$H24)*kgtoGg)</f>
        <v>4.020326380757154E-2</v>
      </c>
      <c r="AO24" s="28">
        <f>IF(('Activity data'!AO11*EF!$H24)*kgtoGg=0,"NO",('Activity data'!AO11*EF!$H24)*kgtoGg)</f>
        <v>4.0070910589224386E-2</v>
      </c>
      <c r="AP24" s="28">
        <f>IF(('Activity data'!AP11*EF!$H24)*kgtoGg=0,"NO",('Activity data'!AP11*EF!$H24)*kgtoGg)</f>
        <v>3.9940655821768402E-2</v>
      </c>
      <c r="AQ24" s="28">
        <f>IF(('Activity data'!AQ11*EF!$H24)*kgtoGg=0,"NO",('Activity data'!AQ11*EF!$H24)*kgtoGg)</f>
        <v>3.9811745858431502E-2</v>
      </c>
      <c r="AR24" s="28">
        <f>IF(('Activity data'!AR11*EF!$H24)*kgtoGg=0,"NO",('Activity data'!AR11*EF!$H24)*kgtoGg)</f>
        <v>3.9673050764759521E-2</v>
      </c>
      <c r="AS24" s="28">
        <f>IF(('Activity data'!AS11*EF!$H24)*kgtoGg=0,"NO",('Activity data'!AS11*EF!$H24)*kgtoGg)</f>
        <v>3.9536397341943127E-2</v>
      </c>
      <c r="AT24" s="28">
        <f>IF(('Activity data'!AT11*EF!$H24)*kgtoGg=0,"NO",('Activity data'!AT11*EF!$H24)*kgtoGg)</f>
        <v>3.9401149417286729E-2</v>
      </c>
      <c r="AU24" s="28">
        <f>IF(('Activity data'!AU11*EF!$H24)*kgtoGg=0,"NO",('Activity data'!AU11*EF!$H24)*kgtoGg)</f>
        <v>3.9267398010084539E-2</v>
      </c>
      <c r="AV24" s="28">
        <f>IF(('Activity data'!AV11*EF!$H24)*kgtoGg=0,"NO",('Activity data'!AV11*EF!$H24)*kgtoGg)</f>
        <v>3.9135075543279288E-2</v>
      </c>
      <c r="AW24" s="28">
        <f>IF(('Activity data'!AW11*EF!$H24)*kgtoGg=0,"NO",('Activity data'!AW11*EF!$H24)*kgtoGg)</f>
        <v>3.900634368052782E-2</v>
      </c>
      <c r="AX24" s="28">
        <f>IF(('Activity data'!AX11*EF!$H24)*kgtoGg=0,"NO",('Activity data'!AX11*EF!$H24)*kgtoGg)</f>
        <v>3.900634368052782E-2</v>
      </c>
      <c r="AY24" s="28">
        <f>IF(('Activity data'!AY11*EF!$H24)*kgtoGg=0,"NO",('Activity data'!AY11*EF!$H24)*kgtoGg)</f>
        <v>3.900634368052782E-2</v>
      </c>
      <c r="AZ24" s="28">
        <f>IF(('Activity data'!AZ11*EF!$H24)*kgtoGg=0,"NO",('Activity data'!AZ11*EF!$H24)*kgtoGg)</f>
        <v>3.900634368052782E-2</v>
      </c>
      <c r="BA24" s="28">
        <f>IF(('Activity data'!BA11*EF!$H24)*kgtoGg=0,"NO",('Activity data'!BA11*EF!$H24)*kgtoGg)</f>
        <v>3.900634368052782E-2</v>
      </c>
      <c r="BB24" s="28">
        <f>IF(('Activity data'!BB11*EF!$H24)*kgtoGg=0,"NO",('Activity data'!BB11*EF!$H24)*kgtoGg)</f>
        <v>3.900634368052782E-2</v>
      </c>
      <c r="BC24" s="28">
        <f>IF(('Activity data'!BC11*EF!$H24)*kgtoGg=0,"NO",('Activity data'!BC11*EF!$H24)*kgtoGg)</f>
        <v>3.900634368052782E-2</v>
      </c>
      <c r="BD24" s="28">
        <f>IF(('Activity data'!BD11*EF!$H24)*kgtoGg=0,"NO",('Activity data'!BD11*EF!$H24)*kgtoGg)</f>
        <v>3.900634368052782E-2</v>
      </c>
      <c r="BE24" s="28">
        <f>IF(('Activity data'!BE11*EF!$H24)*kgtoGg=0,"NO",('Activity data'!BE11*EF!$H24)*kgtoGg)</f>
        <v>3.900634368052782E-2</v>
      </c>
      <c r="BF24" s="28">
        <f>IF(('Activity data'!BF11*EF!$H24)*kgtoGg=0,"NO",('Activity data'!BF11*EF!$H24)*kgtoGg)</f>
        <v>3.900634368052782E-2</v>
      </c>
      <c r="BG24" s="28">
        <f>IF(('Activity data'!BG11*EF!$H24)*kgtoGg=0,"NO",('Activity data'!BG11*EF!$H24)*kgtoGg)</f>
        <v>3.900634368052782E-2</v>
      </c>
      <c r="BH24" s="28">
        <f>IF(('Activity data'!BH11*EF!$H24)*kgtoGg=0,"NO",('Activity data'!BH11*EF!$H24)*kgtoGg)</f>
        <v>3.900634368052782E-2</v>
      </c>
      <c r="BI24" s="28">
        <f>IF(('Activity data'!BI11*EF!$H24)*kgtoGg=0,"NO",('Activity data'!BI11*EF!$H24)*kgtoGg)</f>
        <v>3.900634368052782E-2</v>
      </c>
      <c r="BJ24" s="28">
        <f>IF(('Activity data'!BJ11*EF!$H24)*kgtoGg=0,"NO",('Activity data'!BJ11*EF!$H24)*kgtoGg)</f>
        <v>3.900634368052782E-2</v>
      </c>
      <c r="BK24" s="28">
        <f>IF(('Activity data'!BK11*EF!$H24)*kgtoGg=0,"NO",('Activity data'!BK11*EF!$H24)*kgtoGg)</f>
        <v>3.900634368052782E-2</v>
      </c>
      <c r="BL24" s="28">
        <f>IF(('Activity data'!BL11*EF!$H24)*kgtoGg=0,"NO",('Activity data'!BL11*EF!$H24)*kgtoGg)</f>
        <v>3.900634368052782E-2</v>
      </c>
      <c r="BM24" s="28">
        <f>IF(('Activity data'!BM11*EF!$H24)*kgtoGg=0,"NO",('Activity data'!BM11*EF!$H24)*kgtoGg)</f>
        <v>3.900634368052782E-2</v>
      </c>
      <c r="BN24" s="28">
        <f>IF(('Activity data'!BN11*EF!$H24)*kgtoGg=0,"NO",('Activity data'!BN11*EF!$H24)*kgtoGg)</f>
        <v>3.900634368052782E-2</v>
      </c>
      <c r="BO24" s="28">
        <f>IF(('Activity data'!BO11*EF!$H24)*kgtoGg=0,"NO",('Activity data'!BO11*EF!$H24)*kgtoGg)</f>
        <v>3.900634368052782E-2</v>
      </c>
      <c r="BP24" s="28">
        <f>IF(('Activity data'!BP11*EF!$H24)*kgtoGg=0,"NO",('Activity data'!BP11*EF!$H24)*kgtoGg)</f>
        <v>3.900634368052782E-2</v>
      </c>
    </row>
    <row r="25" spans="1:68" x14ac:dyDescent="0.25">
      <c r="A25" t="str">
        <f t="shared" si="1"/>
        <v>3A Livestock</v>
      </c>
      <c r="B25" t="str">
        <f t="shared" si="8"/>
        <v>3A2 Manure management (CH4)</v>
      </c>
      <c r="C25" t="str">
        <f>EF!C25</f>
        <v>3A1c Sheep</v>
      </c>
      <c r="D25" t="str">
        <f>EF!D25</f>
        <v>Subsistence</v>
      </c>
      <c r="E25" t="str">
        <f t="shared" si="9"/>
        <v>Manure management Emissions</v>
      </c>
      <c r="F25" t="str">
        <f t="shared" si="6"/>
        <v>CH4</v>
      </c>
      <c r="G25" t="str">
        <f t="shared" si="7"/>
        <v>Gg CH4</v>
      </c>
      <c r="H25" s="28">
        <f>IF(('Activity data'!H12*EF!$H25)*kgtoGg=0,"NO",('Activity data'!H12*EF!$H25)*kgtoGg)</f>
        <v>6.0620252936525133E-3</v>
      </c>
      <c r="I25" s="28">
        <f>IF(('Activity data'!I12*EF!$H25)*kgtoGg=0,"NO",('Activity data'!I12*EF!$H25)*kgtoGg)</f>
        <v>5.7894474859923658E-3</v>
      </c>
      <c r="J25" s="28">
        <f>IF(('Activity data'!J12*EF!$H25)*kgtoGg=0,"NO",('Activity data'!J12*EF!$H25)*kgtoGg)</f>
        <v>5.550234172593288E-3</v>
      </c>
      <c r="K25" s="28">
        <f>IF(('Activity data'!K12*EF!$H25)*kgtoGg=0,"NO",('Activity data'!K12*EF!$H25)*kgtoGg)</f>
        <v>5.1907064707982266E-3</v>
      </c>
      <c r="L25" s="28">
        <f>IF(('Activity data'!L12*EF!$H25)*kgtoGg=0,"NO",('Activity data'!L12*EF!$H25)*kgtoGg)</f>
        <v>5.2273063099573412E-3</v>
      </c>
      <c r="M25" s="28">
        <f>IF(('Activity data'!M12*EF!$H25)*kgtoGg=0,"NO",('Activity data'!M12*EF!$H25)*kgtoGg)</f>
        <v>5.1524889591900904E-3</v>
      </c>
      <c r="N25" s="28">
        <f>IF(('Activity data'!N12*EF!$H25)*kgtoGg=0,"NO",('Activity data'!N12*EF!$H25)*kgtoGg)</f>
        <v>5.1696767289609452E-3</v>
      </c>
      <c r="O25" s="28">
        <f>IF(('Activity data'!O12*EF!$H25)*kgtoGg=0,"NO",('Activity data'!O12*EF!$H25)*kgtoGg)</f>
        <v>5.0572484937539399E-3</v>
      </c>
      <c r="P25" s="28">
        <f>IF(('Activity data'!P12*EF!$H25)*kgtoGg=0,"NO",('Activity data'!P12*EF!$H25)*kgtoGg)</f>
        <v>5.0712009186267681E-3</v>
      </c>
      <c r="Q25" s="28">
        <f>IF(('Activity data'!Q12*EF!$H25)*kgtoGg=0,"NO",('Activity data'!Q12*EF!$H25)*kgtoGg)</f>
        <v>4.9466401400521005E-3</v>
      </c>
      <c r="R25" s="28">
        <f>IF(('Activity data'!R12*EF!$H25)*kgtoGg=0,"NO",('Activity data'!R12*EF!$H25)*kgtoGg)</f>
        <v>4.7693027978281018E-3</v>
      </c>
      <c r="S25" s="28">
        <f>IF(('Activity data'!S12*EF!$H25)*kgtoGg=0,"NO",('Activity data'!S12*EF!$H25)*kgtoGg)</f>
        <v>4.6504038728250093E-3</v>
      </c>
      <c r="T25" s="28">
        <f>IF(('Activity data'!T12*EF!$H25)*kgtoGg=0,"NO",('Activity data'!T12*EF!$H25)*kgtoGg)</f>
        <v>4.5727555952719701E-3</v>
      </c>
      <c r="U25" s="28">
        <f>IF(('Activity data'!U12*EF!$H25)*kgtoGg=0,"NO",('Activity data'!U12*EF!$H25)*kgtoGg)</f>
        <v>4.588730110706059E-3</v>
      </c>
      <c r="V25" s="28">
        <f>IF(('Activity data'!V12*EF!$H25)*kgtoGg=0,"NO",('Activity data'!V12*EF!$H25)*kgtoGg)</f>
        <v>4.5070376520304645E-3</v>
      </c>
      <c r="W25" s="28">
        <f>IF(('Activity data'!W12*EF!$H25)*kgtoGg=0,"NO",('Activity data'!W12*EF!$H25)*kgtoGg)</f>
        <v>4.4963205720556969E-3</v>
      </c>
      <c r="X25" s="28">
        <f>IF(('Activity data'!X12*EF!$H25)*kgtoGg=0,"NO",('Activity data'!X12*EF!$H25)*kgtoGg)</f>
        <v>4.4374777367225341E-3</v>
      </c>
      <c r="Y25" s="28">
        <f>IF(('Activity data'!Y12*EF!$H25)*kgtoGg=0,"NO",('Activity data'!Y12*EF!$H25)*kgtoGg)</f>
        <v>4.4332313465438519E-3</v>
      </c>
      <c r="Z25" s="28">
        <f>IF(('Activity data'!Z12*EF!$H25)*kgtoGg=0,"NO",('Activity data'!Z12*EF!$H25)*kgtoGg)</f>
        <v>4.4475881895289192E-3</v>
      </c>
      <c r="AA25" s="28">
        <f>IF(('Activity data'!AA12*EF!$H25)*kgtoGg=0,"NO",('Activity data'!AA12*EF!$H25)*kgtoGg)</f>
        <v>4.4318158831509582E-3</v>
      </c>
      <c r="AB25" s="28">
        <f>IF(('Activity data'!AB12*EF!$H25)*kgtoGg=0,"NO",('Activity data'!AB12*EF!$H25)*kgtoGg)</f>
        <v>4.3460792433528102E-3</v>
      </c>
      <c r="AC25" s="28">
        <f>IF(('Activity data'!AC12*EF!$H25)*kgtoGg=0,"NO",('Activity data'!AC12*EF!$H25)*kgtoGg)</f>
        <v>4.3121081219233554E-3</v>
      </c>
      <c r="AD25" s="28">
        <f>IF(('Activity data'!AD12*EF!$H25)*kgtoGg=0,"NO",('Activity data'!AD12*EF!$H25)*kgtoGg)</f>
        <v>4.4411481771426892E-3</v>
      </c>
      <c r="AE25" s="28">
        <f>IF(('Activity data'!AE12*EF!$H25)*kgtoGg=0,"NO",('Activity data'!AE12*EF!$H25)*kgtoGg)</f>
        <v>4.4264859695749247E-3</v>
      </c>
      <c r="AF25" s="28">
        <f>IF(('Activity data'!AF12*EF!$H25)*kgtoGg=0,"NO",('Activity data'!AF12*EF!$H25)*kgtoGg)</f>
        <v>4.4121906012205567E-3</v>
      </c>
      <c r="AG25" s="28">
        <f>IF(('Activity data'!AG12*EF!$H25)*kgtoGg=0,"NO",('Activity data'!AG12*EF!$H25)*kgtoGg)</f>
        <v>4.3982701634158097E-3</v>
      </c>
      <c r="AH25" s="28">
        <f>IF(('Activity data'!AH12*EF!$H25)*kgtoGg=0,"NO",('Activity data'!AH12*EF!$H25)*kgtoGg)</f>
        <v>4.3836072485257862E-3</v>
      </c>
      <c r="AI25" s="28">
        <f>IF(('Activity data'!AI12*EF!$H25)*kgtoGg=0,"NO",('Activity data'!AI12*EF!$H25)*kgtoGg)</f>
        <v>4.3689417188015811E-3</v>
      </c>
      <c r="AJ25" s="28">
        <f>IF(('Activity data'!AJ12*EF!$H25)*kgtoGg=0,"NO",('Activity data'!AJ12*EF!$H25)*kgtoGg)</f>
        <v>4.354561885494504E-3</v>
      </c>
      <c r="AK25" s="28">
        <f>IF(('Activity data'!AK12*EF!$H25)*kgtoGg=0,"NO",('Activity data'!AK12*EF!$H25)*kgtoGg)</f>
        <v>4.3404538877875546E-3</v>
      </c>
      <c r="AL25" s="28">
        <f>IF(('Activity data'!AL12*EF!$H25)*kgtoGg=0,"NO",('Activity data'!AL12*EF!$H25)*kgtoGg)</f>
        <v>4.3307303346981638E-3</v>
      </c>
      <c r="AM25" s="28">
        <f>IF(('Activity data'!AM12*EF!$H25)*kgtoGg=0,"NO",('Activity data'!AM12*EF!$H25)*kgtoGg)</f>
        <v>4.3161400968401925E-3</v>
      </c>
      <c r="AN25" s="28">
        <f>IF(('Activity data'!AN12*EF!$H25)*kgtoGg=0,"NO",('Activity data'!AN12*EF!$H25)*kgtoGg)</f>
        <v>4.3017926973614737E-3</v>
      </c>
      <c r="AO25" s="28">
        <f>IF(('Activity data'!AO12*EF!$H25)*kgtoGg=0,"NO",('Activity data'!AO12*EF!$H25)*kgtoGg)</f>
        <v>4.2876307598908444E-3</v>
      </c>
      <c r="AP25" s="28">
        <f>IF(('Activity data'!AP12*EF!$H25)*kgtoGg=0,"NO",('Activity data'!AP12*EF!$H25)*kgtoGg)</f>
        <v>4.2736933589345282E-3</v>
      </c>
      <c r="AQ25" s="28">
        <f>IF(('Activity data'!AQ12*EF!$H25)*kgtoGg=0,"NO",('Activity data'!AQ12*EF!$H25)*kgtoGg)</f>
        <v>4.2598998534730285E-3</v>
      </c>
      <c r="AR25" s="28">
        <f>IF(('Activity data'!AR12*EF!$H25)*kgtoGg=0,"NO",('Activity data'!AR12*EF!$H25)*kgtoGg)</f>
        <v>4.2450593284854617E-3</v>
      </c>
      <c r="AS25" s="28">
        <f>IF(('Activity data'!AS12*EF!$H25)*kgtoGg=0,"NO",('Activity data'!AS12*EF!$H25)*kgtoGg)</f>
        <v>4.2304372644870088E-3</v>
      </c>
      <c r="AT25" s="28">
        <f>IF(('Activity data'!AT12*EF!$H25)*kgtoGg=0,"NO",('Activity data'!AT12*EF!$H25)*kgtoGg)</f>
        <v>4.2159655903113756E-3</v>
      </c>
      <c r="AU25" s="28">
        <f>IF(('Activity data'!AU12*EF!$H25)*kgtoGg=0,"NO",('Activity data'!AU12*EF!$H25)*kgtoGg)</f>
        <v>4.2016540451214604E-3</v>
      </c>
      <c r="AV25" s="28">
        <f>IF(('Activity data'!AV12*EF!$H25)*kgtoGg=0,"NO",('Activity data'!AV12*EF!$H25)*kgtoGg)</f>
        <v>4.1874953980990627E-3</v>
      </c>
      <c r="AW25" s="28">
        <f>IF(('Activity data'!AW12*EF!$H25)*kgtoGg=0,"NO",('Activity data'!AW12*EF!$H25)*kgtoGg)</f>
        <v>4.1737209495927782E-3</v>
      </c>
      <c r="AX25" s="28">
        <f>IF(('Activity data'!AX12*EF!$H25)*kgtoGg=0,"NO",('Activity data'!AX12*EF!$H25)*kgtoGg)</f>
        <v>4.1737209495927782E-3</v>
      </c>
      <c r="AY25" s="28">
        <f>IF(('Activity data'!AY12*EF!$H25)*kgtoGg=0,"NO",('Activity data'!AY12*EF!$H25)*kgtoGg)</f>
        <v>4.1737209495927782E-3</v>
      </c>
      <c r="AZ25" s="28">
        <f>IF(('Activity data'!AZ12*EF!$H25)*kgtoGg=0,"NO",('Activity data'!AZ12*EF!$H25)*kgtoGg)</f>
        <v>4.1737209495927782E-3</v>
      </c>
      <c r="BA25" s="28">
        <f>IF(('Activity data'!BA12*EF!$H25)*kgtoGg=0,"NO",('Activity data'!BA12*EF!$H25)*kgtoGg)</f>
        <v>4.1737209495927782E-3</v>
      </c>
      <c r="BB25" s="28">
        <f>IF(('Activity data'!BB12*EF!$H25)*kgtoGg=0,"NO",('Activity data'!BB12*EF!$H25)*kgtoGg)</f>
        <v>4.1737209495927782E-3</v>
      </c>
      <c r="BC25" s="28">
        <f>IF(('Activity data'!BC12*EF!$H25)*kgtoGg=0,"NO",('Activity data'!BC12*EF!$H25)*kgtoGg)</f>
        <v>4.1737209495927782E-3</v>
      </c>
      <c r="BD25" s="28">
        <f>IF(('Activity data'!BD12*EF!$H25)*kgtoGg=0,"NO",('Activity data'!BD12*EF!$H25)*kgtoGg)</f>
        <v>4.1737209495927782E-3</v>
      </c>
      <c r="BE25" s="28">
        <f>IF(('Activity data'!BE12*EF!$H25)*kgtoGg=0,"NO",('Activity data'!BE12*EF!$H25)*kgtoGg)</f>
        <v>4.1737209495927782E-3</v>
      </c>
      <c r="BF25" s="28">
        <f>IF(('Activity data'!BF12*EF!$H25)*kgtoGg=0,"NO",('Activity data'!BF12*EF!$H25)*kgtoGg)</f>
        <v>4.1737209495927782E-3</v>
      </c>
      <c r="BG25" s="28">
        <f>IF(('Activity data'!BG12*EF!$H25)*kgtoGg=0,"NO",('Activity data'!BG12*EF!$H25)*kgtoGg)</f>
        <v>4.1737209495927782E-3</v>
      </c>
      <c r="BH25" s="28">
        <f>IF(('Activity data'!BH12*EF!$H25)*kgtoGg=0,"NO",('Activity data'!BH12*EF!$H25)*kgtoGg)</f>
        <v>4.1737209495927782E-3</v>
      </c>
      <c r="BI25" s="28">
        <f>IF(('Activity data'!BI12*EF!$H25)*kgtoGg=0,"NO",('Activity data'!BI12*EF!$H25)*kgtoGg)</f>
        <v>4.1737209495927782E-3</v>
      </c>
      <c r="BJ25" s="28">
        <f>IF(('Activity data'!BJ12*EF!$H25)*kgtoGg=0,"NO",('Activity data'!BJ12*EF!$H25)*kgtoGg)</f>
        <v>4.1737209495927782E-3</v>
      </c>
      <c r="BK25" s="28">
        <f>IF(('Activity data'!BK12*EF!$H25)*kgtoGg=0,"NO",('Activity data'!BK12*EF!$H25)*kgtoGg)</f>
        <v>4.1737209495927782E-3</v>
      </c>
      <c r="BL25" s="28">
        <f>IF(('Activity data'!BL12*EF!$H25)*kgtoGg=0,"NO",('Activity data'!BL12*EF!$H25)*kgtoGg)</f>
        <v>4.1737209495927782E-3</v>
      </c>
      <c r="BM25" s="28">
        <f>IF(('Activity data'!BM12*EF!$H25)*kgtoGg=0,"NO",('Activity data'!BM12*EF!$H25)*kgtoGg)</f>
        <v>4.1737209495927782E-3</v>
      </c>
      <c r="BN25" s="28">
        <f>IF(('Activity data'!BN12*EF!$H25)*kgtoGg=0,"NO",('Activity data'!BN12*EF!$H25)*kgtoGg)</f>
        <v>4.1737209495927782E-3</v>
      </c>
      <c r="BO25" s="28">
        <f>IF(('Activity data'!BO12*EF!$H25)*kgtoGg=0,"NO",('Activity data'!BO12*EF!$H25)*kgtoGg)</f>
        <v>4.1737209495927782E-3</v>
      </c>
      <c r="BP25" s="28">
        <f>IF(('Activity data'!BP12*EF!$H25)*kgtoGg=0,"NO",('Activity data'!BP12*EF!$H25)*kgtoGg)</f>
        <v>4.1737209495927782E-3</v>
      </c>
    </row>
    <row r="26" spans="1:68" x14ac:dyDescent="0.25">
      <c r="A26" t="str">
        <f t="shared" si="1"/>
        <v>3A Livestock</v>
      </c>
      <c r="B26" t="str">
        <f t="shared" si="8"/>
        <v>3A2 Manure management (CH4)</v>
      </c>
      <c r="C26" t="str">
        <f>EF!C26</f>
        <v>3A1d Goats</v>
      </c>
      <c r="D26" t="str">
        <f>EF!D26</f>
        <v>Commercial</v>
      </c>
      <c r="E26" t="str">
        <f t="shared" si="9"/>
        <v>Manure management Emissions</v>
      </c>
      <c r="F26" t="str">
        <f t="shared" si="6"/>
        <v>CH4</v>
      </c>
      <c r="G26" t="str">
        <f t="shared" si="7"/>
        <v>Gg CH4</v>
      </c>
      <c r="H26" s="28">
        <f>IF(('Activity data'!H13*EF!$H26)*kgtoGg=0,"NO",('Activity data'!H13*EF!$H26)*kgtoGg)</f>
        <v>2.1179239085185406E-2</v>
      </c>
      <c r="I26" s="28">
        <f>IF(('Activity data'!I13*EF!$H26)*kgtoGg=0,"NO",('Activity data'!I13*EF!$H26)*kgtoGg)</f>
        <v>1.872843312038926E-2</v>
      </c>
      <c r="J26" s="28">
        <f>IF(('Activity data'!J13*EF!$H26)*kgtoGg=0,"NO",('Activity data'!J13*EF!$H26)*kgtoGg)</f>
        <v>1.7445768316383788E-2</v>
      </c>
      <c r="K26" s="28">
        <f>IF(('Activity data'!K13*EF!$H26)*kgtoGg=0,"NO",('Activity data'!K13*EF!$H26)*kgtoGg)</f>
        <v>1.6483769713379698E-2</v>
      </c>
      <c r="L26" s="28">
        <f>IF(('Activity data'!L13*EF!$H26)*kgtoGg=0,"NO",('Activity data'!L13*EF!$H26)*kgtoGg)</f>
        <v>1.7842783612861672E-2</v>
      </c>
      <c r="M26" s="28">
        <f>IF(('Activity data'!M13*EF!$H26)*kgtoGg=0,"NO",('Activity data'!M13*EF!$H26)*kgtoGg)</f>
        <v>1.8087100718386526E-2</v>
      </c>
      <c r="N26" s="28">
        <f>IF(('Activity data'!N13*EF!$H26)*kgtoGg=0,"NO",('Activity data'!N13*EF!$H26)*kgtoGg)</f>
        <v>1.8369592371649628E-2</v>
      </c>
      <c r="O26" s="28">
        <f>IF(('Activity data'!O13*EF!$H26)*kgtoGg=0,"NO",('Activity data'!O13*EF!$H26)*kgtoGg)</f>
        <v>1.8277973457077813E-2</v>
      </c>
      <c r="P26" s="28">
        <f>IF(('Activity data'!P13*EF!$H26)*kgtoGg=0,"NO",('Activity data'!P13*EF!$H26)*kgtoGg)</f>
        <v>1.8018386532457662E-2</v>
      </c>
      <c r="Q26" s="28">
        <f>IF(('Activity data'!Q13*EF!$H26)*kgtoGg=0,"NO",('Activity data'!Q13*EF!$H26)*kgtoGg)</f>
        <v>1.775116469828986E-2</v>
      </c>
      <c r="R26" s="28">
        <f>IF(('Activity data'!R13*EF!$H26)*kgtoGg=0,"NO",('Activity data'!R13*EF!$H26)*kgtoGg)</f>
        <v>1.7980211984719403E-2</v>
      </c>
      <c r="S26" s="28">
        <f>IF(('Activity data'!S13*EF!$H26)*kgtoGg=0,"NO",('Activity data'!S13*EF!$H26)*kgtoGg)</f>
        <v>1.8529925472150318E-2</v>
      </c>
      <c r="T26" s="28">
        <f>IF(('Activity data'!T13*EF!$H26)*kgtoGg=0,"NO",('Activity data'!T13*EF!$H26)*kgtoGg)</f>
        <v>1.6918959557595842E-2</v>
      </c>
      <c r="U26" s="28">
        <f>IF(('Activity data'!U13*EF!$H26)*kgtoGg=0,"NO",('Activity data'!U13*EF!$H26)*kgtoGg)</f>
        <v>1.649140462292735E-2</v>
      </c>
      <c r="V26" s="28">
        <f>IF(('Activity data'!V13*EF!$H26)*kgtoGg=0,"NO",('Activity data'!V13*EF!$H26)*kgtoGg)</f>
        <v>1.6521944261117961E-2</v>
      </c>
      <c r="W26" s="28">
        <f>IF(('Activity data'!W13*EF!$H26)*kgtoGg=0,"NO",('Activity data'!W13*EF!$H26)*kgtoGg)</f>
        <v>1.6308166793783711E-2</v>
      </c>
      <c r="X26" s="28">
        <f>IF(('Activity data'!X13*EF!$H26)*kgtoGg=0,"NO",('Activity data'!X13*EF!$H26)*kgtoGg)</f>
        <v>1.6651737723428033E-2</v>
      </c>
      <c r="Y26" s="28">
        <f>IF(('Activity data'!Y13*EF!$H26)*kgtoGg=0,"NO",('Activity data'!Y13*EF!$H26)*kgtoGg)</f>
        <v>1.615546860283068E-2</v>
      </c>
      <c r="Z26" s="28">
        <f>IF(('Activity data'!Z13*EF!$H26)*kgtoGg=0,"NO",('Activity data'!Z13*EF!$H26)*kgtoGg)</f>
        <v>1.6140198783735384E-2</v>
      </c>
      <c r="AA26" s="28">
        <f>IF(('Activity data'!AA13*EF!$H26)*kgtoGg=0,"NO",('Activity data'!AA13*EF!$H26)*kgtoGg)</f>
        <v>1.5857707130472271E-2</v>
      </c>
      <c r="AB26" s="28">
        <f>IF(('Activity data'!AB13*EF!$H26)*kgtoGg=0,"NO",('Activity data'!AB13*EF!$H26)*kgtoGg)</f>
        <v>1.5666834391780984E-2</v>
      </c>
      <c r="AC26" s="28">
        <f>IF(('Activity data'!AC13*EF!$H26)*kgtoGg=0,"NO",('Activity data'!AC13*EF!$H26)*kgtoGg)</f>
        <v>1.5521771110375606E-2</v>
      </c>
      <c r="AD26" s="28">
        <f>IF(('Activity data'!AD13*EF!$H26)*kgtoGg=0,"NO",('Activity data'!AD13*EF!$H26)*kgtoGg)</f>
        <v>1.5694352994002316E-2</v>
      </c>
      <c r="AE26" s="28">
        <f>IF(('Activity data'!AE13*EF!$H26)*kgtoGg=0,"NO",('Activity data'!AE13*EF!$H26)*kgtoGg)</f>
        <v>1.5637770400039903E-2</v>
      </c>
      <c r="AF26" s="28">
        <f>IF(('Activity data'!AF13*EF!$H26)*kgtoGg=0,"NO",('Activity data'!AF13*EF!$H26)*kgtoGg)</f>
        <v>1.5581832403770623E-2</v>
      </c>
      <c r="AG26" s="28">
        <f>IF(('Activity data'!AG13*EF!$H26)*kgtoGg=0,"NO",('Activity data'!AG13*EF!$H26)*kgtoGg)</f>
        <v>1.5526619816653636E-2</v>
      </c>
      <c r="AH26" s="28">
        <f>IF(('Activity data'!AH13*EF!$H26)*kgtoGg=0,"NO",('Activity data'!AH13*EF!$H26)*kgtoGg)</f>
        <v>1.5467659988648463E-2</v>
      </c>
      <c r="AI26" s="28">
        <f>IF(('Activity data'!AI13*EF!$H26)*kgtoGg=0,"NO",('Activity data'!AI13*EF!$H26)*kgtoGg)</f>
        <v>1.5407854767944772E-2</v>
      </c>
      <c r="AJ26" s="28">
        <f>IF(('Activity data'!AJ13*EF!$H26)*kgtoGg=0,"NO",('Activity data'!AJ13*EF!$H26)*kgtoGg)</f>
        <v>1.5348392485755051E-2</v>
      </c>
      <c r="AK26" s="28">
        <f>IF(('Activity data'!AK13*EF!$H26)*kgtoGg=0,"NO",('Activity data'!AK13*EF!$H26)*kgtoGg)</f>
        <v>1.5289252198950613E-2</v>
      </c>
      <c r="AL26" s="28">
        <f>IF(('Activity data'!AL13*EF!$H26)*kgtoGg=0,"NO",('Activity data'!AL13*EF!$H26)*kgtoGg)</f>
        <v>1.5248023234210666E-2</v>
      </c>
      <c r="AM26" s="28">
        <f>IF(('Activity data'!AM13*EF!$H26)*kgtoGg=0,"NO",('Activity data'!AM13*EF!$H26)*kgtoGg)</f>
        <v>1.5185433471908304E-2</v>
      </c>
      <c r="AN26" s="28">
        <f>IF(('Activity data'!AN13*EF!$H26)*kgtoGg=0,"NO",('Activity data'!AN13*EF!$H26)*kgtoGg)</f>
        <v>1.512302578369769E-2</v>
      </c>
      <c r="AO26" s="28">
        <f>IF(('Activity data'!AO13*EF!$H26)*kgtoGg=0,"NO",('Activity data'!AO13*EF!$H26)*kgtoGg)</f>
        <v>1.5060577225075795E-2</v>
      </c>
      <c r="AP26" s="28">
        <f>IF(('Activity data'!AP13*EF!$H26)*kgtoGg=0,"NO",('Activity data'!AP13*EF!$H26)*kgtoGg)</f>
        <v>1.4998285405942301E-2</v>
      </c>
      <c r="AQ26" s="28">
        <f>IF(('Activity data'!AQ13*EF!$H26)*kgtoGg=0,"NO",('Activity data'!AQ13*EF!$H26)*kgtoGg)</f>
        <v>1.4935811784073213E-2</v>
      </c>
      <c r="AR26" s="28">
        <f>IF(('Activity data'!AR13*EF!$H26)*kgtoGg=0,"NO",('Activity data'!AR13*EF!$H26)*kgtoGg)</f>
        <v>1.4867666989855133E-2</v>
      </c>
      <c r="AS26" s="28">
        <f>IF(('Activity data'!AS13*EF!$H26)*kgtoGg=0,"NO",('Activity data'!AS13*EF!$H26)*kgtoGg)</f>
        <v>1.47995703996223E-2</v>
      </c>
      <c r="AT26" s="28">
        <f>IF(('Activity data'!AT13*EF!$H26)*kgtoGg=0,"NO",('Activity data'!AT13*EF!$H26)*kgtoGg)</f>
        <v>1.4731227724148392E-2</v>
      </c>
      <c r="AU26" s="28">
        <f>IF(('Activity data'!AU13*EF!$H26)*kgtoGg=0,"NO",('Activity data'!AU13*EF!$H26)*kgtoGg)</f>
        <v>1.4662702321616091E-2</v>
      </c>
      <c r="AV26" s="28">
        <f>IF(('Activity data'!AV13*EF!$H26)*kgtoGg=0,"NO",('Activity data'!AV13*EF!$H26)*kgtoGg)</f>
        <v>1.4593977514058795E-2</v>
      </c>
      <c r="AW26" s="28">
        <f>IF(('Activity data'!AW13*EF!$H26)*kgtoGg=0,"NO",('Activity data'!AW13*EF!$H26)*kgtoGg)</f>
        <v>1.460119105767466E-2</v>
      </c>
      <c r="AX26" s="28">
        <f>IF(('Activity data'!AX13*EF!$H26)*kgtoGg=0,"NO",('Activity data'!AX13*EF!$H26)*kgtoGg)</f>
        <v>1.4605148490133795E-2</v>
      </c>
      <c r="AY26" s="28">
        <f>IF(('Activity data'!AY13*EF!$H26)*kgtoGg=0,"NO",('Activity data'!AY13*EF!$H26)*kgtoGg)</f>
        <v>1.4608038028403906E-2</v>
      </c>
      <c r="AZ26" s="28">
        <f>IF(('Activity data'!AZ13*EF!$H26)*kgtoGg=0,"NO",('Activity data'!AZ13*EF!$H26)*kgtoGg)</f>
        <v>1.4609369332277409E-2</v>
      </c>
      <c r="BA26" s="28">
        <f>IF(('Activity data'!BA13*EF!$H26)*kgtoGg=0,"NO",('Activity data'!BA13*EF!$H26)*kgtoGg)</f>
        <v>1.4609168647911513E-2</v>
      </c>
      <c r="BB26" s="28">
        <f>IF(('Activity data'!BB13*EF!$H26)*kgtoGg=0,"NO",('Activity data'!BB13*EF!$H26)*kgtoGg)</f>
        <v>1.4611540823496607E-2</v>
      </c>
      <c r="BC26" s="28">
        <f>IF(('Activity data'!BC13*EF!$H26)*kgtoGg=0,"NO",('Activity data'!BC13*EF!$H26)*kgtoGg)</f>
        <v>1.4611906065184872E-2</v>
      </c>
      <c r="BD26" s="28">
        <f>IF(('Activity data'!BD13*EF!$H26)*kgtoGg=0,"NO",('Activity data'!BD13*EF!$H26)*kgtoGg)</f>
        <v>1.4609786550010332E-2</v>
      </c>
      <c r="BE26" s="28">
        <f>IF(('Activity data'!BE13*EF!$H26)*kgtoGg=0,"NO",('Activity data'!BE13*EF!$H26)*kgtoGg)</f>
        <v>1.4605632996828285E-2</v>
      </c>
      <c r="BF26" s="28">
        <f>IF(('Activity data'!BF13*EF!$H26)*kgtoGg=0,"NO",('Activity data'!BF13*EF!$H26)*kgtoGg)</f>
        <v>1.4599825871290321E-2</v>
      </c>
      <c r="BG26" s="28">
        <f>IF(('Activity data'!BG13*EF!$H26)*kgtoGg=0,"NO",('Activity data'!BG13*EF!$H26)*kgtoGg)</f>
        <v>1.4645842676969556E-2</v>
      </c>
      <c r="BH26" s="28">
        <f>IF(('Activity data'!BH13*EF!$H26)*kgtoGg=0,"NO",('Activity data'!BH13*EF!$H26)*kgtoGg)</f>
        <v>1.4690341726685482E-2</v>
      </c>
      <c r="BI26" s="28">
        <f>IF(('Activity data'!BI13*EF!$H26)*kgtoGg=0,"NO",('Activity data'!BI13*EF!$H26)*kgtoGg)</f>
        <v>1.4733255661982055E-2</v>
      </c>
      <c r="BJ26" s="28">
        <f>IF(('Activity data'!BJ13*EF!$H26)*kgtoGg=0,"NO",('Activity data'!BJ13*EF!$H26)*kgtoGg)</f>
        <v>1.4774683568410104E-2</v>
      </c>
      <c r="BK26" s="28">
        <f>IF(('Activity data'!BK13*EF!$H26)*kgtoGg=0,"NO",('Activity data'!BK13*EF!$H26)*kgtoGg)</f>
        <v>1.4815066270627657E-2</v>
      </c>
      <c r="BL26" s="28">
        <f>IF(('Activity data'!BL13*EF!$H26)*kgtoGg=0,"NO",('Activity data'!BL13*EF!$H26)*kgtoGg)</f>
        <v>1.4849554185244885E-2</v>
      </c>
      <c r="BM26" s="28">
        <f>IF(('Activity data'!BM13*EF!$H26)*kgtoGg=0,"NO",('Activity data'!BM13*EF!$H26)*kgtoGg)</f>
        <v>1.4882824754502415E-2</v>
      </c>
      <c r="BN26" s="28">
        <f>IF(('Activity data'!BN13*EF!$H26)*kgtoGg=0,"NO",('Activity data'!BN13*EF!$H26)*kgtoGg)</f>
        <v>1.4913993086787146E-2</v>
      </c>
      <c r="BO26" s="28">
        <f>IF(('Activity data'!BO13*EF!$H26)*kgtoGg=0,"NO",('Activity data'!BO13*EF!$H26)*kgtoGg)</f>
        <v>1.4944005695108726E-2</v>
      </c>
      <c r="BP26" s="28">
        <f>IF(('Activity data'!BP13*EF!$H26)*kgtoGg=0,"NO",('Activity data'!BP13*EF!$H26)*kgtoGg)</f>
        <v>1.4972935072657772E-2</v>
      </c>
    </row>
    <row r="27" spans="1:68" x14ac:dyDescent="0.25">
      <c r="A27" t="str">
        <f t="shared" si="1"/>
        <v>3A Livestock</v>
      </c>
      <c r="B27" t="str">
        <f t="shared" si="8"/>
        <v>3A2 Manure management (CH4)</v>
      </c>
      <c r="C27" t="str">
        <f>EF!C27</f>
        <v>3A1d Goats</v>
      </c>
      <c r="D27" t="str">
        <f>EF!D27</f>
        <v>Subsistence</v>
      </c>
      <c r="E27" t="str">
        <f t="shared" si="9"/>
        <v>Manure management Emissions</v>
      </c>
      <c r="F27" t="str">
        <f t="shared" si="6"/>
        <v>CH4</v>
      </c>
      <c r="G27" t="str">
        <f t="shared" si="7"/>
        <v>Gg CH4</v>
      </c>
      <c r="H27" s="28">
        <f>IF(('Activity data'!H14*EF!$H27)*kgtoGg=0,"NO",('Activity data'!H14*EF!$H27)*kgtoGg)</f>
        <v>3.6294783257415232E-2</v>
      </c>
      <c r="I27" s="28">
        <f>IF(('Activity data'!I14*EF!$H27)*kgtoGg=0,"NO",('Activity data'!I14*EF!$H27)*kgtoGg)</f>
        <v>3.2094846189776344E-2</v>
      </c>
      <c r="J27" s="28">
        <f>IF(('Activity data'!J14*EF!$H27)*kgtoGg=0,"NO",('Activity data'!J14*EF!$H27)*kgtoGg)</f>
        <v>2.989674828521768E-2</v>
      </c>
      <c r="K27" s="28">
        <f>IF(('Activity data'!K14*EF!$H27)*kgtoGg=0,"NO",('Activity data'!K14*EF!$H27)*kgtoGg)</f>
        <v>2.8248174856798671E-2</v>
      </c>
      <c r="L27" s="28">
        <f>IF(('Activity data'!L14*EF!$H27)*kgtoGg=0,"NO",('Activity data'!L14*EF!$H27)*kgtoGg)</f>
        <v>3.0577111922342977E-2</v>
      </c>
      <c r="M27" s="28">
        <f>IF(('Activity data'!M14*EF!$H27)*kgtoGg=0,"NO",('Activity data'!M14*EF!$H27)*kgtoGg)</f>
        <v>3.099579723749701E-2</v>
      </c>
      <c r="N27" s="28">
        <f>IF(('Activity data'!N14*EF!$H27)*kgtoGg=0,"NO",('Activity data'!N14*EF!$H27)*kgtoGg)</f>
        <v>3.1479902133143861E-2</v>
      </c>
      <c r="O27" s="28">
        <f>IF(('Activity data'!O14*EF!$H27)*kgtoGg=0,"NO",('Activity data'!O14*EF!$H27)*kgtoGg)</f>
        <v>3.1322895139961102E-2</v>
      </c>
      <c r="P27" s="28">
        <f>IF(('Activity data'!P14*EF!$H27)*kgtoGg=0,"NO",('Activity data'!P14*EF!$H27)*kgtoGg)</f>
        <v>3.0878041992609937E-2</v>
      </c>
      <c r="Q27" s="28">
        <f>IF(('Activity data'!Q14*EF!$H27)*kgtoGg=0,"NO",('Activity data'!Q14*EF!$H27)*kgtoGg)</f>
        <v>3.0420104929160217E-2</v>
      </c>
      <c r="R27" s="28">
        <f>IF(('Activity data'!R14*EF!$H27)*kgtoGg=0,"NO",('Activity data'!R14*EF!$H27)*kgtoGg)</f>
        <v>3.081262241211712E-2</v>
      </c>
      <c r="S27" s="28">
        <f>IF(('Activity data'!S14*EF!$H27)*kgtoGg=0,"NO",('Activity data'!S14*EF!$H27)*kgtoGg)</f>
        <v>3.1754664371213694E-2</v>
      </c>
      <c r="T27" s="28">
        <f>IF(('Activity data'!T14*EF!$H27)*kgtoGg=0,"NO",('Activity data'!T14*EF!$H27)*kgtoGg)</f>
        <v>2.8993958074416789E-2</v>
      </c>
      <c r="U27" s="28">
        <f>IF(('Activity data'!U14*EF!$H27)*kgtoGg=0,"NO",('Activity data'!U14*EF!$H27)*kgtoGg)</f>
        <v>2.8261258772897233E-2</v>
      </c>
      <c r="V27" s="28">
        <f>IF(('Activity data'!V14*EF!$H27)*kgtoGg=0,"NO",('Activity data'!V14*EF!$H27)*kgtoGg)</f>
        <v>2.8313594437291489E-2</v>
      </c>
      <c r="W27" s="28">
        <f>IF(('Activity data'!W14*EF!$H27)*kgtoGg=0,"NO",('Activity data'!W14*EF!$H27)*kgtoGg)</f>
        <v>2.7947244786531707E-2</v>
      </c>
      <c r="X27" s="28">
        <f>IF(('Activity data'!X14*EF!$H27)*kgtoGg=0,"NO",('Activity data'!X14*EF!$H27)*kgtoGg)</f>
        <v>2.8536021010967069E-2</v>
      </c>
      <c r="Y27" s="28">
        <f>IF(('Activity data'!Y14*EF!$H27)*kgtoGg=0,"NO",('Activity data'!Y14*EF!$H27)*kgtoGg)</f>
        <v>2.7685566464560437E-2</v>
      </c>
      <c r="Z27" s="28">
        <f>IF(('Activity data'!Z14*EF!$H27)*kgtoGg=0,"NO",('Activity data'!Z14*EF!$H27)*kgtoGg)</f>
        <v>2.7659398632363309E-2</v>
      </c>
      <c r="AA27" s="28">
        <f>IF(('Activity data'!AA14*EF!$H27)*kgtoGg=0,"NO",('Activity data'!AA14*EF!$H27)*kgtoGg)</f>
        <v>2.7175293736716462E-2</v>
      </c>
      <c r="AB27" s="28">
        <f>IF(('Activity data'!AB14*EF!$H27)*kgtoGg=0,"NO",('Activity data'!AB14*EF!$H27)*kgtoGg)</f>
        <v>2.684819583425237E-2</v>
      </c>
      <c r="AC27" s="28">
        <f>IF(('Activity data'!AC14*EF!$H27)*kgtoGg=0,"NO",('Activity data'!AC14*EF!$H27)*kgtoGg)</f>
        <v>2.6599601428379662E-2</v>
      </c>
      <c r="AD27" s="28">
        <f>IF(('Activity data'!AD14*EF!$H27)*kgtoGg=0,"NO",('Activity data'!AD14*EF!$H27)*kgtoGg)</f>
        <v>2.6892237861795093E-2</v>
      </c>
      <c r="AE27" s="28">
        <f>IF(('Activity data'!AE14*EF!$H27)*kgtoGg=0,"NO",('Activity data'!AE14*EF!$H27)*kgtoGg)</f>
        <v>2.6795283716807009E-2</v>
      </c>
      <c r="AF27" s="28">
        <f>IF(('Activity data'!AF14*EF!$H27)*kgtoGg=0,"NO",('Activity data'!AF14*EF!$H27)*kgtoGg)</f>
        <v>2.6699434088487795E-2</v>
      </c>
      <c r="AG27" s="28">
        <f>IF(('Activity data'!AG14*EF!$H27)*kgtoGg=0,"NO",('Activity data'!AG14*EF!$H27)*kgtoGg)</f>
        <v>2.6604827447087382E-2</v>
      </c>
      <c r="AH27" s="28">
        <f>IF(('Activity data'!AH14*EF!$H27)*kgtoGg=0,"NO",('Activity data'!AH14*EF!$H27)*kgtoGg)</f>
        <v>2.6503799917018983E-2</v>
      </c>
      <c r="AI27" s="28">
        <f>IF(('Activity data'!AI14*EF!$H27)*kgtoGg=0,"NO",('Activity data'!AI14*EF!$H27)*kgtoGg)</f>
        <v>2.6401323808500493E-2</v>
      </c>
      <c r="AJ27" s="28">
        <f>IF(('Activity data'!AJ14*EF!$H27)*kgtoGg=0,"NO",('Activity data'!AJ14*EF!$H27)*kgtoGg)</f>
        <v>2.6299435324339201E-2</v>
      </c>
      <c r="AK27" s="28">
        <f>IF(('Activity data'!AK14*EF!$H27)*kgtoGg=0,"NO",('Activity data'!AK14*EF!$H27)*kgtoGg)</f>
        <v>2.6198098578532128E-2</v>
      </c>
      <c r="AL27" s="28">
        <f>IF(('Activity data'!AL14*EF!$H27)*kgtoGg=0,"NO",('Activity data'!AL14*EF!$H27)*kgtoGg)</f>
        <v>2.6127452842004736E-2</v>
      </c>
      <c r="AM27" s="28">
        <f>IF(('Activity data'!AM14*EF!$H27)*kgtoGg=0,"NO",('Activity data'!AM14*EF!$H27)*kgtoGg)</f>
        <v>2.6020205427842991E-2</v>
      </c>
      <c r="AN27" s="28">
        <f>IF(('Activity data'!AN14*EF!$H27)*kgtoGg=0,"NO",('Activity data'!AN14*EF!$H27)*kgtoGg)</f>
        <v>2.5913269997219893E-2</v>
      </c>
      <c r="AO27" s="28">
        <f>IF(('Activity data'!AO14*EF!$H27)*kgtoGg=0,"NO",('Activity data'!AO14*EF!$H27)*kgtoGg)</f>
        <v>2.5806264535240795E-2</v>
      </c>
      <c r="AP27" s="28">
        <f>IF(('Activity data'!AP14*EF!$H27)*kgtoGg=0,"NO",('Activity data'!AP14*EF!$H27)*kgtoGg)</f>
        <v>2.5699527646015602E-2</v>
      </c>
      <c r="AQ27" s="28">
        <f>IF(('Activity data'!AQ14*EF!$H27)*kgtoGg=0,"NO",('Activity data'!AQ14*EF!$H27)*kgtoGg)</f>
        <v>2.5592479238219921E-2</v>
      </c>
      <c r="AR27" s="28">
        <f>IF(('Activity data'!AR14*EF!$H27)*kgtoGg=0,"NO",('Activity data'!AR14*EF!$H27)*kgtoGg)</f>
        <v>2.5475713289610506E-2</v>
      </c>
      <c r="AS27" s="28">
        <f>IF(('Activity data'!AS14*EF!$H27)*kgtoGg=0,"NO",('Activity data'!AS14*EF!$H27)*kgtoGg)</f>
        <v>2.5359029938419257E-2</v>
      </c>
      <c r="AT27" s="28">
        <f>IF(('Activity data'!AT14*EF!$H27)*kgtoGg=0,"NO",('Activity data'!AT14*EF!$H27)*kgtoGg)</f>
        <v>2.5241924920731806E-2</v>
      </c>
      <c r="AU27" s="28">
        <f>IF(('Activity data'!AU14*EF!$H27)*kgtoGg=0,"NO",('Activity data'!AU14*EF!$H27)*kgtoGg)</f>
        <v>2.5124506800648861E-2</v>
      </c>
      <c r="AV27" s="28">
        <f>IF(('Activity data'!AV14*EF!$H27)*kgtoGg=0,"NO",('Activity data'!AV14*EF!$H27)*kgtoGg)</f>
        <v>2.5124506800648861E-2</v>
      </c>
      <c r="AW27" s="28">
        <f>IF(('Activity data'!AW14*EF!$H27)*kgtoGg=0,"NO",('Activity data'!AW14*EF!$H27)*kgtoGg)</f>
        <v>2.5124506800648861E-2</v>
      </c>
      <c r="AX27" s="28">
        <f>IF(('Activity data'!AX14*EF!$H27)*kgtoGg=0,"NO",('Activity data'!AX14*EF!$H27)*kgtoGg)</f>
        <v>2.5124506800648861E-2</v>
      </c>
      <c r="AY27" s="28">
        <f>IF(('Activity data'!AY14*EF!$H27)*kgtoGg=0,"NO",('Activity data'!AY14*EF!$H27)*kgtoGg)</f>
        <v>2.5124506800648861E-2</v>
      </c>
      <c r="AZ27" s="28">
        <f>IF(('Activity data'!AZ14*EF!$H27)*kgtoGg=0,"NO",('Activity data'!AZ14*EF!$H27)*kgtoGg)</f>
        <v>2.5124506800648861E-2</v>
      </c>
      <c r="BA27" s="28">
        <f>IF(('Activity data'!BA14*EF!$H27)*kgtoGg=0,"NO",('Activity data'!BA14*EF!$H27)*kgtoGg)</f>
        <v>2.5124506800648861E-2</v>
      </c>
      <c r="BB27" s="28">
        <f>IF(('Activity data'!BB14*EF!$H27)*kgtoGg=0,"NO",('Activity data'!BB14*EF!$H27)*kgtoGg)</f>
        <v>2.5124506800648861E-2</v>
      </c>
      <c r="BC27" s="28">
        <f>IF(('Activity data'!BC14*EF!$H27)*kgtoGg=0,"NO",('Activity data'!BC14*EF!$H27)*kgtoGg)</f>
        <v>2.5124506800648861E-2</v>
      </c>
      <c r="BD27" s="28">
        <f>IF(('Activity data'!BD14*EF!$H27)*kgtoGg=0,"NO",('Activity data'!BD14*EF!$H27)*kgtoGg)</f>
        <v>2.5124506800648861E-2</v>
      </c>
      <c r="BE27" s="28">
        <f>IF(('Activity data'!BE14*EF!$H27)*kgtoGg=0,"NO",('Activity data'!BE14*EF!$H27)*kgtoGg)</f>
        <v>2.5124506800648861E-2</v>
      </c>
      <c r="BF27" s="28">
        <f>IF(('Activity data'!BF14*EF!$H27)*kgtoGg=0,"NO",('Activity data'!BF14*EF!$H27)*kgtoGg)</f>
        <v>2.5124506800648861E-2</v>
      </c>
      <c r="BG27" s="28">
        <f>IF(('Activity data'!BG14*EF!$H27)*kgtoGg=0,"NO",('Activity data'!BG14*EF!$H27)*kgtoGg)</f>
        <v>2.5124506800648861E-2</v>
      </c>
      <c r="BH27" s="28">
        <f>IF(('Activity data'!BH14*EF!$H27)*kgtoGg=0,"NO",('Activity data'!BH14*EF!$H27)*kgtoGg)</f>
        <v>2.5124506800648861E-2</v>
      </c>
      <c r="BI27" s="28">
        <f>IF(('Activity data'!BI14*EF!$H27)*kgtoGg=0,"NO",('Activity data'!BI14*EF!$H27)*kgtoGg)</f>
        <v>2.5124506800648861E-2</v>
      </c>
      <c r="BJ27" s="28">
        <f>IF(('Activity data'!BJ14*EF!$H27)*kgtoGg=0,"NO",('Activity data'!BJ14*EF!$H27)*kgtoGg)</f>
        <v>2.5124506800648861E-2</v>
      </c>
      <c r="BK27" s="28">
        <f>IF(('Activity data'!BK14*EF!$H27)*kgtoGg=0,"NO",('Activity data'!BK14*EF!$H27)*kgtoGg)</f>
        <v>2.5124506800648861E-2</v>
      </c>
      <c r="BL27" s="28">
        <f>IF(('Activity data'!BL14*EF!$H27)*kgtoGg=0,"NO",('Activity data'!BL14*EF!$H27)*kgtoGg)</f>
        <v>2.5124506800648861E-2</v>
      </c>
      <c r="BM27" s="28">
        <f>IF(('Activity data'!BM14*EF!$H27)*kgtoGg=0,"NO",('Activity data'!BM14*EF!$H27)*kgtoGg)</f>
        <v>2.5124506800648861E-2</v>
      </c>
      <c r="BN27" s="28">
        <f>IF(('Activity data'!BN14*EF!$H27)*kgtoGg=0,"NO",('Activity data'!BN14*EF!$H27)*kgtoGg)</f>
        <v>2.5124506800648861E-2</v>
      </c>
      <c r="BO27" s="28">
        <f>IF(('Activity data'!BO14*EF!$H27)*kgtoGg=0,"NO",('Activity data'!BO14*EF!$H27)*kgtoGg)</f>
        <v>2.5124506800648861E-2</v>
      </c>
      <c r="BP27" s="28">
        <f>IF(('Activity data'!BP14*EF!$H27)*kgtoGg=0,"NO",('Activity data'!BP14*EF!$H27)*kgtoGg)</f>
        <v>2.5124506800648861E-2</v>
      </c>
    </row>
    <row r="28" spans="1:68" x14ac:dyDescent="0.25">
      <c r="A28" t="str">
        <f t="shared" si="1"/>
        <v>3A Livestock</v>
      </c>
      <c r="B28" t="str">
        <f t="shared" si="8"/>
        <v>3A2 Manure management (CH4)</v>
      </c>
      <c r="C28" t="str">
        <f>EF!C28</f>
        <v>3A1f Horses</v>
      </c>
      <c r="D28" t="str">
        <f>EF!D28</f>
        <v>Horses</v>
      </c>
      <c r="E28" t="str">
        <f t="shared" si="9"/>
        <v>Manure management Emissions</v>
      </c>
      <c r="F28" t="str">
        <f t="shared" si="6"/>
        <v>CH4</v>
      </c>
      <c r="G28" t="str">
        <f t="shared" si="7"/>
        <v>Gg CH4</v>
      </c>
      <c r="H28" s="28">
        <f>IF(('Activity data'!H15*EF!$H28)*kgtoGg=0,"NO",('Activity data'!H15*EF!$H28)*kgtoGg)</f>
        <v>3.0819999999999997E-3</v>
      </c>
      <c r="I28" s="28">
        <f>IF(('Activity data'!I15*EF!$H28)*kgtoGg=0,"NO",('Activity data'!I15*EF!$H28)*kgtoGg)</f>
        <v>3.0819999999999997E-3</v>
      </c>
      <c r="J28" s="28">
        <f>IF(('Activity data'!J15*EF!$H28)*kgtoGg=0,"NO",('Activity data'!J15*EF!$H28)*kgtoGg)</f>
        <v>3.0819999999999997E-3</v>
      </c>
      <c r="K28" s="28">
        <f>IF(('Activity data'!K15*EF!$H28)*kgtoGg=0,"NO",('Activity data'!K15*EF!$H28)*kgtoGg)</f>
        <v>3.1489999999999999E-3</v>
      </c>
      <c r="L28" s="28">
        <f>IF(('Activity data'!L15*EF!$H28)*kgtoGg=0,"NO",('Activity data'!L15*EF!$H28)*kgtoGg)</f>
        <v>3.2159999999999997E-3</v>
      </c>
      <c r="M28" s="28">
        <f>IF(('Activity data'!M15*EF!$H28)*kgtoGg=0,"NO",('Activity data'!M15*EF!$H28)*kgtoGg)</f>
        <v>3.2829999999999999E-3</v>
      </c>
      <c r="N28" s="28">
        <f>IF(('Activity data'!N15*EF!$H28)*kgtoGg=0,"NO",('Activity data'!N15*EF!$H28)*kgtoGg)</f>
        <v>3.3499999999999997E-3</v>
      </c>
      <c r="O28" s="28">
        <f>IF(('Activity data'!O15*EF!$H28)*kgtoGg=0,"NO",('Activity data'!O15*EF!$H28)*kgtoGg)</f>
        <v>3.4169999999999999E-3</v>
      </c>
      <c r="P28" s="28">
        <f>IF(('Activity data'!P15*EF!$H28)*kgtoGg=0,"NO",('Activity data'!P15*EF!$H28)*kgtoGg)</f>
        <v>3.4839999999999997E-3</v>
      </c>
      <c r="Q28" s="28">
        <f>IF(('Activity data'!Q15*EF!$H28)*kgtoGg=0,"NO",('Activity data'!Q15*EF!$H28)*kgtoGg)</f>
        <v>3.4572000000000001E-3</v>
      </c>
      <c r="R28" s="28">
        <f>IF(('Activity data'!R15*EF!$H28)*kgtoGg=0,"NO",('Activity data'!R15*EF!$H28)*kgtoGg)</f>
        <v>3.6179999999999997E-3</v>
      </c>
      <c r="S28" s="28">
        <f>IF(('Activity data'!S15*EF!$H28)*kgtoGg=0,"NO",('Activity data'!S15*EF!$H28)*kgtoGg)</f>
        <v>3.6179999999999997E-3</v>
      </c>
      <c r="T28" s="28">
        <f>IF(('Activity data'!T15*EF!$H28)*kgtoGg=0,"NO",('Activity data'!T15*EF!$H28)*kgtoGg)</f>
        <v>3.6179999999999997E-3</v>
      </c>
      <c r="U28" s="28">
        <f>IF(('Activity data'!U15*EF!$H28)*kgtoGg=0,"NO",('Activity data'!U15*EF!$H28)*kgtoGg)</f>
        <v>3.6179999999999997E-3</v>
      </c>
      <c r="V28" s="28">
        <f>IF(('Activity data'!V15*EF!$H28)*kgtoGg=0,"NO",('Activity data'!V15*EF!$H28)*kgtoGg)</f>
        <v>3.6179999999999997E-3</v>
      </c>
      <c r="W28" s="28">
        <f>IF(('Activity data'!W15*EF!$H28)*kgtoGg=0,"NO",('Activity data'!W15*EF!$H28)*kgtoGg)</f>
        <v>3.6179999999999997E-3</v>
      </c>
      <c r="X28" s="28">
        <f>IF(('Activity data'!X15*EF!$H28)*kgtoGg=0,"NO",('Activity data'!X15*EF!$H28)*kgtoGg)</f>
        <v>3.7519999999999997E-3</v>
      </c>
      <c r="Y28" s="28">
        <f>IF(('Activity data'!Y15*EF!$H28)*kgtoGg=0,"NO",('Activity data'!Y15*EF!$H28)*kgtoGg)</f>
        <v>3.8859999999999997E-3</v>
      </c>
      <c r="Z28" s="28">
        <f>IF(('Activity data'!Z15*EF!$H28)*kgtoGg=0,"NO",('Activity data'!Z15*EF!$H28)*kgtoGg)</f>
        <v>3.9931999999999997E-3</v>
      </c>
      <c r="AA28" s="28">
        <f>IF(('Activity data'!AA15*EF!$H28)*kgtoGg=0,"NO",('Activity data'!AA15*EF!$H28)*kgtoGg)</f>
        <v>4.0200000000000001E-3</v>
      </c>
      <c r="AB28" s="28">
        <f>IF(('Activity data'!AB15*EF!$H28)*kgtoGg=0,"NO",('Activity data'!AB15*EF!$H28)*kgtoGg)</f>
        <v>4.0200000000000001E-3</v>
      </c>
      <c r="AC28" s="28">
        <f>IF(('Activity data'!AC15*EF!$H28)*kgtoGg=0,"NO",('Activity data'!AC15*EF!$H28)*kgtoGg)</f>
        <v>4.0869999999999995E-3</v>
      </c>
      <c r="AD28" s="28">
        <f>IF(('Activity data'!AD15*EF!$H28)*kgtoGg=0,"NO",('Activity data'!AD15*EF!$H28)*kgtoGg)</f>
        <v>4.1029619207876159E-3</v>
      </c>
      <c r="AE28" s="28">
        <f>IF(('Activity data'!AE15*EF!$H28)*kgtoGg=0,"NO",('Activity data'!AE15*EF!$H28)*kgtoGg)</f>
        <v>4.1467077279333658E-3</v>
      </c>
      <c r="AF28" s="28">
        <f>IF(('Activity data'!AF15*EF!$H28)*kgtoGg=0,"NO",('Activity data'!AF15*EF!$H28)*kgtoGg)</f>
        <v>4.1741688817670142E-3</v>
      </c>
      <c r="AG28" s="28">
        <f>IF(('Activity data'!AG15*EF!$H28)*kgtoGg=0,"NO",('Activity data'!AG15*EF!$H28)*kgtoGg)</f>
        <v>4.1846159954301828E-3</v>
      </c>
      <c r="AH28" s="28">
        <f>IF(('Activity data'!AH15*EF!$H28)*kgtoGg=0,"NO",('Activity data'!AH15*EF!$H28)*kgtoGg)</f>
        <v>4.17942826081174E-3</v>
      </c>
      <c r="AI28" s="28">
        <f>IF(('Activity data'!AI15*EF!$H28)*kgtoGg=0,"NO",('Activity data'!AI15*EF!$H28)*kgtoGg)</f>
        <v>4.1856113914517023E-3</v>
      </c>
      <c r="AJ28" s="28">
        <f>IF(('Activity data'!AJ15*EF!$H28)*kgtoGg=0,"NO",('Activity data'!AJ15*EF!$H28)*kgtoGg)</f>
        <v>4.1871480881541167E-3</v>
      </c>
      <c r="AK28" s="28">
        <f>IF(('Activity data'!AK15*EF!$H28)*kgtoGg=0,"NO",('Activity data'!AK15*EF!$H28)*kgtoGg)</f>
        <v>4.1844438664516538E-3</v>
      </c>
      <c r="AL28" s="28">
        <f>IF(('Activity data'!AL15*EF!$H28)*kgtoGg=0,"NO",('Activity data'!AL15*EF!$H28)*kgtoGg)</f>
        <v>3.9496890858976615E-3</v>
      </c>
      <c r="AM28" s="28">
        <f>IF(('Activity data'!AM15*EF!$H28)*kgtoGg=0,"NO",('Activity data'!AM15*EF!$H28)*kgtoGg)</f>
        <v>3.9831777592314842E-3</v>
      </c>
      <c r="AN28" s="28">
        <f>IF(('Activity data'!AN15*EF!$H28)*kgtoGg=0,"NO",('Activity data'!AN15*EF!$H28)*kgtoGg)</f>
        <v>4.0137279906246005E-3</v>
      </c>
      <c r="AO28" s="28">
        <f>IF(('Activity data'!AO15*EF!$H28)*kgtoGg=0,"NO",('Activity data'!AO15*EF!$H28)*kgtoGg)</f>
        <v>4.0442301254902772E-3</v>
      </c>
      <c r="AP28" s="28">
        <f>IF(('Activity data'!AP15*EF!$H28)*kgtoGg=0,"NO",('Activity data'!AP15*EF!$H28)*kgtoGg)</f>
        <v>4.0722183136064011E-3</v>
      </c>
      <c r="AQ28" s="28">
        <f>IF(('Activity data'!AQ15*EF!$H28)*kgtoGg=0,"NO",('Activity data'!AQ15*EF!$H28)*kgtoGg)</f>
        <v>4.1019492523918588E-3</v>
      </c>
      <c r="AR28" s="28">
        <f>IF(('Activity data'!AR15*EF!$H28)*kgtoGg=0,"NO",('Activity data'!AR15*EF!$H28)*kgtoGg)</f>
        <v>4.1392103739141331E-3</v>
      </c>
      <c r="AS28" s="28">
        <f>IF(('Activity data'!AS15*EF!$H28)*kgtoGg=0,"NO",('Activity data'!AS15*EF!$H28)*kgtoGg)</f>
        <v>4.175170068106613E-3</v>
      </c>
      <c r="AT28" s="28">
        <f>IF(('Activity data'!AT15*EF!$H28)*kgtoGg=0,"NO",('Activity data'!AT15*EF!$H28)*kgtoGg)</f>
        <v>4.2134024618285136E-3</v>
      </c>
      <c r="AU28" s="28">
        <f>IF(('Activity data'!AU15*EF!$H28)*kgtoGg=0,"NO",('Activity data'!AU15*EF!$H28)*kgtoGg)</f>
        <v>4.2530889439538998E-3</v>
      </c>
      <c r="AV28" s="28">
        <f>IF(('Activity data'!AV15*EF!$H28)*kgtoGg=0,"NO",('Activity data'!AV15*EF!$H28)*kgtoGg)</f>
        <v>4.2943854477446542E-3</v>
      </c>
      <c r="AW28" s="28">
        <f>IF(('Activity data'!AW15*EF!$H28)*kgtoGg=0,"NO",('Activity data'!AW15*EF!$H28)*kgtoGg)</f>
        <v>4.349561562533244E-3</v>
      </c>
      <c r="AX28" s="28">
        <f>IF(('Activity data'!AX15*EF!$H28)*kgtoGg=0,"NO",('Activity data'!AX15*EF!$H28)*kgtoGg)</f>
        <v>4.3999612968752457E-3</v>
      </c>
      <c r="AY28" s="28">
        <f>IF(('Activity data'!AY15*EF!$H28)*kgtoGg=0,"NO",('Activity data'!AY15*EF!$H28)*kgtoGg)</f>
        <v>4.4579656485971434E-3</v>
      </c>
      <c r="AZ28" s="28">
        <f>IF(('Activity data'!AZ15*EF!$H28)*kgtoGg=0,"NO",('Activity data'!AZ15*EF!$H28)*kgtoGg)</f>
        <v>4.5208431580209506E-3</v>
      </c>
      <c r="BA28" s="28">
        <f>IF(('Activity data'!BA15*EF!$H28)*kgtoGg=0,"NO",('Activity data'!BA15*EF!$H28)*kgtoGg)</f>
        <v>4.5887832563760332E-3</v>
      </c>
      <c r="BB28" s="28">
        <f>IF(('Activity data'!BB15*EF!$H28)*kgtoGg=0,"NO",('Activity data'!BB15*EF!$H28)*kgtoGg)</f>
        <v>4.6572277745589741E-3</v>
      </c>
      <c r="BC28" s="28">
        <f>IF(('Activity data'!BC15*EF!$H28)*kgtoGg=0,"NO",('Activity data'!BC15*EF!$H28)*kgtoGg)</f>
        <v>4.7286198027543793E-3</v>
      </c>
      <c r="BD28" s="28">
        <f>IF(('Activity data'!BD15*EF!$H28)*kgtoGg=0,"NO",('Activity data'!BD15*EF!$H28)*kgtoGg)</f>
        <v>4.8002935777139016E-3</v>
      </c>
      <c r="BE28" s="28">
        <f>IF(('Activity data'!BE15*EF!$H28)*kgtoGg=0,"NO",('Activity data'!BE15*EF!$H28)*kgtoGg)</f>
        <v>4.8748463053129455E-3</v>
      </c>
      <c r="BF28" s="28">
        <f>IF(('Activity data'!BF15*EF!$H28)*kgtoGg=0,"NO",('Activity data'!BF15*EF!$H28)*kgtoGg)</f>
        <v>4.9544901683018583E-3</v>
      </c>
      <c r="BG28" s="28">
        <f>IF(('Activity data'!BG15*EF!$H28)*kgtoGg=0,"NO",('Activity data'!BG15*EF!$H28)*kgtoGg)</f>
        <v>5.0327857208663359E-3</v>
      </c>
      <c r="BH28" s="28">
        <f>IF(('Activity data'!BH15*EF!$H28)*kgtoGg=0,"NO",('Activity data'!BH15*EF!$H28)*kgtoGg)</f>
        <v>5.114372639048387E-3</v>
      </c>
      <c r="BI28" s="28">
        <f>IF(('Activity data'!BI15*EF!$H28)*kgtoGg=0,"NO",('Activity data'!BI15*EF!$H28)*kgtoGg)</f>
        <v>5.1988859585914591E-3</v>
      </c>
      <c r="BJ28" s="28">
        <f>IF(('Activity data'!BJ15*EF!$H28)*kgtoGg=0,"NO",('Activity data'!BJ15*EF!$H28)*kgtoGg)</f>
        <v>5.2869051543386093E-3</v>
      </c>
      <c r="BK28" s="28">
        <f>IF(('Activity data'!BK15*EF!$H28)*kgtoGg=0,"NO",('Activity data'!BK15*EF!$H28)*kgtoGg)</f>
        <v>5.3809333044093407E-3</v>
      </c>
      <c r="BL28" s="28">
        <f>IF(('Activity data'!BL15*EF!$H28)*kgtoGg=0,"NO",('Activity data'!BL15*EF!$H28)*kgtoGg)</f>
        <v>5.4810203584978318E-3</v>
      </c>
      <c r="BM28" s="28">
        <f>IF(('Activity data'!BM15*EF!$H28)*kgtoGg=0,"NO",('Activity data'!BM15*EF!$H28)*kgtoGg)</f>
        <v>5.5858171870711163E-3</v>
      </c>
      <c r="BN28" s="28">
        <f>IF(('Activity data'!BN15*EF!$H28)*kgtoGg=0,"NO",('Activity data'!BN15*EF!$H28)*kgtoGg)</f>
        <v>5.6903848923808035E-3</v>
      </c>
      <c r="BO28" s="28">
        <f>IF(('Activity data'!BO15*EF!$H28)*kgtoGg=0,"NO",('Activity data'!BO15*EF!$H28)*kgtoGg)</f>
        <v>5.8000797184545915E-3</v>
      </c>
      <c r="BP28" s="28">
        <f>IF(('Activity data'!BP15*EF!$H28)*kgtoGg=0,"NO",('Activity data'!BP15*EF!$H28)*kgtoGg)</f>
        <v>5.9153436938775847E-3</v>
      </c>
    </row>
    <row r="29" spans="1:68" x14ac:dyDescent="0.25">
      <c r="A29" t="str">
        <f t="shared" si="1"/>
        <v>3A Livestock</v>
      </c>
      <c r="B29" t="str">
        <f t="shared" si="8"/>
        <v>3A2 Manure management (CH4)</v>
      </c>
      <c r="C29" t="str">
        <f>EF!C29</f>
        <v>3A1g Mules &amp; asses</v>
      </c>
      <c r="D29" t="str">
        <f>EF!D29</f>
        <v>Mules &amp; Asses</v>
      </c>
      <c r="E29" t="str">
        <f t="shared" si="9"/>
        <v>Manure management Emissions</v>
      </c>
      <c r="F29" t="str">
        <f t="shared" si="6"/>
        <v>CH4</v>
      </c>
      <c r="G29" t="str">
        <f t="shared" si="7"/>
        <v>Gg CH4</v>
      </c>
      <c r="H29" s="28">
        <f>IF(('Activity data'!H16*EF!$H29)*kgtoGg=0,"NO",('Activity data'!H16*EF!$H29)*kgtoGg)</f>
        <v>1.0079999999999998E-3</v>
      </c>
      <c r="I29" s="28">
        <f>IF(('Activity data'!I16*EF!$H29)*kgtoGg=0,"NO",('Activity data'!I16*EF!$H29)*kgtoGg)</f>
        <v>1.0079999999999998E-3</v>
      </c>
      <c r="J29" s="28">
        <f>IF(('Activity data'!J16*EF!$H29)*kgtoGg=0,"NO",('Activity data'!J16*EF!$H29)*kgtoGg)</f>
        <v>1.0079999999999998E-3</v>
      </c>
      <c r="K29" s="28">
        <f>IF(('Activity data'!K16*EF!$H29)*kgtoGg=0,"NO",('Activity data'!K16*EF!$H29)*kgtoGg)</f>
        <v>1.0079999999999998E-3</v>
      </c>
      <c r="L29" s="28">
        <f>IF(('Activity data'!L16*EF!$H29)*kgtoGg=0,"NO",('Activity data'!L16*EF!$H29)*kgtoGg)</f>
        <v>1.0079999999999998E-3</v>
      </c>
      <c r="M29" s="28">
        <f>IF(('Activity data'!M16*EF!$H29)*kgtoGg=0,"NO",('Activity data'!M16*EF!$H29)*kgtoGg)</f>
        <v>1.0079999999999998E-3</v>
      </c>
      <c r="N29" s="28">
        <f>IF(('Activity data'!N16*EF!$H29)*kgtoGg=0,"NO",('Activity data'!N16*EF!$H29)*kgtoGg)</f>
        <v>1.0079999999999998E-3</v>
      </c>
      <c r="O29" s="28">
        <f>IF(('Activity data'!O16*EF!$H29)*kgtoGg=0,"NO",('Activity data'!O16*EF!$H29)*kgtoGg)</f>
        <v>1.0079999999999998E-3</v>
      </c>
      <c r="P29" s="28">
        <f>IF(('Activity data'!P16*EF!$H29)*kgtoGg=0,"NO",('Activity data'!P16*EF!$H29)*kgtoGg)</f>
        <v>1.0079999999999998E-3</v>
      </c>
      <c r="Q29" s="28">
        <f>IF(('Activity data'!Q16*EF!$H29)*kgtoGg=0,"NO",('Activity data'!Q16*EF!$H29)*kgtoGg)</f>
        <v>1.0079999999999998E-3</v>
      </c>
      <c r="R29" s="28">
        <f>IF(('Activity data'!R16*EF!$H29)*kgtoGg=0,"NO",('Activity data'!R16*EF!$H29)*kgtoGg)</f>
        <v>7.3799999999999994E-4</v>
      </c>
      <c r="S29" s="28">
        <f>IF(('Activity data'!S16*EF!$H29)*kgtoGg=0,"NO",('Activity data'!S16*EF!$H29)*kgtoGg)</f>
        <v>7.3799999999999994E-4</v>
      </c>
      <c r="T29" s="28">
        <f>IF(('Activity data'!T16*EF!$H29)*kgtoGg=0,"NO",('Activity data'!T16*EF!$H29)*kgtoGg)</f>
        <v>7.3799999999999994E-4</v>
      </c>
      <c r="U29" s="28">
        <f>IF(('Activity data'!U16*EF!$H29)*kgtoGg=0,"NO",('Activity data'!U16*EF!$H29)*kgtoGg)</f>
        <v>7.3799999999999994E-4</v>
      </c>
      <c r="V29" s="28">
        <f>IF(('Activity data'!V16*EF!$H29)*kgtoGg=0,"NO",('Activity data'!V16*EF!$H29)*kgtoGg)</f>
        <v>7.3799999999999994E-4</v>
      </c>
      <c r="W29" s="28">
        <f>IF(('Activity data'!W16*EF!$H29)*kgtoGg=0,"NO",('Activity data'!W16*EF!$H29)*kgtoGg)</f>
        <v>7.3799999999999994E-4</v>
      </c>
      <c r="X29" s="28">
        <f>IF(('Activity data'!X16*EF!$H29)*kgtoGg=0,"NO",('Activity data'!X16*EF!$H29)*kgtoGg)</f>
        <v>7.3822499999999991E-4</v>
      </c>
      <c r="Y29" s="28">
        <f>IF(('Activity data'!Y16*EF!$H29)*kgtoGg=0,"NO",('Activity data'!Y16*EF!$H29)*kgtoGg)</f>
        <v>7.4069999999999995E-4</v>
      </c>
      <c r="Z29" s="28">
        <f>IF(('Activity data'!Z16*EF!$H29)*kgtoGg=0,"NO",('Activity data'!Z16*EF!$H29)*kgtoGg)</f>
        <v>7.4114999999999999E-4</v>
      </c>
      <c r="AA29" s="28">
        <f>IF(('Activity data'!AA16*EF!$H29)*kgtoGg=0,"NO",('Activity data'!AA16*EF!$H29)*kgtoGg)</f>
        <v>7.4159999999999992E-4</v>
      </c>
      <c r="AB29" s="28">
        <f>IF(('Activity data'!AB16*EF!$H29)*kgtoGg=0,"NO",('Activity data'!AB16*EF!$H29)*kgtoGg)</f>
        <v>7.4834999999999984E-4</v>
      </c>
      <c r="AC29" s="28">
        <f>IF(('Activity data'!AC16*EF!$H29)*kgtoGg=0,"NO",('Activity data'!AC16*EF!$H29)*kgtoGg)</f>
        <v>7.515E-4</v>
      </c>
      <c r="AD29" s="28">
        <f>IF(('Activity data'!AD16*EF!$H29)*kgtoGg=0,"NO",('Activity data'!AD16*EF!$H29)*kgtoGg)</f>
        <v>7.515E-4</v>
      </c>
      <c r="AE29" s="28">
        <f>IF(('Activity data'!AE16*EF!$H29)*kgtoGg=0,"NO",('Activity data'!AE16*EF!$H29)*kgtoGg)</f>
        <v>7.515E-4</v>
      </c>
      <c r="AF29" s="28">
        <f>IF(('Activity data'!AF16*EF!$H29)*kgtoGg=0,"NO",('Activity data'!AF16*EF!$H29)*kgtoGg)</f>
        <v>7.515E-4</v>
      </c>
      <c r="AG29" s="28">
        <f>IF(('Activity data'!AG16*EF!$H29)*kgtoGg=0,"NO",('Activity data'!AG16*EF!$H29)*kgtoGg)</f>
        <v>7.515E-4</v>
      </c>
      <c r="AH29" s="28">
        <f>IF(('Activity data'!AH16*EF!$H29)*kgtoGg=0,"NO",('Activity data'!AH16*EF!$H29)*kgtoGg)</f>
        <v>7.515E-4</v>
      </c>
      <c r="AI29" s="28">
        <f>IF(('Activity data'!AI16*EF!$H29)*kgtoGg=0,"NO",('Activity data'!AI16*EF!$H29)*kgtoGg)</f>
        <v>7.515E-4</v>
      </c>
      <c r="AJ29" s="28">
        <f>IF(('Activity data'!AJ16*EF!$H29)*kgtoGg=0,"NO",('Activity data'!AJ16*EF!$H29)*kgtoGg)</f>
        <v>7.515E-4</v>
      </c>
      <c r="AK29" s="28">
        <f>IF(('Activity data'!AK16*EF!$H29)*kgtoGg=0,"NO",('Activity data'!AK16*EF!$H29)*kgtoGg)</f>
        <v>7.515E-4</v>
      </c>
      <c r="AL29" s="28">
        <f>IF(('Activity data'!AL16*EF!$H29)*kgtoGg=0,"NO",('Activity data'!AL16*EF!$H29)*kgtoGg)</f>
        <v>7.515E-4</v>
      </c>
      <c r="AM29" s="28">
        <f>IF(('Activity data'!AM16*EF!$H29)*kgtoGg=0,"NO",('Activity data'!AM16*EF!$H29)*kgtoGg)</f>
        <v>7.515E-4</v>
      </c>
      <c r="AN29" s="28">
        <f>IF(('Activity data'!AN16*EF!$H29)*kgtoGg=0,"NO",('Activity data'!AN16*EF!$H29)*kgtoGg)</f>
        <v>7.515E-4</v>
      </c>
      <c r="AO29" s="28">
        <f>IF(('Activity data'!AO16*EF!$H29)*kgtoGg=0,"NO",('Activity data'!AO16*EF!$H29)*kgtoGg)</f>
        <v>7.515E-4</v>
      </c>
      <c r="AP29" s="28">
        <f>IF(('Activity data'!AP16*EF!$H29)*kgtoGg=0,"NO",('Activity data'!AP16*EF!$H29)*kgtoGg)</f>
        <v>7.515E-4</v>
      </c>
      <c r="AQ29" s="28">
        <f>IF(('Activity data'!AQ16*EF!$H29)*kgtoGg=0,"NO",('Activity data'!AQ16*EF!$H29)*kgtoGg)</f>
        <v>7.515E-4</v>
      </c>
      <c r="AR29" s="28">
        <f>IF(('Activity data'!AR16*EF!$H29)*kgtoGg=0,"NO",('Activity data'!AR16*EF!$H29)*kgtoGg)</f>
        <v>7.515E-4</v>
      </c>
      <c r="AS29" s="28">
        <f>IF(('Activity data'!AS16*EF!$H29)*kgtoGg=0,"NO",('Activity data'!AS16*EF!$H29)*kgtoGg)</f>
        <v>7.515E-4</v>
      </c>
      <c r="AT29" s="28">
        <f>IF(('Activity data'!AT16*EF!$H29)*kgtoGg=0,"NO",('Activity data'!AT16*EF!$H29)*kgtoGg)</f>
        <v>7.515E-4</v>
      </c>
      <c r="AU29" s="28">
        <f>IF(('Activity data'!AU16*EF!$H29)*kgtoGg=0,"NO",('Activity data'!AU16*EF!$H29)*kgtoGg)</f>
        <v>7.515E-4</v>
      </c>
      <c r="AV29" s="28">
        <f>IF(('Activity data'!AV16*EF!$H29)*kgtoGg=0,"NO",('Activity data'!AV16*EF!$H29)*kgtoGg)</f>
        <v>7.515E-4</v>
      </c>
      <c r="AW29" s="28">
        <f>IF(('Activity data'!AW16*EF!$H29)*kgtoGg=0,"NO",('Activity data'!AW16*EF!$H29)*kgtoGg)</f>
        <v>7.515E-4</v>
      </c>
      <c r="AX29" s="28">
        <f>IF(('Activity data'!AX16*EF!$H29)*kgtoGg=0,"NO",('Activity data'!AX16*EF!$H29)*kgtoGg)</f>
        <v>7.515E-4</v>
      </c>
      <c r="AY29" s="28">
        <f>IF(('Activity data'!AY16*EF!$H29)*kgtoGg=0,"NO",('Activity data'!AY16*EF!$H29)*kgtoGg)</f>
        <v>7.515E-4</v>
      </c>
      <c r="AZ29" s="28">
        <f>IF(('Activity data'!AZ16*EF!$H29)*kgtoGg=0,"NO",('Activity data'!AZ16*EF!$H29)*kgtoGg)</f>
        <v>7.515E-4</v>
      </c>
      <c r="BA29" s="28">
        <f>IF(('Activity data'!BA16*EF!$H29)*kgtoGg=0,"NO",('Activity data'!BA16*EF!$H29)*kgtoGg)</f>
        <v>7.515E-4</v>
      </c>
      <c r="BB29" s="28">
        <f>IF(('Activity data'!BB16*EF!$H29)*kgtoGg=0,"NO",('Activity data'!BB16*EF!$H29)*kgtoGg)</f>
        <v>7.515E-4</v>
      </c>
      <c r="BC29" s="28">
        <f>IF(('Activity data'!BC16*EF!$H29)*kgtoGg=0,"NO",('Activity data'!BC16*EF!$H29)*kgtoGg)</f>
        <v>7.515E-4</v>
      </c>
      <c r="BD29" s="28">
        <f>IF(('Activity data'!BD16*EF!$H29)*kgtoGg=0,"NO",('Activity data'!BD16*EF!$H29)*kgtoGg)</f>
        <v>7.515E-4</v>
      </c>
      <c r="BE29" s="28">
        <f>IF(('Activity data'!BE16*EF!$H29)*kgtoGg=0,"NO",('Activity data'!BE16*EF!$H29)*kgtoGg)</f>
        <v>7.515E-4</v>
      </c>
      <c r="BF29" s="28">
        <f>IF(('Activity data'!BF16*EF!$H29)*kgtoGg=0,"NO",('Activity data'!BF16*EF!$H29)*kgtoGg)</f>
        <v>7.515E-4</v>
      </c>
      <c r="BG29" s="28">
        <f>IF(('Activity data'!BG16*EF!$H29)*kgtoGg=0,"NO",('Activity data'!BG16*EF!$H29)*kgtoGg)</f>
        <v>7.515E-4</v>
      </c>
      <c r="BH29" s="28">
        <f>IF(('Activity data'!BH16*EF!$H29)*kgtoGg=0,"NO",('Activity data'!BH16*EF!$H29)*kgtoGg)</f>
        <v>7.515E-4</v>
      </c>
      <c r="BI29" s="28">
        <f>IF(('Activity data'!BI16*EF!$H29)*kgtoGg=0,"NO",('Activity data'!BI16*EF!$H29)*kgtoGg)</f>
        <v>7.515E-4</v>
      </c>
      <c r="BJ29" s="28">
        <f>IF(('Activity data'!BJ16*EF!$H29)*kgtoGg=0,"NO",('Activity data'!BJ16*EF!$H29)*kgtoGg)</f>
        <v>7.515E-4</v>
      </c>
      <c r="BK29" s="28">
        <f>IF(('Activity data'!BK16*EF!$H29)*kgtoGg=0,"NO",('Activity data'!BK16*EF!$H29)*kgtoGg)</f>
        <v>7.515E-4</v>
      </c>
      <c r="BL29" s="28">
        <f>IF(('Activity data'!BL16*EF!$H29)*kgtoGg=0,"NO",('Activity data'!BL16*EF!$H29)*kgtoGg)</f>
        <v>7.515E-4</v>
      </c>
      <c r="BM29" s="28">
        <f>IF(('Activity data'!BM16*EF!$H29)*kgtoGg=0,"NO",('Activity data'!BM16*EF!$H29)*kgtoGg)</f>
        <v>7.515E-4</v>
      </c>
      <c r="BN29" s="28">
        <f>IF(('Activity data'!BN16*EF!$H29)*kgtoGg=0,"NO",('Activity data'!BN16*EF!$H29)*kgtoGg)</f>
        <v>7.515E-4</v>
      </c>
      <c r="BO29" s="28">
        <f>IF(('Activity data'!BO16*EF!$H29)*kgtoGg=0,"NO",('Activity data'!BO16*EF!$H29)*kgtoGg)</f>
        <v>7.515E-4</v>
      </c>
      <c r="BP29" s="28">
        <f>IF(('Activity data'!BP16*EF!$H29)*kgtoGg=0,"NO",('Activity data'!BP16*EF!$H29)*kgtoGg)</f>
        <v>7.515E-4</v>
      </c>
    </row>
    <row r="30" spans="1:68" x14ac:dyDescent="0.25">
      <c r="A30" t="str">
        <f t="shared" si="1"/>
        <v>3A Livestock</v>
      </c>
      <c r="B30" t="str">
        <f t="shared" si="8"/>
        <v>3A2 Manure management (CH4)</v>
      </c>
      <c r="C30" t="str">
        <f>EF!C30</f>
        <v>3A1h Swine</v>
      </c>
      <c r="D30" t="str">
        <f>EF!D30</f>
        <v>Commercial</v>
      </c>
      <c r="E30" t="str">
        <f t="shared" si="9"/>
        <v>Manure management Emissions</v>
      </c>
      <c r="F30" t="str">
        <f t="shared" si="6"/>
        <v>CH4</v>
      </c>
      <c r="G30" t="str">
        <f t="shared" si="7"/>
        <v>Gg CH4</v>
      </c>
      <c r="H30" s="28">
        <f>IF(('Activity data'!H17*EF!$H30)*kgtoGg=0,"NO",('Activity data'!H17*EF!$H30)*kgtoGg)</f>
        <v>21.422883239999997</v>
      </c>
      <c r="I30" s="28">
        <f>IF(('Activity data'!I17*EF!$H30)*kgtoGg=0,"NO",('Activity data'!I17*EF!$H30)*kgtoGg)</f>
        <v>23.404921649999999</v>
      </c>
      <c r="J30" s="28">
        <f>IF(('Activity data'!J17*EF!$H30)*kgtoGg=0,"NO",('Activity data'!J17*EF!$H30)*kgtoGg)</f>
        <v>23.250294539999995</v>
      </c>
      <c r="K30" s="28">
        <f>IF(('Activity data'!K17*EF!$H30)*kgtoGg=0,"NO",('Activity data'!K17*EF!$H30)*kgtoGg)</f>
        <v>23.236237529999997</v>
      </c>
      <c r="L30" s="28">
        <f>IF(('Activity data'!L17*EF!$H30)*kgtoGg=0,"NO",('Activity data'!L17*EF!$H30)*kgtoGg)</f>
        <v>22.069505699999993</v>
      </c>
      <c r="M30" s="28">
        <f>IF(('Activity data'!M17*EF!$H30)*kgtoGg=0,"NO",('Activity data'!M17*EF!$H30)*kgtoGg)</f>
        <v>22.280360849999997</v>
      </c>
      <c r="N30" s="28">
        <f>IF(('Activity data'!N17*EF!$H30)*kgtoGg=0,"NO",('Activity data'!N17*EF!$H30)*kgtoGg)</f>
        <v>23.995316069999994</v>
      </c>
      <c r="O30" s="28">
        <f>IF(('Activity data'!O17*EF!$H30)*kgtoGg=0,"NO",('Activity data'!O17*EF!$H30)*kgtoGg)</f>
        <v>23.882859989999996</v>
      </c>
      <c r="P30" s="28">
        <f>IF(('Activity data'!P17*EF!$H30)*kgtoGg=0,"NO",('Activity data'!P17*EF!$H30)*kgtoGg)</f>
        <v>24.402969359999993</v>
      </c>
      <c r="Q30" s="28">
        <f>IF(('Activity data'!Q17*EF!$H30)*kgtoGg=0,"NO",('Activity data'!Q17*EF!$H30)*kgtoGg)</f>
        <v>25.021477799999996</v>
      </c>
      <c r="R30" s="28">
        <f>IF(('Activity data'!R17*EF!$H30)*kgtoGg=0,"NO",('Activity data'!R17*EF!$H30)*kgtoGg)</f>
        <v>23.151895469999999</v>
      </c>
      <c r="S30" s="28">
        <f>IF(('Activity data'!S17*EF!$H30)*kgtoGg=0,"NO",('Activity data'!S17*EF!$H30)*kgtoGg)</f>
        <v>23.587662779999995</v>
      </c>
      <c r="T30" s="28">
        <f>IF(('Activity data'!T17*EF!$H30)*kgtoGg=0,"NO",('Activity data'!T17*EF!$H30)*kgtoGg)</f>
        <v>24.037487099999996</v>
      </c>
      <c r="U30" s="28">
        <f>IF(('Activity data'!U17*EF!$H30)*kgtoGg=0,"NO",('Activity data'!U17*EF!$H30)*kgtoGg)</f>
        <v>23.376807629999995</v>
      </c>
      <c r="V30" s="28">
        <f>IF(('Activity data'!V17*EF!$H30)*kgtoGg=0,"NO",('Activity data'!V17*EF!$H30)*kgtoGg)</f>
        <v>23.376807629999995</v>
      </c>
      <c r="W30" s="28">
        <f>IF(('Activity data'!W17*EF!$H30)*kgtoGg=0,"NO",('Activity data'!W17*EF!$H30)*kgtoGg)</f>
        <v>23.208123509999997</v>
      </c>
      <c r="X30" s="28">
        <f>IF(('Activity data'!X17*EF!$H30)*kgtoGg=0,"NO",('Activity data'!X17*EF!$H30)*kgtoGg)</f>
        <v>22.800470219999998</v>
      </c>
      <c r="Y30" s="28">
        <f>IF(('Activity data'!Y17*EF!$H30)*kgtoGg=0,"NO",('Activity data'!Y17*EF!$H30)*kgtoGg)</f>
        <v>23.208123509999997</v>
      </c>
      <c r="Z30" s="28">
        <f>IF(('Activity data'!Z17*EF!$H30)*kgtoGg=0,"NO",('Activity data'!Z17*EF!$H30)*kgtoGg)</f>
        <v>22.702071149999998</v>
      </c>
      <c r="AA30" s="28">
        <f>IF(('Activity data'!AA17*EF!$H30)*kgtoGg=0,"NO",('Activity data'!AA17*EF!$H30)*kgtoGg)</f>
        <v>22.673957129999998</v>
      </c>
      <c r="AB30" s="28">
        <f>IF(('Activity data'!AB17*EF!$H30)*kgtoGg=0,"NO",('Activity data'!AB17*EF!$H30)*kgtoGg)</f>
        <v>22.406873939999997</v>
      </c>
      <c r="AC30" s="28">
        <f>IF(('Activity data'!AC17*EF!$H30)*kgtoGg=0,"NO",('Activity data'!AC17*EF!$H30)*kgtoGg)</f>
        <v>22.266303839999996</v>
      </c>
      <c r="AD30" s="28">
        <f>IF(('Activity data'!AD17*EF!$H30)*kgtoGg=0,"NO",('Activity data'!AD17*EF!$H30)*kgtoGg)</f>
        <v>22.034724591367315</v>
      </c>
      <c r="AE30" s="28">
        <f>IF(('Activity data'!AE17*EF!$H30)*kgtoGg=0,"NO",('Activity data'!AE17*EF!$H30)*kgtoGg)</f>
        <v>21.945362107939875</v>
      </c>
      <c r="AF30" s="28">
        <f>IF(('Activity data'!AF17*EF!$H30)*kgtoGg=0,"NO",('Activity data'!AF17*EF!$H30)*kgtoGg)</f>
        <v>21.881281195573511</v>
      </c>
      <c r="AG30" s="28">
        <f>IF(('Activity data'!AG17*EF!$H30)*kgtoGg=0,"NO",('Activity data'!AG17*EF!$H30)*kgtoGg)</f>
        <v>21.841859571265466</v>
      </c>
      <c r="AH30" s="28">
        <f>IF(('Activity data'!AH17*EF!$H30)*kgtoGg=0,"NO",('Activity data'!AH17*EF!$H30)*kgtoGg)</f>
        <v>21.822575188417364</v>
      </c>
      <c r="AI30" s="28">
        <f>IF(('Activity data'!AI17*EF!$H30)*kgtoGg=0,"NO",('Activity data'!AI17*EF!$H30)*kgtoGg)</f>
        <v>21.787465333992042</v>
      </c>
      <c r="AJ30" s="28">
        <f>IF(('Activity data'!AJ17*EF!$H30)*kgtoGg=0,"NO",('Activity data'!AJ17*EF!$H30)*kgtoGg)</f>
        <v>21.759163162279101</v>
      </c>
      <c r="AK30" s="28">
        <f>IF(('Activity data'!AK17*EF!$H30)*kgtoGg=0,"NO",('Activity data'!AK17*EF!$H30)*kgtoGg)</f>
        <v>21.737076635275191</v>
      </c>
      <c r="AL30" s="28">
        <f>IF(('Activity data'!AL17*EF!$H30)*kgtoGg=0,"NO",('Activity data'!AL17*EF!$H30)*kgtoGg)</f>
        <v>22.080006125163617</v>
      </c>
      <c r="AM30" s="28">
        <f>IF(('Activity data'!AM17*EF!$H30)*kgtoGg=0,"NO",('Activity data'!AM17*EF!$H30)*kgtoGg)</f>
        <v>21.996802008007283</v>
      </c>
      <c r="AN30" s="28">
        <f>IF(('Activity data'!AN17*EF!$H30)*kgtoGg=0,"NO",('Activity data'!AN17*EF!$H30)*kgtoGg)</f>
        <v>21.920405928891562</v>
      </c>
      <c r="AO30" s="28">
        <f>IF(('Activity data'!AO17*EF!$H30)*kgtoGg=0,"NO",('Activity data'!AO17*EF!$H30)*kgtoGg)</f>
        <v>21.845693269315301</v>
      </c>
      <c r="AP30" s="28">
        <f>IF(('Activity data'!AP17*EF!$H30)*kgtoGg=0,"NO",('Activity data'!AP17*EF!$H30)*kgtoGg)</f>
        <v>21.776433844728285</v>
      </c>
      <c r="AQ30" s="28">
        <f>IF(('Activity data'!AQ17*EF!$H30)*kgtoGg=0,"NO",('Activity data'!AQ17*EF!$H30)*kgtoGg)</f>
        <v>21.705793250205737</v>
      </c>
      <c r="AR30" s="28">
        <f>IF(('Activity data'!AR17*EF!$H30)*kgtoGg=0,"NO",('Activity data'!AR17*EF!$H30)*kgtoGg)</f>
        <v>21.623331349391293</v>
      </c>
      <c r="AS30" s="28">
        <f>IF(('Activity data'!AS17*EF!$H30)*kgtoGg=0,"NO",('Activity data'!AS17*EF!$H30)*kgtoGg)</f>
        <v>21.544678924877186</v>
      </c>
      <c r="AT30" s="28">
        <f>IF(('Activity data'!AT17*EF!$H30)*kgtoGg=0,"NO",('Activity data'!AT17*EF!$H30)*kgtoGg)</f>
        <v>21.464621031661018</v>
      </c>
      <c r="AU30" s="28">
        <f>IF(('Activity data'!AU17*EF!$H30)*kgtoGg=0,"NO",('Activity data'!AU17*EF!$H30)*kgtoGg)</f>
        <v>21.384461643152907</v>
      </c>
      <c r="AV30" s="28">
        <f>IF(('Activity data'!AV17*EF!$H30)*kgtoGg=0,"NO",('Activity data'!AV17*EF!$H30)*kgtoGg)</f>
        <v>21.304089298542632</v>
      </c>
      <c r="AW30" s="28">
        <f>IF(('Activity data'!AW17*EF!$H30)*kgtoGg=0,"NO",('Activity data'!AW17*EF!$H30)*kgtoGg)</f>
        <v>21.46602589823809</v>
      </c>
      <c r="AX30" s="28">
        <f>IF(('Activity data'!AX17*EF!$H30)*kgtoGg=0,"NO",('Activity data'!AX17*EF!$H30)*kgtoGg)</f>
        <v>21.549593813300984</v>
      </c>
      <c r="AY30" s="28">
        <f>IF(('Activity data'!AY17*EF!$H30)*kgtoGg=0,"NO",('Activity data'!AY17*EF!$H30)*kgtoGg)</f>
        <v>21.66624571285729</v>
      </c>
      <c r="AZ30" s="28">
        <f>IF(('Activity data'!AZ17*EF!$H30)*kgtoGg=0,"NO",('Activity data'!AZ17*EF!$H30)*kgtoGg)</f>
        <v>21.786156741959317</v>
      </c>
      <c r="BA30" s="28">
        <f>IF(('Activity data'!BA17*EF!$H30)*kgtoGg=0,"NO",('Activity data'!BA17*EF!$H30)*kgtoGg)</f>
        <v>21.906332466151415</v>
      </c>
      <c r="BB30" s="28">
        <f>IF(('Activity data'!BB17*EF!$H30)*kgtoGg=0,"NO",('Activity data'!BB17*EF!$H30)*kgtoGg)</f>
        <v>21.994354713787722</v>
      </c>
      <c r="BC30" s="28">
        <f>IF(('Activity data'!BC17*EF!$H30)*kgtoGg=0,"NO",('Activity data'!BC17*EF!$H30)*kgtoGg)</f>
        <v>22.060829472583066</v>
      </c>
      <c r="BD30" s="28">
        <f>IF(('Activity data'!BD17*EF!$H30)*kgtoGg=0,"NO",('Activity data'!BD17*EF!$H30)*kgtoGg)</f>
        <v>22.084536719567982</v>
      </c>
      <c r="BE30" s="28">
        <f>IF(('Activity data'!BE17*EF!$H30)*kgtoGg=0,"NO",('Activity data'!BE17*EF!$H30)*kgtoGg)</f>
        <v>22.083031407734101</v>
      </c>
      <c r="BF30" s="28">
        <f>IF(('Activity data'!BF17*EF!$H30)*kgtoGg=0,"NO",('Activity data'!BF17*EF!$H30)*kgtoGg)</f>
        <v>22.068282503296668</v>
      </c>
      <c r="BG30" s="28">
        <f>IF(('Activity data'!BG17*EF!$H30)*kgtoGg=0,"NO",('Activity data'!BG17*EF!$H30)*kgtoGg)</f>
        <v>22.18816848571667</v>
      </c>
      <c r="BH30" s="28">
        <f>IF(('Activity data'!BH17*EF!$H30)*kgtoGg=0,"NO",('Activity data'!BH17*EF!$H30)*kgtoGg)</f>
        <v>22.289897929502718</v>
      </c>
      <c r="BI30" s="28">
        <f>IF(('Activity data'!BI17*EF!$H30)*kgtoGg=0,"NO",('Activity data'!BI17*EF!$H30)*kgtoGg)</f>
        <v>22.369283936288834</v>
      </c>
      <c r="BJ30" s="28">
        <f>IF(('Activity data'!BJ17*EF!$H30)*kgtoGg=0,"NO",('Activity data'!BJ17*EF!$H30)*kgtoGg)</f>
        <v>22.427726597408366</v>
      </c>
      <c r="BK30" s="28">
        <f>IF(('Activity data'!BK17*EF!$H30)*kgtoGg=0,"NO",('Activity data'!BK17*EF!$H30)*kgtoGg)</f>
        <v>22.476271800944076</v>
      </c>
      <c r="BL30" s="28">
        <f>IF(('Activity data'!BL17*EF!$H30)*kgtoGg=0,"NO",('Activity data'!BL17*EF!$H30)*kgtoGg)</f>
        <v>22.504235851285699</v>
      </c>
      <c r="BM30" s="28">
        <f>IF(('Activity data'!BM17*EF!$H30)*kgtoGg=0,"NO",('Activity data'!BM17*EF!$H30)*kgtoGg)</f>
        <v>22.508698927147929</v>
      </c>
      <c r="BN30" s="28">
        <f>IF(('Activity data'!BN17*EF!$H30)*kgtoGg=0,"NO",('Activity data'!BN17*EF!$H30)*kgtoGg)</f>
        <v>22.464446598935819</v>
      </c>
      <c r="BO30" s="28">
        <f>IF(('Activity data'!BO17*EF!$H30)*kgtoGg=0,"NO",('Activity data'!BO17*EF!$H30)*kgtoGg)</f>
        <v>22.395517809307261</v>
      </c>
      <c r="BP30" s="28">
        <f>IF(('Activity data'!BP17*EF!$H30)*kgtoGg=0,"NO",('Activity data'!BP17*EF!$H30)*kgtoGg)</f>
        <v>22.30098650255562</v>
      </c>
    </row>
    <row r="31" spans="1:68" x14ac:dyDescent="0.25">
      <c r="A31" t="str">
        <f t="shared" si="1"/>
        <v>3A Livestock</v>
      </c>
      <c r="B31" t="str">
        <f t="shared" si="8"/>
        <v>3A2 Manure management (CH4)</v>
      </c>
      <c r="C31" t="str">
        <f>EF!C31</f>
        <v>3A1h Swine</v>
      </c>
      <c r="D31" t="str">
        <f>EF!D31</f>
        <v>Subsistence</v>
      </c>
      <c r="E31" t="str">
        <f t="shared" si="9"/>
        <v>Manure management Emissions</v>
      </c>
      <c r="F31" t="str">
        <f t="shared" si="6"/>
        <v>CH4</v>
      </c>
      <c r="G31" t="str">
        <f t="shared" si="7"/>
        <v>Gg CH4</v>
      </c>
      <c r="H31" s="28">
        <f>IF(('Activity data'!H18*EF!$H31)*kgtoGg=0,"NO",('Activity data'!H18*EF!$H31)*kgtoGg)</f>
        <v>6.8678348124932898E-2</v>
      </c>
      <c r="I31" s="28">
        <f>IF(('Activity data'!I18*EF!$H31)*kgtoGg=0,"NO",('Activity data'!I18*EF!$H31)*kgtoGg)</f>
        <v>7.5032447262475918E-2</v>
      </c>
      <c r="J31" s="28">
        <f>IF(('Activity data'!J18*EF!$H31)*kgtoGg=0,"NO",('Activity data'!J18*EF!$H31)*kgtoGg)</f>
        <v>7.4536737400681771E-2</v>
      </c>
      <c r="K31" s="28">
        <f>IF(('Activity data'!K18*EF!$H31)*kgtoGg=0,"NO",('Activity data'!K18*EF!$H31)*kgtoGg)</f>
        <v>7.4491672867791403E-2</v>
      </c>
      <c r="L31" s="28">
        <f>IF(('Activity data'!L18*EF!$H31)*kgtoGg=0,"NO",('Activity data'!L18*EF!$H31)*kgtoGg)</f>
        <v>7.0751316637890194E-2</v>
      </c>
      <c r="M31" s="28">
        <f>IF(('Activity data'!M18*EF!$H31)*kgtoGg=0,"NO",('Activity data'!M18*EF!$H31)*kgtoGg)</f>
        <v>7.1427284631245841E-2</v>
      </c>
      <c r="N31" s="28">
        <f>IF(('Activity data'!N18*EF!$H31)*kgtoGg=0,"NO",('Activity data'!N18*EF!$H31)*kgtoGg)</f>
        <v>7.69251576438717E-2</v>
      </c>
      <c r="O31" s="28">
        <f>IF(('Activity data'!O18*EF!$H31)*kgtoGg=0,"NO",('Activity data'!O18*EF!$H31)*kgtoGg)</f>
        <v>7.6564641380748699E-2</v>
      </c>
      <c r="P31" s="28">
        <f>IF(('Activity data'!P18*EF!$H31)*kgtoGg=0,"NO",('Activity data'!P18*EF!$H31)*kgtoGg)</f>
        <v>7.8232029097692599E-2</v>
      </c>
      <c r="Q31" s="28">
        <f>IF(('Activity data'!Q18*EF!$H31)*kgtoGg=0,"NO",('Activity data'!Q18*EF!$H31)*kgtoGg)</f>
        <v>8.0214868544869131E-2</v>
      </c>
      <c r="R31" s="28">
        <f>IF(('Activity data'!R18*EF!$H31)*kgtoGg=0,"NO",('Activity data'!R18*EF!$H31)*kgtoGg)</f>
        <v>7.4221285670449139E-2</v>
      </c>
      <c r="S31" s="28">
        <f>IF(('Activity data'!S18*EF!$H31)*kgtoGg=0,"NO",('Activity data'!S18*EF!$H31)*kgtoGg)</f>
        <v>7.5618286190050801E-2</v>
      </c>
      <c r="T31" s="28">
        <f>IF(('Activity data'!T18*EF!$H31)*kgtoGg=0,"NO",('Activity data'!T18*EF!$H31)*kgtoGg)</f>
        <v>7.7060351242542832E-2</v>
      </c>
      <c r="U31" s="28">
        <f>IF(('Activity data'!U18*EF!$H31)*kgtoGg=0,"NO",('Activity data'!U18*EF!$H31)*kgtoGg)</f>
        <v>7.4942318196695168E-2</v>
      </c>
      <c r="V31" s="28">
        <f>IF(('Activity data'!V18*EF!$H31)*kgtoGg=0,"NO",('Activity data'!V18*EF!$H31)*kgtoGg)</f>
        <v>7.4942318196695168E-2</v>
      </c>
      <c r="W31" s="28">
        <f>IF(('Activity data'!W18*EF!$H31)*kgtoGg=0,"NO",('Activity data'!W18*EF!$H31)*kgtoGg)</f>
        <v>7.4401543802010653E-2</v>
      </c>
      <c r="X31" s="28">
        <f>IF(('Activity data'!X18*EF!$H31)*kgtoGg=0,"NO",('Activity data'!X18*EF!$H31)*kgtoGg)</f>
        <v>7.309467234818974E-2</v>
      </c>
      <c r="Y31" s="28">
        <f>IF(('Activity data'!Y18*EF!$H31)*kgtoGg=0,"NO",('Activity data'!Y18*EF!$H31)*kgtoGg)</f>
        <v>7.4401543802010653E-2</v>
      </c>
      <c r="Z31" s="28">
        <f>IF(('Activity data'!Z18*EF!$H31)*kgtoGg=0,"NO",('Activity data'!Z18*EF!$H31)*kgtoGg)</f>
        <v>7.2779220617957122E-2</v>
      </c>
      <c r="AA31" s="28">
        <f>IF(('Activity data'!AA18*EF!$H31)*kgtoGg=0,"NO",('Activity data'!AA18*EF!$H31)*kgtoGg)</f>
        <v>7.2689091552176358E-2</v>
      </c>
      <c r="AB31" s="28">
        <f>IF(('Activity data'!AB18*EF!$H31)*kgtoGg=0,"NO",('Activity data'!AB18*EF!$H31)*kgtoGg)</f>
        <v>7.1832865427259224E-2</v>
      </c>
      <c r="AC31" s="28">
        <f>IF(('Activity data'!AC18*EF!$H31)*kgtoGg=0,"NO",('Activity data'!AC18*EF!$H31)*kgtoGg)</f>
        <v>7.1382220098355459E-2</v>
      </c>
      <c r="AD31" s="28">
        <f>IF(('Activity data'!AD18*EF!$H31)*kgtoGg=0,"NO",('Activity data'!AD18*EF!$H31)*kgtoGg)</f>
        <v>7.0864859084470516E-2</v>
      </c>
      <c r="AE31" s="28">
        <f>IF(('Activity data'!AE18*EF!$H31)*kgtoGg=0,"NO",('Activity data'!AE18*EF!$H31)*kgtoGg)</f>
        <v>7.0577464532781631E-2</v>
      </c>
      <c r="AF31" s="28">
        <f>IF(('Activity data'!AF18*EF!$H31)*kgtoGg=0,"NO",('Activity data'!AF18*EF!$H31)*kgtoGg)</f>
        <v>7.0371376873005487E-2</v>
      </c>
      <c r="AG31" s="28">
        <f>IF(('Activity data'!AG18*EF!$H31)*kgtoGg=0,"NO",('Activity data'!AG18*EF!$H31)*kgtoGg)</f>
        <v>7.0244594809545285E-2</v>
      </c>
      <c r="AH31" s="28">
        <f>IF(('Activity data'!AH18*EF!$H31)*kgtoGg=0,"NO",('Activity data'!AH18*EF!$H31)*kgtoGg)</f>
        <v>7.0182575197391975E-2</v>
      </c>
      <c r="AI31" s="28">
        <f>IF(('Activity data'!AI18*EF!$H31)*kgtoGg=0,"NO",('Activity data'!AI18*EF!$H31)*kgtoGg)</f>
        <v>7.006966001771682E-2</v>
      </c>
      <c r="AJ31" s="28">
        <f>IF(('Activity data'!AJ18*EF!$H31)*kgtoGg=0,"NO",('Activity data'!AJ18*EF!$H31)*kgtoGg)</f>
        <v>6.9978638711691174E-2</v>
      </c>
      <c r="AK31" s="28">
        <f>IF(('Activity data'!AK18*EF!$H31)*kgtoGg=0,"NO",('Activity data'!AK18*EF!$H31)*kgtoGg)</f>
        <v>6.990760725326256E-2</v>
      </c>
      <c r="AL31" s="28">
        <f>IF(('Activity data'!AL18*EF!$H31)*kgtoGg=0,"NO",('Activity data'!AL18*EF!$H31)*kgtoGg)</f>
        <v>7.1010486931930017E-2</v>
      </c>
      <c r="AM31" s="28">
        <f>IF(('Activity data'!AM18*EF!$H31)*kgtoGg=0,"NO",('Activity data'!AM18*EF!$H31)*kgtoGg)</f>
        <v>7.0742898017301992E-2</v>
      </c>
      <c r="AN31" s="28">
        <f>IF(('Activity data'!AN18*EF!$H31)*kgtoGg=0,"NO",('Activity data'!AN18*EF!$H31)*kgtoGg)</f>
        <v>7.0497204119078144E-2</v>
      </c>
      <c r="AO31" s="28">
        <f>IF(('Activity data'!AO18*EF!$H31)*kgtoGg=0,"NO",('Activity data'!AO18*EF!$H31)*kgtoGg)</f>
        <v>7.0256924188610029E-2</v>
      </c>
      <c r="AP31" s="28">
        <f>IF(('Activity data'!AP18*EF!$H31)*kgtoGg=0,"NO",('Activity data'!AP18*EF!$H31)*kgtoGg)</f>
        <v>7.0034182155085681E-2</v>
      </c>
      <c r="AQ31" s="28">
        <f>IF(('Activity data'!AQ18*EF!$H31)*kgtoGg=0,"NO",('Activity data'!AQ18*EF!$H31)*kgtoGg)</f>
        <v>6.9806998204783671E-2</v>
      </c>
      <c r="AR31" s="28">
        <f>IF(('Activity data'!AR18*EF!$H31)*kgtoGg=0,"NO",('Activity data'!AR18*EF!$H31)*kgtoGg)</f>
        <v>6.9541796297819841E-2</v>
      </c>
      <c r="AS31" s="28">
        <f>IF(('Activity data'!AS18*EF!$H31)*kgtoGg=0,"NO",('Activity data'!AS18*EF!$H31)*kgtoGg)</f>
        <v>6.9288845871471966E-2</v>
      </c>
      <c r="AT31" s="28">
        <f>IF(('Activity data'!AT18*EF!$H31)*kgtoGg=0,"NO",('Activity data'!AT18*EF!$H31)*kgtoGg)</f>
        <v>6.9031375382206772E-2</v>
      </c>
      <c r="AU31" s="28">
        <f>IF(('Activity data'!AU18*EF!$H31)*kgtoGg=0,"NO",('Activity data'!AU18*EF!$H31)*kgtoGg)</f>
        <v>6.8773578478625336E-2</v>
      </c>
      <c r="AV31" s="28">
        <f>IF(('Activity data'!AV18*EF!$H31)*kgtoGg=0,"NO",('Activity data'!AV18*EF!$H31)*kgtoGg)</f>
        <v>6.8515096696768751E-2</v>
      </c>
      <c r="AW31" s="28">
        <f>IF(('Activity data'!AW18*EF!$H31)*kgtoGg=0,"NO",('Activity data'!AW18*EF!$H31)*kgtoGg)</f>
        <v>6.9035893508657784E-2</v>
      </c>
      <c r="AX31" s="28">
        <f>IF(('Activity data'!AX18*EF!$H31)*kgtoGg=0,"NO",('Activity data'!AX18*EF!$H31)*kgtoGg)</f>
        <v>6.9304652416914567E-2</v>
      </c>
      <c r="AY31" s="28">
        <f>IF(('Activity data'!AY18*EF!$H31)*kgtoGg=0,"NO",('Activity data'!AY18*EF!$H31)*kgtoGg)</f>
        <v>6.9679811198215244E-2</v>
      </c>
      <c r="AZ31" s="28">
        <f>IF(('Activity data'!AZ18*EF!$H31)*kgtoGg=0,"NO",('Activity data'!AZ18*EF!$H31)*kgtoGg)</f>
        <v>7.0065451515377103E-2</v>
      </c>
      <c r="BA31" s="28">
        <f>IF(('Activity data'!BA18*EF!$H31)*kgtoGg=0,"NO",('Activity data'!BA18*EF!$H31)*kgtoGg)</f>
        <v>7.0451943106181178E-2</v>
      </c>
      <c r="BB31" s="28">
        <f>IF(('Activity data'!BB18*EF!$H31)*kgtoGg=0,"NO",('Activity data'!BB18*EF!$H31)*kgtoGg)</f>
        <v>7.07350273875018E-2</v>
      </c>
      <c r="BC31" s="28">
        <f>IF(('Activity data'!BC18*EF!$H31)*kgtoGg=0,"NO",('Activity data'!BC18*EF!$H31)*kgtoGg)</f>
        <v>7.0948813786109746E-2</v>
      </c>
      <c r="BD31" s="28">
        <f>IF(('Activity data'!BD18*EF!$H31)*kgtoGg=0,"NO",('Activity data'!BD18*EF!$H31)*kgtoGg)</f>
        <v>7.1025057567142766E-2</v>
      </c>
      <c r="BE31" s="28">
        <f>IF(('Activity data'!BE18*EF!$H31)*kgtoGg=0,"NO",('Activity data'!BE18*EF!$H31)*kgtoGg)</f>
        <v>7.1020216403344966E-2</v>
      </c>
      <c r="BF31" s="28">
        <f>IF(('Activity data'!BF18*EF!$H31)*kgtoGg=0,"NO",('Activity data'!BF18*EF!$H31)*kgtoGg)</f>
        <v>7.0972783133631284E-2</v>
      </c>
      <c r="BG31" s="28">
        <f>IF(('Activity data'!BG18*EF!$H31)*kgtoGg=0,"NO",('Activity data'!BG18*EF!$H31)*kgtoGg)</f>
        <v>7.1358342899316987E-2</v>
      </c>
      <c r="BH31" s="28">
        <f>IF(('Activity data'!BH18*EF!$H31)*kgtoGg=0,"NO",('Activity data'!BH18*EF!$H31)*kgtoGg)</f>
        <v>7.1685510260485821E-2</v>
      </c>
      <c r="BI31" s="28">
        <f>IF(('Activity data'!BI18*EF!$H31)*kgtoGg=0,"NO",('Activity data'!BI18*EF!$H31)*kgtoGg)</f>
        <v>7.1940819926864907E-2</v>
      </c>
      <c r="BJ31" s="28">
        <f>IF(('Activity data'!BJ18*EF!$H31)*kgtoGg=0,"NO",('Activity data'!BJ18*EF!$H31)*kgtoGg)</f>
        <v>7.2128774667464646E-2</v>
      </c>
      <c r="BK31" s="28">
        <f>IF(('Activity data'!BK18*EF!$H31)*kgtoGg=0,"NO",('Activity data'!BK18*EF!$H31)*kgtoGg)</f>
        <v>7.2284898652292331E-2</v>
      </c>
      <c r="BL31" s="28">
        <f>IF(('Activity data'!BL18*EF!$H31)*kgtoGg=0,"NO",('Activity data'!BL18*EF!$H31)*kgtoGg)</f>
        <v>7.2374832541807183E-2</v>
      </c>
      <c r="BM31" s="28">
        <f>IF(('Activity data'!BM18*EF!$H31)*kgtoGg=0,"NO",('Activity data'!BM18*EF!$H31)*kgtoGg)</f>
        <v>7.2389186033757963E-2</v>
      </c>
      <c r="BN31" s="28">
        <f>IF(('Activity data'!BN18*EF!$H31)*kgtoGg=0,"NO",('Activity data'!BN18*EF!$H31)*kgtoGg)</f>
        <v>7.2246868166797235E-2</v>
      </c>
      <c r="BO31" s="28">
        <f>IF(('Activity data'!BO18*EF!$H31)*kgtoGg=0,"NO",('Activity data'!BO18*EF!$H31)*kgtoGg)</f>
        <v>7.2025189473077386E-2</v>
      </c>
      <c r="BP31" s="28">
        <f>IF(('Activity data'!BP18*EF!$H31)*kgtoGg=0,"NO",('Activity data'!BP18*EF!$H31)*kgtoGg)</f>
        <v>7.1721171707652243E-2</v>
      </c>
    </row>
    <row r="32" spans="1:68" x14ac:dyDescent="0.25">
      <c r="A32" t="str">
        <f t="shared" si="1"/>
        <v>3A Livestock</v>
      </c>
      <c r="B32" t="str">
        <f t="shared" si="8"/>
        <v>3A2 Manure management (CH4)</v>
      </c>
      <c r="C32" t="str">
        <f>EF!C32</f>
        <v>3A2i Poultry</v>
      </c>
      <c r="D32" t="str">
        <f>EF!D32</f>
        <v>Commercial layers</v>
      </c>
      <c r="E32" t="str">
        <f t="shared" si="9"/>
        <v>Manure management Emissions</v>
      </c>
      <c r="F32" t="str">
        <f t="shared" si="6"/>
        <v>CH4</v>
      </c>
      <c r="G32" t="str">
        <f t="shared" si="7"/>
        <v>Gg CH4</v>
      </c>
      <c r="H32" s="28">
        <f>IF(('Activity data'!H19*EF!$H32)*kgtoGg=0,"NO",('Activity data'!H19*EF!$H32)*kgtoGg)</f>
        <v>0.34412636088479531</v>
      </c>
      <c r="I32" s="28">
        <f>IF(('Activity data'!I19*EF!$H32)*kgtoGg=0,"NO",('Activity data'!I19*EF!$H32)*kgtoGg)</f>
        <v>0.33431360408971139</v>
      </c>
      <c r="J32" s="28">
        <f>IF(('Activity data'!J19*EF!$H32)*kgtoGg=0,"NO",('Activity data'!J19*EF!$H32)*kgtoGg)</f>
        <v>0.31707319838740716</v>
      </c>
      <c r="K32" s="28">
        <f>IF(('Activity data'!K19*EF!$H32)*kgtoGg=0,"NO",('Activity data'!K19*EF!$H32)*kgtoGg)</f>
        <v>0.31208778044270324</v>
      </c>
      <c r="L32" s="28">
        <f>IF(('Activity data'!L19*EF!$H32)*kgtoGg=0,"NO",('Activity data'!L19*EF!$H32)*kgtoGg)</f>
        <v>0.29851308566472284</v>
      </c>
      <c r="M32" s="28">
        <f>IF(('Activity data'!M19*EF!$H32)*kgtoGg=0,"NO",('Activity data'!M19*EF!$H32)*kgtoGg)</f>
        <v>0.32571493051505118</v>
      </c>
      <c r="N32" s="28">
        <f>IF(('Activity data'!N19*EF!$H32)*kgtoGg=0,"NO",('Activity data'!N19*EF!$H32)*kgtoGg)</f>
        <v>0.34405437172586711</v>
      </c>
      <c r="O32" s="28">
        <f>IF(('Activity data'!O19*EF!$H32)*kgtoGg=0,"NO",('Activity data'!O19*EF!$H32)*kgtoGg)</f>
        <v>0.34518574950517145</v>
      </c>
      <c r="P32" s="28">
        <f>IF(('Activity data'!P19*EF!$H32)*kgtoGg=0,"NO",('Activity data'!P19*EF!$H32)*kgtoGg)</f>
        <v>0.38865002667416459</v>
      </c>
      <c r="Q32" s="28">
        <f>IF(('Activity data'!Q19*EF!$H32)*kgtoGg=0,"NO",('Activity data'!Q19*EF!$H32)*kgtoGg)</f>
        <v>0.41667182927837593</v>
      </c>
      <c r="R32" s="28">
        <f>IF(('Activity data'!R19*EF!$H32)*kgtoGg=0,"NO",('Activity data'!R19*EF!$H32)*kgtoGg)</f>
        <v>0.40784322178977589</v>
      </c>
      <c r="S32" s="28">
        <f>IF(('Activity data'!S19*EF!$H32)*kgtoGg=0,"NO",('Activity data'!S19*EF!$H32)*kgtoGg)</f>
        <v>0.41872302408484074</v>
      </c>
      <c r="T32" s="28">
        <f>IF(('Activity data'!T19*EF!$H32)*kgtoGg=0,"NO",('Activity data'!T19*EF!$H32)*kgtoGg)</f>
        <v>0.41543664927468582</v>
      </c>
      <c r="U32" s="28">
        <f>IF(('Activity data'!U19*EF!$H32)*kgtoGg=0,"NO",('Activity data'!U19*EF!$H32)*kgtoGg)</f>
        <v>0.39885137894995365</v>
      </c>
      <c r="V32" s="28">
        <f>IF(('Activity data'!V19*EF!$H32)*kgtoGg=0,"NO",('Activity data'!V19*EF!$H32)*kgtoGg)</f>
        <v>0.41331414342789019</v>
      </c>
      <c r="W32" s="28">
        <f>IF(('Activity data'!W19*EF!$H32)*kgtoGg=0,"NO",('Activity data'!W19*EF!$H32)*kgtoGg)</f>
        <v>0.43823720309168573</v>
      </c>
      <c r="X32" s="28">
        <f>IF(('Activity data'!X19*EF!$H32)*kgtoGg=0,"NO",('Activity data'!X19*EF!$H32)*kgtoGg)</f>
        <v>0.48364625743591194</v>
      </c>
      <c r="Y32" s="28">
        <f>IF(('Activity data'!Y19*EF!$H32)*kgtoGg=0,"NO",('Activity data'!Y19*EF!$H32)*kgtoGg)</f>
        <v>0.53523791894516948</v>
      </c>
      <c r="Z32" s="28">
        <f>IF(('Activity data'!Z19*EF!$H32)*kgtoGg=0,"NO",('Activity data'!Z19*EF!$H32)*kgtoGg)</f>
        <v>0.54228693678826778</v>
      </c>
      <c r="AA32" s="28">
        <f>IF(('Activity data'!AA19*EF!$H32)*kgtoGg=0,"NO",('Activity data'!AA19*EF!$H32)*kgtoGg)</f>
        <v>0.52229475326298369</v>
      </c>
      <c r="AB32" s="28">
        <f>IF(('Activity data'!AB19*EF!$H32)*kgtoGg=0,"NO",('Activity data'!AB19*EF!$H32)*kgtoGg)</f>
        <v>0.5426399385673164</v>
      </c>
      <c r="AC32" s="28">
        <f>IF(('Activity data'!AC19*EF!$H32)*kgtoGg=0,"NO",('Activity data'!AC19*EF!$H32)*kgtoGg)</f>
        <v>0.56768674314562217</v>
      </c>
      <c r="AD32" s="28">
        <f>IF(('Activity data'!AD19*EF!$H32)*kgtoGg=0,"NO",('Activity data'!AD19*EF!$H32)*kgtoGg)</f>
        <v>0.5712952563792234</v>
      </c>
      <c r="AE32" s="28">
        <f>IF(('Activity data'!AE19*EF!$H32)*kgtoGg=0,"NO",('Activity data'!AE19*EF!$H32)*kgtoGg)</f>
        <v>0.58439353851460674</v>
      </c>
      <c r="AF32" s="28">
        <f>IF(('Activity data'!AF19*EF!$H32)*kgtoGg=0,"NO",('Activity data'!AF19*EF!$H32)*kgtoGg)</f>
        <v>0.59471826503294689</v>
      </c>
      <c r="AG32" s="28">
        <f>IF(('Activity data'!AG19*EF!$H32)*kgtoGg=0,"NO",('Activity data'!AG19*EF!$H32)*kgtoGg)</f>
        <v>0.60214705356631681</v>
      </c>
      <c r="AH32" s="28">
        <f>IF(('Activity data'!AH19*EF!$H32)*kgtoGg=0,"NO",('Activity data'!AH19*EF!$H32)*kgtoGg)</f>
        <v>0.60732959866314806</v>
      </c>
      <c r="AI32" s="28">
        <f>IF(('Activity data'!AI19*EF!$H32)*kgtoGg=0,"NO",('Activity data'!AI19*EF!$H32)*kgtoGg)</f>
        <v>0.61453751620669161</v>
      </c>
      <c r="AJ32" s="28">
        <f>IF(('Activity data'!AJ19*EF!$H32)*kgtoGg=0,"NO",('Activity data'!AJ19*EF!$H32)*kgtoGg)</f>
        <v>0.62092352159515918</v>
      </c>
      <c r="AK32" s="28">
        <f>IF(('Activity data'!AK19*EF!$H32)*kgtoGg=0,"NO",('Activity data'!AK19*EF!$H32)*kgtoGg)</f>
        <v>0.6265390865271806</v>
      </c>
      <c r="AL32" s="28">
        <f>IF(('Activity data'!AL19*EF!$H32)*kgtoGg=0,"NO",('Activity data'!AL19*EF!$H32)*kgtoGg)</f>
        <v>0.58741413086951444</v>
      </c>
      <c r="AM32" s="28">
        <f>IF(('Activity data'!AM19*EF!$H32)*kgtoGg=0,"NO",('Activity data'!AM19*EF!$H32)*kgtoGg)</f>
        <v>0.59992863577191535</v>
      </c>
      <c r="AN32" s="28">
        <f>IF(('Activity data'!AN19*EF!$H32)*kgtoGg=0,"NO",('Activity data'!AN19*EF!$H32)*kgtoGg)</f>
        <v>0.61189816779510608</v>
      </c>
      <c r="AO32" s="28">
        <f>IF(('Activity data'!AO19*EF!$H32)*kgtoGg=0,"NO",('Activity data'!AO19*EF!$H32)*kgtoGg)</f>
        <v>0.62390321493890133</v>
      </c>
      <c r="AP32" s="28">
        <f>IF(('Activity data'!AP19*EF!$H32)*kgtoGg=0,"NO",('Activity data'!AP19*EF!$H32)*kgtoGg)</f>
        <v>0.63545177321676949</v>
      </c>
      <c r="AQ32" s="28">
        <f>IF(('Activity data'!AQ19*EF!$H32)*kgtoGg=0,"NO",('Activity data'!AQ19*EF!$H32)*kgtoGg)</f>
        <v>0.64739334011416938</v>
      </c>
      <c r="AR32" s="28">
        <f>IF(('Activity data'!AR19*EF!$H32)*kgtoGg=0,"NO",('Activity data'!AR19*EF!$H32)*kgtoGg)</f>
        <v>0.66138448132882988</v>
      </c>
      <c r="AS32" s="28">
        <f>IF(('Activity data'!AS19*EF!$H32)*kgtoGg=0,"NO",('Activity data'!AS19*EF!$H32)*kgtoGg)</f>
        <v>0.67516494330333643</v>
      </c>
      <c r="AT32" s="28">
        <f>IF(('Activity data'!AT19*EF!$H32)*kgtoGg=0,"NO",('Activity data'!AT19*EF!$H32)*kgtoGg)</f>
        <v>0.6894419244202451</v>
      </c>
      <c r="AU32" s="28">
        <f>IF(('Activity data'!AU19*EF!$H32)*kgtoGg=0,"NO",('Activity data'!AU19*EF!$H32)*kgtoGg)</f>
        <v>0.70404957156846781</v>
      </c>
      <c r="AV32" s="28">
        <f>IF(('Activity data'!AV19*EF!$H32)*kgtoGg=0,"NO",('Activity data'!AV19*EF!$H32)*kgtoGg)</f>
        <v>0.71901478501354288</v>
      </c>
      <c r="AW32" s="28">
        <f>IF(('Activity data'!AW19*EF!$H32)*kgtoGg=0,"NO",('Activity data'!AW19*EF!$H32)*kgtoGg)</f>
        <v>0.73647822170914001</v>
      </c>
      <c r="AX32" s="28">
        <f>IF(('Activity data'!AX19*EF!$H32)*kgtoGg=0,"NO",('Activity data'!AX19*EF!$H32)*kgtoGg)</f>
        <v>0.75302218596472725</v>
      </c>
      <c r="AY32" s="28">
        <f>IF(('Activity data'!AY19*EF!$H32)*kgtoGg=0,"NO",('Activity data'!AY19*EF!$H32)*kgtoGg)</f>
        <v>0.7710311764693194</v>
      </c>
      <c r="AZ32" s="28">
        <f>IF(('Activity data'!AZ19*EF!$H32)*kgtoGg=0,"NO",('Activity data'!AZ19*EF!$H32)*kgtoGg)</f>
        <v>0.78995088380780765</v>
      </c>
      <c r="BA32" s="28">
        <f>IF(('Activity data'!BA19*EF!$H32)*kgtoGg=0,"NO",('Activity data'!BA19*EF!$H32)*kgtoGg)</f>
        <v>0.8097894628861726</v>
      </c>
      <c r="BB32" s="28">
        <f>IF(('Activity data'!BB19*EF!$H32)*kgtoGg=0,"NO",('Activity data'!BB19*EF!$H32)*kgtoGg)</f>
        <v>0.82996495022587047</v>
      </c>
      <c r="BC32" s="28">
        <f>IF(('Activity data'!BC19*EF!$H32)*kgtoGg=0,"NO",('Activity data'!BC19*EF!$H32)*kgtoGg)</f>
        <v>0.85064447857753389</v>
      </c>
      <c r="BD32" s="28">
        <f>IF(('Activity data'!BD19*EF!$H32)*kgtoGg=0,"NO",('Activity data'!BD19*EF!$H32)*kgtoGg)</f>
        <v>0.87133399453706006</v>
      </c>
      <c r="BE32" s="28">
        <f>IF(('Activity data'!BE19*EF!$H32)*kgtoGg=0,"NO",('Activity data'!BE19*EF!$H32)*kgtoGg)</f>
        <v>0.89249667053931658</v>
      </c>
      <c r="BF32" s="28">
        <f>IF(('Activity data'!BF19*EF!$H32)*kgtoGg=0,"NO",('Activity data'!BF19*EF!$H32)*kgtoGg)</f>
        <v>0.91450540052950224</v>
      </c>
      <c r="BG32" s="28">
        <f>IF(('Activity data'!BG19*EF!$H32)*kgtoGg=0,"NO",('Activity data'!BG19*EF!$H32)*kgtoGg)</f>
        <v>0.93737078636792703</v>
      </c>
      <c r="BH32" s="28">
        <f>IF(('Activity data'!BH19*EF!$H32)*kgtoGg=0,"NO",('Activity data'!BH19*EF!$H32)*kgtoGg)</f>
        <v>0.96077906257875612</v>
      </c>
      <c r="BI32" s="28">
        <f>IF(('Activity data'!BI19*EF!$H32)*kgtoGg=0,"NO",('Activity data'!BI19*EF!$H32)*kgtoGg)</f>
        <v>0.98465263523340329</v>
      </c>
      <c r="BJ32" s="28">
        <f>IF(('Activity data'!BJ19*EF!$H32)*kgtoGg=0,"NO",('Activity data'!BJ19*EF!$H32)*kgtoGg)</f>
        <v>1.0090745511017429</v>
      </c>
      <c r="BK32" s="28">
        <f>IF(('Activity data'!BK19*EF!$H32)*kgtoGg=0,"NO",('Activity data'!BK19*EF!$H32)*kgtoGg)</f>
        <v>1.0344394521930402</v>
      </c>
      <c r="BL32" s="28">
        <f>IF(('Activity data'!BL19*EF!$H32)*kgtoGg=0,"NO",('Activity data'!BL19*EF!$H32)*kgtoGg)</f>
        <v>1.0603672906642176</v>
      </c>
      <c r="BM32" s="28">
        <f>IF(('Activity data'!BM19*EF!$H32)*kgtoGg=0,"NO",('Activity data'!BM19*EF!$H32)*kgtoGg)</f>
        <v>1.0869492173039961</v>
      </c>
      <c r="BN32" s="28">
        <f>IF(('Activity data'!BN19*EF!$H32)*kgtoGg=0,"NO",('Activity data'!BN19*EF!$H32)*kgtoGg)</f>
        <v>1.113383427713734</v>
      </c>
      <c r="BO32" s="28">
        <f>IF(('Activity data'!BO19*EF!$H32)*kgtoGg=0,"NO",('Activity data'!BO19*EF!$H32)*kgtoGg)</f>
        <v>1.1405088070383287</v>
      </c>
      <c r="BP32" s="28">
        <f>IF(('Activity data'!BP19*EF!$H32)*kgtoGg=0,"NO",('Activity data'!BP19*EF!$H32)*kgtoGg)</f>
        <v>1.1683642124011095</v>
      </c>
    </row>
    <row r="33" spans="1:68" x14ac:dyDescent="0.25">
      <c r="A33" t="str">
        <f t="shared" si="1"/>
        <v>3A Livestock</v>
      </c>
      <c r="B33" t="str">
        <f t="shared" si="8"/>
        <v>3A2 Manure management (CH4)</v>
      </c>
      <c r="C33" t="str">
        <f>EF!C33</f>
        <v>3A2i Poultry</v>
      </c>
      <c r="D33" t="str">
        <f>EF!D33</f>
        <v>Commercial broilers</v>
      </c>
      <c r="E33" t="str">
        <f t="shared" si="9"/>
        <v>Manure management Emissions</v>
      </c>
      <c r="F33" t="str">
        <f t="shared" si="6"/>
        <v>CH4</v>
      </c>
      <c r="G33" t="str">
        <f t="shared" si="7"/>
        <v>Gg CH4</v>
      </c>
      <c r="H33" s="28">
        <f>IF(('Activity data'!H20*EF!$H33)*kgtoGg=0,"NO",('Activity data'!H20*EF!$H33)*kgtoGg)</f>
        <v>0.94715547095572861</v>
      </c>
      <c r="I33" s="28">
        <f>IF(('Activity data'!I20*EF!$H33)*kgtoGg=0,"NO",('Activity data'!I20*EF!$H33)*kgtoGg)</f>
        <v>0.89032614384752706</v>
      </c>
      <c r="J33" s="28">
        <f>IF(('Activity data'!J20*EF!$H33)*kgtoGg=0,"NO",('Activity data'!J20*EF!$H33)*kgtoGg)</f>
        <v>0.84142189535323741</v>
      </c>
      <c r="K33" s="28">
        <f>IF(('Activity data'!K20*EF!$H33)*kgtoGg=0,"NO",('Activity data'!K20*EF!$H33)*kgtoGg)</f>
        <v>0.94630052317004854</v>
      </c>
      <c r="L33" s="28">
        <f>IF(('Activity data'!L20*EF!$H33)*kgtoGg=0,"NO",('Activity data'!L20*EF!$H33)*kgtoGg)</f>
        <v>0.93742541753662223</v>
      </c>
      <c r="M33" s="28">
        <f>IF(('Activity data'!M20*EF!$H33)*kgtoGg=0,"NO",('Activity data'!M20*EF!$H33)*kgtoGg)</f>
        <v>1.0730204292114462</v>
      </c>
      <c r="N33" s="28">
        <f>IF(('Activity data'!N20*EF!$H33)*kgtoGg=0,"NO",('Activity data'!N20*EF!$H33)*kgtoGg)</f>
        <v>1.247646180709717</v>
      </c>
      <c r="O33" s="28">
        <f>IF(('Activity data'!O20*EF!$H33)*kgtoGg=0,"NO",('Activity data'!O20*EF!$H33)*kgtoGg)</f>
        <v>1.2699611966563922</v>
      </c>
      <c r="P33" s="28">
        <f>IF(('Activity data'!P20*EF!$H33)*kgtoGg=0,"NO",('Activity data'!P20*EF!$H33)*kgtoGg)</f>
        <v>1.3915382753930494</v>
      </c>
      <c r="Q33" s="28">
        <f>IF(('Activity data'!Q20*EF!$H33)*kgtoGg=0,"NO",('Activity data'!Q20*EF!$H33)*kgtoGg)</f>
        <v>1.452750350288103</v>
      </c>
      <c r="R33" s="28">
        <f>IF(('Activity data'!R20*EF!$H33)*kgtoGg=0,"NO",('Activity data'!R20*EF!$H33)*kgtoGg)</f>
        <v>1.5630523253351984</v>
      </c>
      <c r="S33" s="28">
        <f>IF(('Activity data'!S20*EF!$H33)*kgtoGg=0,"NO",('Activity data'!S20*EF!$H33)*kgtoGg)</f>
        <v>1.5092912592701446</v>
      </c>
      <c r="T33" s="28">
        <f>IF(('Activity data'!T20*EF!$H33)*kgtoGg=0,"NO",('Activity data'!T20*EF!$H33)*kgtoGg)</f>
        <v>1.6727842751343183</v>
      </c>
      <c r="U33" s="28">
        <f>IF(('Activity data'!U20*EF!$H33)*kgtoGg=0,"NO",('Activity data'!U20*EF!$H33)*kgtoGg)</f>
        <v>1.5910703727417843</v>
      </c>
      <c r="V33" s="28">
        <f>IF(('Activity data'!V20*EF!$H33)*kgtoGg=0,"NO",('Activity data'!V20*EF!$H33)*kgtoGg)</f>
        <v>1.6294801995139723</v>
      </c>
      <c r="W33" s="28">
        <f>IF(('Activity data'!W20*EF!$H33)*kgtoGg=0,"NO",('Activity data'!W20*EF!$H33)*kgtoGg)</f>
        <v>1.8029786139907802</v>
      </c>
      <c r="X33" s="28">
        <f>IF(('Activity data'!X20*EF!$H33)*kgtoGg=0,"NO",('Activity data'!X20*EF!$H33)*kgtoGg)</f>
        <v>1.9284541402191151</v>
      </c>
      <c r="Y33" s="28">
        <f>IF(('Activity data'!Y20*EF!$H33)*kgtoGg=0,"NO",('Activity data'!Y20*EF!$H33)*kgtoGg)</f>
        <v>2.0176916356111869</v>
      </c>
      <c r="Z33" s="28">
        <f>IF(('Activity data'!Z20*EF!$H33)*kgtoGg=0,"NO",('Activity data'!Z20*EF!$H33)*kgtoGg)</f>
        <v>2.1482937300650229</v>
      </c>
      <c r="AA33" s="28">
        <f>IF(('Activity data'!AA20*EF!$H33)*kgtoGg=0,"NO",('Activity data'!AA20*EF!$H33)*kgtoGg)</f>
        <v>2.0271503211350299</v>
      </c>
      <c r="AB33" s="28">
        <f>IF(('Activity data'!AB20*EF!$H33)*kgtoGg=0,"NO",('Activity data'!AB20*EF!$H33)*kgtoGg)</f>
        <v>2.078134768114972</v>
      </c>
      <c r="AC33" s="28">
        <f>IF(('Activity data'!AC20*EF!$H33)*kgtoGg=0,"NO",('Activity data'!AC20*EF!$H33)*kgtoGg)</f>
        <v>2.1493361757027292</v>
      </c>
      <c r="AD33" s="28">
        <f>IF(('Activity data'!AD20*EF!$H33)*kgtoGg=0,"NO",('Activity data'!AD20*EF!$H33)*kgtoGg)</f>
        <v>2.1215249538641965</v>
      </c>
      <c r="AE33" s="28">
        <f>IF(('Activity data'!AE20*EF!$H33)*kgtoGg=0,"NO",('Activity data'!AE20*EF!$H33)*kgtoGg)</f>
        <v>2.1587824100749504</v>
      </c>
      <c r="AF33" s="28">
        <f>IF(('Activity data'!AF20*EF!$H33)*kgtoGg=0,"NO",('Activity data'!AF20*EF!$H33)*kgtoGg)</f>
        <v>2.1860930204104756</v>
      </c>
      <c r="AG33" s="28">
        <f>IF(('Activity data'!AG20*EF!$H33)*kgtoGg=0,"NO",('Activity data'!AG20*EF!$H33)*kgtoGg)</f>
        <v>2.2030208483432103</v>
      </c>
      <c r="AH33" s="28">
        <f>IF(('Activity data'!AH20*EF!$H33)*kgtoGg=0,"NO",('Activity data'!AH20*EF!$H33)*kgtoGg)</f>
        <v>2.2111087046412505</v>
      </c>
      <c r="AI33" s="28">
        <f>IF(('Activity data'!AI20*EF!$H33)*kgtoGg=0,"NO",('Activity data'!AI20*EF!$H33)*kgtoGg)</f>
        <v>2.2263983941784939</v>
      </c>
      <c r="AJ33" s="28">
        <f>IF(('Activity data'!AJ20*EF!$H33)*kgtoGg=0,"NO",('Activity data'!AJ20*EF!$H33)*kgtoGg)</f>
        <v>2.2387655228367529</v>
      </c>
      <c r="AK33" s="28">
        <f>IF(('Activity data'!AK20*EF!$H33)*kgtoGg=0,"NO",('Activity data'!AK20*EF!$H33)*kgtoGg)</f>
        <v>2.248393114035093</v>
      </c>
      <c r="AL33" s="28">
        <f>IF(('Activity data'!AL20*EF!$H33)*kgtoGg=0,"NO",('Activity data'!AL20*EF!$H33)*kgtoGg)</f>
        <v>2.0989320552199331</v>
      </c>
      <c r="AM33" s="28">
        <f>IF(('Activity data'!AM20*EF!$H33)*kgtoGg=0,"NO",('Activity data'!AM20*EF!$H33)*kgtoGg)</f>
        <v>2.1329502350717395</v>
      </c>
      <c r="AN33" s="28">
        <f>IF(('Activity data'!AN20*EF!$H33)*kgtoGg=0,"NO",('Activity data'!AN20*EF!$H33)*kgtoGg)</f>
        <v>2.1650305968148276</v>
      </c>
      <c r="AO33" s="28">
        <f>IF(('Activity data'!AO20*EF!$H33)*kgtoGg=0,"NO",('Activity data'!AO20*EF!$H33)*kgtoGg)</f>
        <v>2.1972372434673813</v>
      </c>
      <c r="AP33" s="28">
        <f>IF(('Activity data'!AP20*EF!$H33)*kgtoGg=0,"NO",('Activity data'!AP20*EF!$H33)*kgtoGg)</f>
        <v>2.2278207038791598</v>
      </c>
      <c r="AQ33" s="28">
        <f>IF(('Activity data'!AQ20*EF!$H33)*kgtoGg=0,"NO",('Activity data'!AQ20*EF!$H33)*kgtoGg)</f>
        <v>2.2598016268426715</v>
      </c>
      <c r="AR33" s="28">
        <f>IF(('Activity data'!AR20*EF!$H33)*kgtoGg=0,"NO",('Activity data'!AR20*EF!$H33)*kgtoGg)</f>
        <v>2.2981964027084749</v>
      </c>
      <c r="AS33" s="28">
        <f>IF(('Activity data'!AS20*EF!$H33)*kgtoGg=0,"NO",('Activity data'!AS20*EF!$H33)*kgtoGg)</f>
        <v>2.3358420438869762</v>
      </c>
      <c r="AT33" s="28">
        <f>IF(('Activity data'!AT20*EF!$H33)*kgtoGg=0,"NO",('Activity data'!AT20*EF!$H33)*kgtoGg)</f>
        <v>2.3752532112379319</v>
      </c>
      <c r="AU33" s="28">
        <f>IF(('Activity data'!AU20*EF!$H33)*kgtoGg=0,"NO",('Activity data'!AU20*EF!$H33)*kgtoGg)</f>
        <v>2.4158401631312629</v>
      </c>
      <c r="AV33" s="28">
        <f>IF(('Activity data'!AV20*EF!$H33)*kgtoGg=0,"NO",('Activity data'!AV20*EF!$H33)*kgtoGg)</f>
        <v>2.4576985517156928</v>
      </c>
      <c r="AW33" s="28">
        <f>IF(('Activity data'!AW20*EF!$H33)*kgtoGg=0,"NO",('Activity data'!AW20*EF!$H33)*kgtoGg)</f>
        <v>2.5088256441465209</v>
      </c>
      <c r="AX33" s="28">
        <f>IF(('Activity data'!AX20*EF!$H33)*kgtoGg=0,"NO",('Activity data'!AX20*EF!$H33)*kgtoGg)</f>
        <v>2.5566832703614488</v>
      </c>
      <c r="AY33" s="28">
        <f>IF(('Activity data'!AY20*EF!$H33)*kgtoGg=0,"NO",('Activity data'!AY20*EF!$H33)*kgtoGg)</f>
        <v>2.6097502467685643</v>
      </c>
      <c r="AZ33" s="28">
        <f>IF(('Activity data'!AZ20*EF!$H33)*kgtoGg=0,"NO",('Activity data'!AZ20*EF!$H33)*kgtoGg)</f>
        <v>2.6660555565342428</v>
      </c>
      <c r="BA33" s="28">
        <f>IF(('Activity data'!BA20*EF!$H33)*kgtoGg=0,"NO",('Activity data'!BA20*EF!$H33)*kgtoGg)</f>
        <v>2.7256281967356357</v>
      </c>
      <c r="BB33" s="28">
        <f>IF(('Activity data'!BB20*EF!$H33)*kgtoGg=0,"NO",('Activity data'!BB20*EF!$H33)*kgtoGg)</f>
        <v>2.7859675544879905</v>
      </c>
      <c r="BC33" s="28">
        <f>IF(('Activity data'!BC20*EF!$H33)*kgtoGg=0,"NO",('Activity data'!BC20*EF!$H33)*kgtoGg)</f>
        <v>2.848099184728202</v>
      </c>
      <c r="BD33" s="28">
        <f>IF(('Activity data'!BD20*EF!$H33)*kgtoGg=0,"NO",('Activity data'!BD20*EF!$H33)*kgtoGg)</f>
        <v>2.9102663291664252</v>
      </c>
      <c r="BE33" s="28">
        <f>IF(('Activity data'!BE20*EF!$H33)*kgtoGg=0,"NO",('Activity data'!BE20*EF!$H33)*kgtoGg)</f>
        <v>2.9741159391367993</v>
      </c>
      <c r="BF33" s="28">
        <f>IF(('Activity data'!BF20*EF!$H33)*kgtoGg=0,"NO",('Activity data'!BF20*EF!$H33)*kgtoGg)</f>
        <v>3.040973953681017</v>
      </c>
      <c r="BG33" s="28">
        <f>IF(('Activity data'!BG20*EF!$H33)*kgtoGg=0,"NO",('Activity data'!BG20*EF!$H33)*kgtoGg)</f>
        <v>3.10926453758232</v>
      </c>
      <c r="BH33" s="28">
        <f>IF(('Activity data'!BH20*EF!$H33)*kgtoGg=0,"NO",('Activity data'!BH20*EF!$H33)*kgtoGg)</f>
        <v>3.1794855349872693</v>
      </c>
      <c r="BI33" s="28">
        <f>IF(('Activity data'!BI20*EF!$H33)*kgtoGg=0,"NO",('Activity data'!BI20*EF!$H33)*kgtoGg)</f>
        <v>3.251361036485422</v>
      </c>
      <c r="BJ33" s="28">
        <f>IF(('Activity data'!BJ20*EF!$H33)*kgtoGg=0,"NO",('Activity data'!BJ20*EF!$H33)*kgtoGg)</f>
        <v>3.3251863405442208</v>
      </c>
      <c r="BK33" s="28">
        <f>IF(('Activity data'!BK20*EF!$H33)*kgtoGg=0,"NO",('Activity data'!BK20*EF!$H33)*kgtoGg)</f>
        <v>3.4023647179272838</v>
      </c>
      <c r="BL33" s="28">
        <f>IF(('Activity data'!BL20*EF!$H33)*kgtoGg=0,"NO",('Activity data'!BL20*EF!$H33)*kgtoGg)</f>
        <v>3.4820041210317312</v>
      </c>
      <c r="BM33" s="28">
        <f>IF(('Activity data'!BM20*EF!$H33)*kgtoGg=0,"NO",('Activity data'!BM20*EF!$H33)*kgtoGg)</f>
        <v>3.5639693353328519</v>
      </c>
      <c r="BN33" s="28">
        <f>IF(('Activity data'!BN20*EF!$H33)*kgtoGg=0,"NO",('Activity data'!BN20*EF!$H33)*kgtoGg)</f>
        <v>3.6454092990564591</v>
      </c>
      <c r="BO33" s="28">
        <f>IF(('Activity data'!BO20*EF!$H33)*kgtoGg=0,"NO",('Activity data'!BO20*EF!$H33)*kgtoGg)</f>
        <v>3.7293069261421006</v>
      </c>
      <c r="BP33" s="28">
        <f>IF(('Activity data'!BP20*EF!$H33)*kgtoGg=0,"NO",('Activity data'!BP20*EF!$H33)*kgtoGg)</f>
        <v>3.8158003848219892</v>
      </c>
    </row>
    <row r="34" spans="1:68" x14ac:dyDescent="0.25">
      <c r="A34" t="str">
        <f t="shared" si="1"/>
        <v>3A Livestock</v>
      </c>
      <c r="B34" t="str">
        <f t="shared" si="8"/>
        <v>3A2 Manure management (CH4)</v>
      </c>
      <c r="C34" t="str">
        <f>EF!C34</f>
        <v>3A2i Poultry</v>
      </c>
      <c r="D34" t="str">
        <f>EF!D34</f>
        <v>Subsistence layers</v>
      </c>
      <c r="E34" t="str">
        <f t="shared" si="9"/>
        <v>Manure management Emissions</v>
      </c>
      <c r="F34" t="str">
        <f t="shared" si="6"/>
        <v>CH4</v>
      </c>
      <c r="G34" t="str">
        <f t="shared" si="7"/>
        <v>Gg CH4</v>
      </c>
      <c r="H34" s="28">
        <f>IF(('Activity data'!H21*EF!$H34)*kgtoGg=0,"NO",('Activity data'!H21*EF!$H34)*kgtoGg)</f>
        <v>1.4453307157161402E-2</v>
      </c>
      <c r="I34" s="28">
        <f>IF(('Activity data'!I21*EF!$H34)*kgtoGg=0,"NO",('Activity data'!I21*EF!$H34)*kgtoGg)</f>
        <v>1.4041171371767878E-2</v>
      </c>
      <c r="J34" s="28">
        <f>IF(('Activity data'!J21*EF!$H34)*kgtoGg=0,"NO",('Activity data'!J21*EF!$H34)*kgtoGg)</f>
        <v>1.3317074332271103E-2</v>
      </c>
      <c r="K34" s="28">
        <f>IF(('Activity data'!K21*EF!$H34)*kgtoGg=0,"NO",('Activity data'!K21*EF!$H34)*kgtoGg)</f>
        <v>1.3107686778593537E-2</v>
      </c>
      <c r="L34" s="28">
        <f>IF(('Activity data'!L21*EF!$H34)*kgtoGg=0,"NO",('Activity data'!L21*EF!$H34)*kgtoGg)</f>
        <v>1.2537549597918361E-2</v>
      </c>
      <c r="M34" s="28">
        <f>IF(('Activity data'!M21*EF!$H34)*kgtoGg=0,"NO",('Activity data'!M21*EF!$H34)*kgtoGg)</f>
        <v>1.368002708163215E-2</v>
      </c>
      <c r="N34" s="28">
        <f>IF(('Activity data'!N21*EF!$H34)*kgtoGg=0,"NO",('Activity data'!N21*EF!$H34)*kgtoGg)</f>
        <v>1.445028361248642E-2</v>
      </c>
      <c r="O34" s="28">
        <f>IF(('Activity data'!O21*EF!$H34)*kgtoGg=0,"NO",('Activity data'!O21*EF!$H34)*kgtoGg)</f>
        <v>1.4497801479217198E-2</v>
      </c>
      <c r="P34" s="28">
        <f>IF(('Activity data'!P21*EF!$H34)*kgtoGg=0,"NO",('Activity data'!P21*EF!$H34)*kgtoGg)</f>
        <v>1.6323301120314916E-2</v>
      </c>
      <c r="Q34" s="28">
        <f>IF(('Activity data'!Q21*EF!$H34)*kgtoGg=0,"NO",('Activity data'!Q21*EF!$H34)*kgtoGg)</f>
        <v>1.750021682969179E-2</v>
      </c>
      <c r="R34" s="28">
        <f>IF(('Activity data'!R21*EF!$H34)*kgtoGg=0,"NO",('Activity data'!R21*EF!$H34)*kgtoGg)</f>
        <v>1.7129415315170586E-2</v>
      </c>
      <c r="S34" s="28">
        <f>IF(('Activity data'!S21*EF!$H34)*kgtoGg=0,"NO",('Activity data'!S21*EF!$H34)*kgtoGg)</f>
        <v>1.7586367011563315E-2</v>
      </c>
      <c r="T34" s="28">
        <f>IF(('Activity data'!T21*EF!$H34)*kgtoGg=0,"NO",('Activity data'!T21*EF!$H34)*kgtoGg)</f>
        <v>1.7448339269536806E-2</v>
      </c>
      <c r="U34" s="28">
        <f>IF(('Activity data'!U21*EF!$H34)*kgtoGg=0,"NO",('Activity data'!U21*EF!$H34)*kgtoGg)</f>
        <v>1.6751757915898054E-2</v>
      </c>
      <c r="V34" s="28">
        <f>IF(('Activity data'!V21*EF!$H34)*kgtoGg=0,"NO",('Activity data'!V21*EF!$H34)*kgtoGg)</f>
        <v>1.7359194023971385E-2</v>
      </c>
      <c r="W34" s="28">
        <f>IF(('Activity data'!W21*EF!$H34)*kgtoGg=0,"NO",('Activity data'!W21*EF!$H34)*kgtoGg)</f>
        <v>1.8405962529850804E-2</v>
      </c>
      <c r="X34" s="28">
        <f>IF(('Activity data'!X21*EF!$H34)*kgtoGg=0,"NO",('Activity data'!X21*EF!$H34)*kgtoGg)</f>
        <v>2.0313142812308307E-2</v>
      </c>
      <c r="Y34" s="28">
        <f>IF(('Activity data'!Y21*EF!$H34)*kgtoGg=0,"NO",('Activity data'!Y21*EF!$H34)*kgtoGg)</f>
        <v>2.2479992595697124E-2</v>
      </c>
      <c r="Z34" s="28">
        <f>IF(('Activity data'!Z21*EF!$H34)*kgtoGg=0,"NO",('Activity data'!Z21*EF!$H34)*kgtoGg)</f>
        <v>2.277605134510725E-2</v>
      </c>
      <c r="AA34" s="28">
        <f>IF(('Activity data'!AA21*EF!$H34)*kgtoGg=0,"NO",('Activity data'!AA21*EF!$H34)*kgtoGg)</f>
        <v>2.1936379637045315E-2</v>
      </c>
      <c r="AB34" s="28">
        <f>IF(('Activity data'!AB21*EF!$H34)*kgtoGg=0,"NO",('Activity data'!AB21*EF!$H34)*kgtoGg)</f>
        <v>2.2790877419827285E-2</v>
      </c>
      <c r="AC34" s="28">
        <f>IF(('Activity data'!AC21*EF!$H34)*kgtoGg=0,"NO",('Activity data'!AC21*EF!$H34)*kgtoGg)</f>
        <v>2.3842843212116133E-2</v>
      </c>
      <c r="AD34" s="28">
        <f>IF(('Activity data'!AD21*EF!$H34)*kgtoGg=0,"NO",('Activity data'!AD21*EF!$H34)*kgtoGg)</f>
        <v>2.2851810255168935E-2</v>
      </c>
      <c r="AE34" s="28">
        <f>IF(('Activity data'!AE21*EF!$H34)*kgtoGg=0,"NO",('Activity data'!AE21*EF!$H34)*kgtoGg)</f>
        <v>2.337574154058427E-2</v>
      </c>
      <c r="AF34" s="28">
        <f>IF(('Activity data'!AF21*EF!$H34)*kgtoGg=0,"NO",('Activity data'!AF21*EF!$H34)*kgtoGg)</f>
        <v>2.3788730601317878E-2</v>
      </c>
      <c r="AG34" s="28">
        <f>IF(('Activity data'!AG21*EF!$H34)*kgtoGg=0,"NO",('Activity data'!AG21*EF!$H34)*kgtoGg)</f>
        <v>2.4085882142652674E-2</v>
      </c>
      <c r="AH34" s="28">
        <f>IF(('Activity data'!AH21*EF!$H34)*kgtoGg=0,"NO",('Activity data'!AH21*EF!$H34)*kgtoGg)</f>
        <v>2.429318394652592E-2</v>
      </c>
      <c r="AI34" s="28">
        <f>IF(('Activity data'!AI21*EF!$H34)*kgtoGg=0,"NO",('Activity data'!AI21*EF!$H34)*kgtoGg)</f>
        <v>2.4581500648267664E-2</v>
      </c>
      <c r="AJ34" s="28">
        <f>IF(('Activity data'!AJ21*EF!$H34)*kgtoGg=0,"NO",('Activity data'!AJ21*EF!$H34)*kgtoGg)</f>
        <v>2.4836940863806365E-2</v>
      </c>
      <c r="AK34" s="28">
        <f>IF(('Activity data'!AK21*EF!$H34)*kgtoGg=0,"NO",('Activity data'!AK21*EF!$H34)*kgtoGg)</f>
        <v>2.5061563461087226E-2</v>
      </c>
      <c r="AL34" s="28">
        <f>IF(('Activity data'!AL21*EF!$H34)*kgtoGg=0,"NO",('Activity data'!AL21*EF!$H34)*kgtoGg)</f>
        <v>2.3496565234780577E-2</v>
      </c>
      <c r="AM34" s="28">
        <f>IF(('Activity data'!AM21*EF!$H34)*kgtoGg=0,"NO",('Activity data'!AM21*EF!$H34)*kgtoGg)</f>
        <v>2.3997145430876617E-2</v>
      </c>
      <c r="AN34" s="28">
        <f>IF(('Activity data'!AN21*EF!$H34)*kgtoGg=0,"NO",('Activity data'!AN21*EF!$H34)*kgtoGg)</f>
        <v>2.4475926711804243E-2</v>
      </c>
      <c r="AO34" s="28">
        <f>IF(('Activity data'!AO21*EF!$H34)*kgtoGg=0,"NO",('Activity data'!AO21*EF!$H34)*kgtoGg)</f>
        <v>2.4956128597556054E-2</v>
      </c>
      <c r="AP34" s="28">
        <f>IF(('Activity data'!AP21*EF!$H34)*kgtoGg=0,"NO",('Activity data'!AP21*EF!$H34)*kgtoGg)</f>
        <v>2.541807092867078E-2</v>
      </c>
      <c r="AQ34" s="28">
        <f>IF(('Activity data'!AQ21*EF!$H34)*kgtoGg=0,"NO",('Activity data'!AQ21*EF!$H34)*kgtoGg)</f>
        <v>2.5895733604566776E-2</v>
      </c>
      <c r="AR34" s="28">
        <f>IF(('Activity data'!AR21*EF!$H34)*kgtoGg=0,"NO",('Activity data'!AR21*EF!$H34)*kgtoGg)</f>
        <v>2.6455379253153197E-2</v>
      </c>
      <c r="AS34" s="28">
        <f>IF(('Activity data'!AS21*EF!$H34)*kgtoGg=0,"NO",('Activity data'!AS21*EF!$H34)*kgtoGg)</f>
        <v>2.7006597732133455E-2</v>
      </c>
      <c r="AT34" s="28">
        <f>IF(('Activity data'!AT21*EF!$H34)*kgtoGg=0,"NO",('Activity data'!AT21*EF!$H34)*kgtoGg)</f>
        <v>2.7577676976809809E-2</v>
      </c>
      <c r="AU34" s="28">
        <f>IF(('Activity data'!AU21*EF!$H34)*kgtoGg=0,"NO",('Activity data'!AU21*EF!$H34)*kgtoGg)</f>
        <v>2.8161982862738709E-2</v>
      </c>
      <c r="AV34" s="28">
        <f>IF(('Activity data'!AV21*EF!$H34)*kgtoGg=0,"NO",('Activity data'!AV21*EF!$H34)*kgtoGg)</f>
        <v>2.8760591400541713E-2</v>
      </c>
      <c r="AW34" s="28">
        <f>IF(('Activity data'!AW21*EF!$H34)*kgtoGg=0,"NO",('Activity data'!AW21*EF!$H34)*kgtoGg)</f>
        <v>2.9459128868365603E-2</v>
      </c>
      <c r="AX34" s="28">
        <f>IF(('Activity data'!AX21*EF!$H34)*kgtoGg=0,"NO",('Activity data'!AX21*EF!$H34)*kgtoGg)</f>
        <v>3.0120887438589088E-2</v>
      </c>
      <c r="AY34" s="28">
        <f>IF(('Activity data'!AY21*EF!$H34)*kgtoGg=0,"NO",('Activity data'!AY21*EF!$H34)*kgtoGg)</f>
        <v>3.084124705877277E-2</v>
      </c>
      <c r="AZ34" s="28">
        <f>IF(('Activity data'!AZ21*EF!$H34)*kgtoGg=0,"NO",('Activity data'!AZ21*EF!$H34)*kgtoGg)</f>
        <v>3.1598035352312308E-2</v>
      </c>
      <c r="BA34" s="28">
        <f>IF(('Activity data'!BA21*EF!$H34)*kgtoGg=0,"NO",('Activity data'!BA21*EF!$H34)*kgtoGg)</f>
        <v>3.2391578515446898E-2</v>
      </c>
      <c r="BB34" s="28">
        <f>IF(('Activity data'!BB21*EF!$H34)*kgtoGg=0,"NO",('Activity data'!BB21*EF!$H34)*kgtoGg)</f>
        <v>3.3198598009034817E-2</v>
      </c>
      <c r="BC34" s="28">
        <f>IF(('Activity data'!BC21*EF!$H34)*kgtoGg=0,"NO",('Activity data'!BC21*EF!$H34)*kgtoGg)</f>
        <v>3.4025779143101349E-2</v>
      </c>
      <c r="BD34" s="28">
        <f>IF(('Activity data'!BD21*EF!$H34)*kgtoGg=0,"NO",('Activity data'!BD21*EF!$H34)*kgtoGg)</f>
        <v>3.48533597814824E-2</v>
      </c>
      <c r="BE34" s="28">
        <f>IF(('Activity data'!BE21*EF!$H34)*kgtoGg=0,"NO",('Activity data'!BE21*EF!$H34)*kgtoGg)</f>
        <v>3.5699866821572661E-2</v>
      </c>
      <c r="BF34" s="28">
        <f>IF(('Activity data'!BF21*EF!$H34)*kgtoGg=0,"NO",('Activity data'!BF21*EF!$H34)*kgtoGg)</f>
        <v>3.6580216021180091E-2</v>
      </c>
      <c r="BG34" s="28">
        <f>IF(('Activity data'!BG21*EF!$H34)*kgtoGg=0,"NO",('Activity data'!BG21*EF!$H34)*kgtoGg)</f>
        <v>3.749483145471709E-2</v>
      </c>
      <c r="BH34" s="28">
        <f>IF(('Activity data'!BH21*EF!$H34)*kgtoGg=0,"NO",('Activity data'!BH21*EF!$H34)*kgtoGg)</f>
        <v>3.8431162503150249E-2</v>
      </c>
      <c r="BI34" s="28">
        <f>IF(('Activity data'!BI21*EF!$H34)*kgtoGg=0,"NO",('Activity data'!BI21*EF!$H34)*kgtoGg)</f>
        <v>3.9386105409336132E-2</v>
      </c>
      <c r="BJ34" s="28">
        <f>IF(('Activity data'!BJ21*EF!$H34)*kgtoGg=0,"NO",('Activity data'!BJ21*EF!$H34)*kgtoGg)</f>
        <v>4.0362982044069719E-2</v>
      </c>
      <c r="BK34" s="28">
        <f>IF(('Activity data'!BK21*EF!$H34)*kgtoGg=0,"NO",('Activity data'!BK21*EF!$H34)*kgtoGg)</f>
        <v>4.1377578087721606E-2</v>
      </c>
      <c r="BL34" s="28">
        <f>IF(('Activity data'!BL21*EF!$H34)*kgtoGg=0,"NO",('Activity data'!BL21*EF!$H34)*kgtoGg)</f>
        <v>4.2414691626568704E-2</v>
      </c>
      <c r="BM34" s="28">
        <f>IF(('Activity data'!BM21*EF!$H34)*kgtoGg=0,"NO",('Activity data'!BM21*EF!$H34)*kgtoGg)</f>
        <v>4.3477968692159856E-2</v>
      </c>
      <c r="BN34" s="28">
        <f>IF(('Activity data'!BN21*EF!$H34)*kgtoGg=0,"NO",('Activity data'!BN21*EF!$H34)*kgtoGg)</f>
        <v>4.4535337108549351E-2</v>
      </c>
      <c r="BO34" s="28">
        <f>IF(('Activity data'!BO21*EF!$H34)*kgtoGg=0,"NO",('Activity data'!BO21*EF!$H34)*kgtoGg)</f>
        <v>4.5620352281533154E-2</v>
      </c>
      <c r="BP34" s="28">
        <f>IF(('Activity data'!BP21*EF!$H34)*kgtoGg=0,"NO",('Activity data'!BP21*EF!$H34)*kgtoGg)</f>
        <v>4.6734568496044383E-2</v>
      </c>
    </row>
    <row r="35" spans="1:68" x14ac:dyDescent="0.25">
      <c r="A35" t="str">
        <f t="shared" si="1"/>
        <v>3A Livestock</v>
      </c>
      <c r="B35" t="str">
        <f t="shared" si="8"/>
        <v>3A2 Manure management (CH4)</v>
      </c>
      <c r="C35" t="str">
        <f>EF!C35</f>
        <v>3A2i Poultry</v>
      </c>
      <c r="D35" t="str">
        <f>EF!D35</f>
        <v>Subsistence broilers</v>
      </c>
      <c r="E35" t="str">
        <f t="shared" si="9"/>
        <v>Manure management Emissions</v>
      </c>
      <c r="F35" t="str">
        <f t="shared" si="6"/>
        <v>CH4</v>
      </c>
      <c r="G35" t="str">
        <f t="shared" si="7"/>
        <v>Gg CH4</v>
      </c>
      <c r="H35" s="28">
        <f>IF(('Activity data'!H22*EF!$H35)*kgtoGg=0,"NO",('Activity data'!H22*EF!$H35)*kgtoGg)</f>
        <v>3.97805297801406E-2</v>
      </c>
      <c r="I35" s="28">
        <f>IF(('Activity data'!I22*EF!$H35)*kgtoGg=0,"NO",('Activity data'!I22*EF!$H35)*kgtoGg)</f>
        <v>3.7393698041596139E-2</v>
      </c>
      <c r="J35" s="28">
        <f>IF(('Activity data'!J22*EF!$H35)*kgtoGg=0,"NO",('Activity data'!J22*EF!$H35)*kgtoGg)</f>
        <v>3.5339719604835972E-2</v>
      </c>
      <c r="K35" s="28">
        <f>IF(('Activity data'!K22*EF!$H35)*kgtoGg=0,"NO",('Activity data'!K22*EF!$H35)*kgtoGg)</f>
        <v>3.974462197314204E-2</v>
      </c>
      <c r="L35" s="28">
        <f>IF(('Activity data'!L22*EF!$H35)*kgtoGg=0,"NO",('Activity data'!L22*EF!$H35)*kgtoGg)</f>
        <v>3.9371867536538138E-2</v>
      </c>
      <c r="M35" s="28">
        <f>IF(('Activity data'!M22*EF!$H35)*kgtoGg=0,"NO",('Activity data'!M22*EF!$H35)*kgtoGg)</f>
        <v>4.5066858026880756E-2</v>
      </c>
      <c r="N35" s="28">
        <f>IF(('Activity data'!N22*EF!$H35)*kgtoGg=0,"NO",('Activity data'!N22*EF!$H35)*kgtoGg)</f>
        <v>5.2401139589808118E-2</v>
      </c>
      <c r="O35" s="28">
        <f>IF(('Activity data'!O22*EF!$H35)*kgtoGg=0,"NO",('Activity data'!O22*EF!$H35)*kgtoGg)</f>
        <v>5.3338370259568474E-2</v>
      </c>
      <c r="P35" s="28">
        <f>IF(('Activity data'!P22*EF!$H35)*kgtoGg=0,"NO",('Activity data'!P22*EF!$H35)*kgtoGg)</f>
        <v>5.8444607566508086E-2</v>
      </c>
      <c r="Q35" s="28">
        <f>IF(('Activity data'!Q22*EF!$H35)*kgtoGg=0,"NO",('Activity data'!Q22*EF!$H35)*kgtoGg)</f>
        <v>6.101551471210033E-2</v>
      </c>
      <c r="R35" s="28">
        <f>IF(('Activity data'!R22*EF!$H35)*kgtoGg=0,"NO",('Activity data'!R22*EF!$H35)*kgtoGg)</f>
        <v>6.5648197664078339E-2</v>
      </c>
      <c r="S35" s="28">
        <f>IF(('Activity data'!S22*EF!$H35)*kgtoGg=0,"NO",('Activity data'!S22*EF!$H35)*kgtoGg)</f>
        <v>6.3390232889346088E-2</v>
      </c>
      <c r="T35" s="28">
        <f>IF(('Activity data'!T22*EF!$H35)*kgtoGg=0,"NO",('Activity data'!T22*EF!$H35)*kgtoGg)</f>
        <v>7.0256939555641371E-2</v>
      </c>
      <c r="U35" s="28">
        <f>IF(('Activity data'!U22*EF!$H35)*kgtoGg=0,"NO",('Activity data'!U22*EF!$H35)*kgtoGg)</f>
        <v>6.6824955655154963E-2</v>
      </c>
      <c r="V35" s="28">
        <f>IF(('Activity data'!V22*EF!$H35)*kgtoGg=0,"NO",('Activity data'!V22*EF!$H35)*kgtoGg)</f>
        <v>6.8438168379586828E-2</v>
      </c>
      <c r="W35" s="28">
        <f>IF(('Activity data'!W22*EF!$H35)*kgtoGg=0,"NO",('Activity data'!W22*EF!$H35)*kgtoGg)</f>
        <v>7.572510178761277E-2</v>
      </c>
      <c r="X35" s="28">
        <f>IF(('Activity data'!X22*EF!$H35)*kgtoGg=0,"NO",('Activity data'!X22*EF!$H35)*kgtoGg)</f>
        <v>8.0995073889202837E-2</v>
      </c>
      <c r="Y35" s="28">
        <f>IF(('Activity data'!Y22*EF!$H35)*kgtoGg=0,"NO",('Activity data'!Y22*EF!$H35)*kgtoGg)</f>
        <v>8.474304869566987E-2</v>
      </c>
      <c r="Z35" s="28">
        <f>IF(('Activity data'!Z22*EF!$H35)*kgtoGg=0,"NO",('Activity data'!Z22*EF!$H35)*kgtoGg)</f>
        <v>9.0228336662730974E-2</v>
      </c>
      <c r="AA35" s="28">
        <f>IF(('Activity data'!AA22*EF!$H35)*kgtoGg=0,"NO",('Activity data'!AA22*EF!$H35)*kgtoGg)</f>
        <v>8.514031348767126E-2</v>
      </c>
      <c r="AB35" s="28">
        <f>IF(('Activity data'!AB22*EF!$H35)*kgtoGg=0,"NO",('Activity data'!AB22*EF!$H35)*kgtoGg)</f>
        <v>8.7281660260828828E-2</v>
      </c>
      <c r="AC35" s="28">
        <f>IF(('Activity data'!AC22*EF!$H35)*kgtoGg=0,"NO",('Activity data'!AC22*EF!$H35)*kgtoGg)</f>
        <v>9.027211937951464E-2</v>
      </c>
      <c r="AD35" s="28">
        <f>IF(('Activity data'!AD22*EF!$H35)*kgtoGg=0,"NO",('Activity data'!AD22*EF!$H35)*kgtoGg)</f>
        <v>8.4860998154567865E-2</v>
      </c>
      <c r="AE35" s="28">
        <f>IF(('Activity data'!AE22*EF!$H35)*kgtoGg=0,"NO",('Activity data'!AE22*EF!$H35)*kgtoGg)</f>
        <v>8.6351296402998018E-2</v>
      </c>
      <c r="AF35" s="28">
        <f>IF(('Activity data'!AF22*EF!$H35)*kgtoGg=0,"NO",('Activity data'!AF22*EF!$H35)*kgtoGg)</f>
        <v>8.7443720816419032E-2</v>
      </c>
      <c r="AG35" s="28">
        <f>IF(('Activity data'!AG22*EF!$H35)*kgtoGg=0,"NO",('Activity data'!AG22*EF!$H35)*kgtoGg)</f>
        <v>8.812083393372841E-2</v>
      </c>
      <c r="AH35" s="28">
        <f>IF(('Activity data'!AH22*EF!$H35)*kgtoGg=0,"NO",('Activity data'!AH22*EF!$H35)*kgtoGg)</f>
        <v>8.8444348185650015E-2</v>
      </c>
      <c r="AI35" s="28">
        <f>IF(('Activity data'!AI22*EF!$H35)*kgtoGg=0,"NO",('Activity data'!AI22*EF!$H35)*kgtoGg)</f>
        <v>8.9055935767139757E-2</v>
      </c>
      <c r="AJ35" s="28">
        <f>IF(('Activity data'!AJ22*EF!$H35)*kgtoGg=0,"NO",('Activity data'!AJ22*EF!$H35)*kgtoGg)</f>
        <v>8.955062091347013E-2</v>
      </c>
      <c r="AK35" s="28">
        <f>IF(('Activity data'!AK22*EF!$H35)*kgtoGg=0,"NO",('Activity data'!AK22*EF!$H35)*kgtoGg)</f>
        <v>8.9935724561403738E-2</v>
      </c>
      <c r="AL35" s="28">
        <f>IF(('Activity data'!AL22*EF!$H35)*kgtoGg=0,"NO",('Activity data'!AL22*EF!$H35)*kgtoGg)</f>
        <v>8.3957282208797335E-2</v>
      </c>
      <c r="AM35" s="28">
        <f>IF(('Activity data'!AM22*EF!$H35)*kgtoGg=0,"NO",('Activity data'!AM22*EF!$H35)*kgtoGg)</f>
        <v>8.5318009402869585E-2</v>
      </c>
      <c r="AN35" s="28">
        <f>IF(('Activity data'!AN22*EF!$H35)*kgtoGg=0,"NO",('Activity data'!AN22*EF!$H35)*kgtoGg)</f>
        <v>8.6601223872593086E-2</v>
      </c>
      <c r="AO35" s="28">
        <f>IF(('Activity data'!AO22*EF!$H35)*kgtoGg=0,"NO",('Activity data'!AO22*EF!$H35)*kgtoGg)</f>
        <v>8.7889489738695245E-2</v>
      </c>
      <c r="AP35" s="28">
        <f>IF(('Activity data'!AP22*EF!$H35)*kgtoGg=0,"NO",('Activity data'!AP22*EF!$H35)*kgtoGg)</f>
        <v>8.9112828155166399E-2</v>
      </c>
      <c r="AQ35" s="28">
        <f>IF(('Activity data'!AQ22*EF!$H35)*kgtoGg=0,"NO",('Activity data'!AQ22*EF!$H35)*kgtoGg)</f>
        <v>9.0392065073706854E-2</v>
      </c>
      <c r="AR35" s="28">
        <f>IF(('Activity data'!AR22*EF!$H35)*kgtoGg=0,"NO",('Activity data'!AR22*EF!$H35)*kgtoGg)</f>
        <v>9.1927856108338993E-2</v>
      </c>
      <c r="AS35" s="28">
        <f>IF(('Activity data'!AS22*EF!$H35)*kgtoGg=0,"NO",('Activity data'!AS22*EF!$H35)*kgtoGg)</f>
        <v>9.3433681755479045E-2</v>
      </c>
      <c r="AT35" s="28">
        <f>IF(('Activity data'!AT22*EF!$H35)*kgtoGg=0,"NO",('Activity data'!AT22*EF!$H35)*kgtoGg)</f>
        <v>9.5010128449517284E-2</v>
      </c>
      <c r="AU35" s="28">
        <f>IF(('Activity data'!AU22*EF!$H35)*kgtoGg=0,"NO",('Activity data'!AU22*EF!$H35)*kgtoGg)</f>
        <v>9.6633606525250521E-2</v>
      </c>
      <c r="AV35" s="28">
        <f>IF(('Activity data'!AV22*EF!$H35)*kgtoGg=0,"NO",('Activity data'!AV22*EF!$H35)*kgtoGg)</f>
        <v>9.830794206862771E-2</v>
      </c>
      <c r="AW35" s="28">
        <f>IF(('Activity data'!AW22*EF!$H35)*kgtoGg=0,"NO",('Activity data'!AW22*EF!$H35)*kgtoGg)</f>
        <v>0.10035302576586085</v>
      </c>
      <c r="AX35" s="28">
        <f>IF(('Activity data'!AX22*EF!$H35)*kgtoGg=0,"NO",('Activity data'!AX22*EF!$H35)*kgtoGg)</f>
        <v>0.10226733081445798</v>
      </c>
      <c r="AY35" s="28">
        <f>IF(('Activity data'!AY22*EF!$H35)*kgtoGg=0,"NO",('Activity data'!AY22*EF!$H35)*kgtoGg)</f>
        <v>0.10439000987074257</v>
      </c>
      <c r="AZ35" s="28">
        <f>IF(('Activity data'!AZ22*EF!$H35)*kgtoGg=0,"NO",('Activity data'!AZ22*EF!$H35)*kgtoGg)</f>
        <v>0.1066422222613697</v>
      </c>
      <c r="BA35" s="28">
        <f>IF(('Activity data'!BA22*EF!$H35)*kgtoGg=0,"NO",('Activity data'!BA22*EF!$H35)*kgtoGg)</f>
        <v>0.10902512786942542</v>
      </c>
      <c r="BB35" s="28">
        <f>IF(('Activity data'!BB22*EF!$H35)*kgtoGg=0,"NO",('Activity data'!BB22*EF!$H35)*kgtoGg)</f>
        <v>0.11143870217951961</v>
      </c>
      <c r="BC35" s="28">
        <f>IF(('Activity data'!BC22*EF!$H35)*kgtoGg=0,"NO",('Activity data'!BC22*EF!$H35)*kgtoGg)</f>
        <v>0.11392396738912808</v>
      </c>
      <c r="BD35" s="28">
        <f>IF(('Activity data'!BD22*EF!$H35)*kgtoGg=0,"NO",('Activity data'!BD22*EF!$H35)*kgtoGg)</f>
        <v>0.11641065316665702</v>
      </c>
      <c r="BE35" s="28">
        <f>IF(('Activity data'!BE22*EF!$H35)*kgtoGg=0,"NO",('Activity data'!BE22*EF!$H35)*kgtoGg)</f>
        <v>0.11896463756547197</v>
      </c>
      <c r="BF35" s="28">
        <f>IF(('Activity data'!BF22*EF!$H35)*kgtoGg=0,"NO",('Activity data'!BF22*EF!$H35)*kgtoGg)</f>
        <v>0.12163895814724068</v>
      </c>
      <c r="BG35" s="28">
        <f>IF(('Activity data'!BG22*EF!$H35)*kgtoGg=0,"NO",('Activity data'!BG22*EF!$H35)*kgtoGg)</f>
        <v>0.1243705815032928</v>
      </c>
      <c r="BH35" s="28">
        <f>IF(('Activity data'!BH22*EF!$H35)*kgtoGg=0,"NO",('Activity data'!BH22*EF!$H35)*kgtoGg)</f>
        <v>0.12717942139949079</v>
      </c>
      <c r="BI35" s="28">
        <f>IF(('Activity data'!BI22*EF!$H35)*kgtoGg=0,"NO",('Activity data'!BI22*EF!$H35)*kgtoGg)</f>
        <v>0.13005444145941689</v>
      </c>
      <c r="BJ35" s="28">
        <f>IF(('Activity data'!BJ22*EF!$H35)*kgtoGg=0,"NO",('Activity data'!BJ22*EF!$H35)*kgtoGg)</f>
        <v>0.13300745362176883</v>
      </c>
      <c r="BK35" s="28">
        <f>IF(('Activity data'!BK22*EF!$H35)*kgtoGg=0,"NO",('Activity data'!BK22*EF!$H35)*kgtoGg)</f>
        <v>0.13609458871709135</v>
      </c>
      <c r="BL35" s="28">
        <f>IF(('Activity data'!BL22*EF!$H35)*kgtoGg=0,"NO",('Activity data'!BL22*EF!$H35)*kgtoGg)</f>
        <v>0.13928016484126926</v>
      </c>
      <c r="BM35" s="28">
        <f>IF(('Activity data'!BM22*EF!$H35)*kgtoGg=0,"NO",('Activity data'!BM22*EF!$H35)*kgtoGg)</f>
        <v>0.14255877341331408</v>
      </c>
      <c r="BN35" s="28">
        <f>IF(('Activity data'!BN22*EF!$H35)*kgtoGg=0,"NO",('Activity data'!BN22*EF!$H35)*kgtoGg)</f>
        <v>0.14581637196225836</v>
      </c>
      <c r="BO35" s="28">
        <f>IF(('Activity data'!BO22*EF!$H35)*kgtoGg=0,"NO",('Activity data'!BO22*EF!$H35)*kgtoGg)</f>
        <v>0.149172277045684</v>
      </c>
      <c r="BP35" s="28">
        <f>IF(('Activity data'!BP22*EF!$H35)*kgtoGg=0,"NO",('Activity data'!BP22*EF!$H35)*kgtoGg)</f>
        <v>0.15263201539287957</v>
      </c>
    </row>
    <row r="36" spans="1:68" x14ac:dyDescent="0.25">
      <c r="A36" t="str">
        <f t="shared" si="1"/>
        <v>3A Livestock</v>
      </c>
      <c r="B36" t="str">
        <f>'IPCC Categories'!B20</f>
        <v>3A2 Manure management (N2O)</v>
      </c>
      <c r="C36" t="str">
        <f>EF!C54</f>
        <v>3A1ai Dairy cattle</v>
      </c>
      <c r="D36" t="str">
        <f>EF!D54</f>
        <v>TMR</v>
      </c>
      <c r="E36" t="str">
        <f t="shared" si="9"/>
        <v>Manure management Emissions</v>
      </c>
      <c r="F36" t="s">
        <v>139</v>
      </c>
      <c r="G36" t="s">
        <v>287</v>
      </c>
      <c r="H36" s="28">
        <f>IF(('Activity data'!H5*EF!$H36*EF!$H54)*NtoN2O*kgtoGg=0,"NO",('Activity data'!H5*EF!$H36*EF!$H54)*NtoN2O*kgtoGg)</f>
        <v>4.916153684584277E-2</v>
      </c>
      <c r="I36" s="28">
        <f>IF(('Activity data'!I5*EF!$H36*EF!$H54)*NtoN2O*kgtoGg=0,"NO",('Activity data'!I5*EF!$H36*EF!$H54)*NtoN2O*kgtoGg)</f>
        <v>5.6597698456454765E-2</v>
      </c>
      <c r="J36" s="28">
        <f>IF(('Activity data'!J5*EF!$H36*EF!$H54)*NtoN2O*kgtoGg=0,"NO",('Activity data'!J5*EF!$H36*EF!$H54)*NtoN2O*kgtoGg)</f>
        <v>4.8964332321604243E-2</v>
      </c>
      <c r="K36" s="28">
        <f>IF(('Activity data'!K5*EF!$H36*EF!$H54)*NtoN2O*kgtoGg=0,"NO",('Activity data'!K5*EF!$H36*EF!$H54)*NtoN2O*kgtoGg)</f>
        <v>5.1931263309866894E-2</v>
      </c>
      <c r="L36" s="28">
        <f>IF(('Activity data'!L5*EF!$H36*EF!$H54)*NtoN2O*kgtoGg=0,"NO",('Activity data'!L5*EF!$H36*EF!$H54)*NtoN2O*kgtoGg)</f>
        <v>4.8175514224650169E-2</v>
      </c>
      <c r="M36" s="28">
        <f>IF(('Activity data'!M5*EF!$H36*EF!$H54)*NtoN2O*kgtoGg=0,"NO",('Activity data'!M5*EF!$H36*EF!$H54)*NtoN2O*kgtoGg)</f>
        <v>5.1536854261389861E-2</v>
      </c>
      <c r="N36" s="28">
        <f>IF(('Activity data'!N5*EF!$H36*EF!$H54)*NtoN2O*kgtoGg=0,"NO",('Activity data'!N5*EF!$H36*EF!$H54)*NtoN2O*kgtoGg)</f>
        <v>5.1734058785628381E-2</v>
      </c>
      <c r="O36" s="28">
        <f>IF(('Activity data'!O5*EF!$H36*EF!$H54)*NtoN2O*kgtoGg=0,"NO",('Activity data'!O5*EF!$H36*EF!$H54)*NtoN2O*kgtoGg)</f>
        <v>4.9875018382975388E-2</v>
      </c>
      <c r="P36" s="28">
        <f>IF(('Activity data'!P5*EF!$H36*EF!$H54)*NtoN2O*kgtoGg=0,"NO",('Activity data'!P5*EF!$H36*EF!$H54)*NtoN2O*kgtoGg)</f>
        <v>4.9283404810259827E-2</v>
      </c>
      <c r="Q36" s="28">
        <f>IF(('Activity data'!Q5*EF!$H36*EF!$H54)*NtoN2O*kgtoGg=0,"NO",('Activity data'!Q5*EF!$H36*EF!$H54)*NtoN2O*kgtoGg)</f>
        <v>4.841038702879942E-2</v>
      </c>
      <c r="R36" s="28">
        <f>IF(('Activity data'!R5*EF!$H36*EF!$H54)*NtoN2O*kgtoGg=0,"NO",('Activity data'!R5*EF!$H36*EF!$H54)*NtoN2O*kgtoGg)</f>
        <v>6.2334355908741548E-2</v>
      </c>
      <c r="S36" s="28">
        <f>IF(('Activity data'!S5*EF!$H36*EF!$H54)*NtoN2O*kgtoGg=0,"NO",('Activity data'!S5*EF!$H36*EF!$H54)*NtoN2O*kgtoGg)</f>
        <v>6.2137151384503035E-2</v>
      </c>
      <c r="T36" s="28">
        <f>IF(('Activity data'!T5*EF!$H36*EF!$H54)*NtoN2O*kgtoGg=0,"NO",('Activity data'!T5*EF!$H36*EF!$H54)*NtoN2O*kgtoGg)</f>
        <v>5.4184712760996942E-2</v>
      </c>
      <c r="U36" s="28">
        <f>IF(('Activity data'!U5*EF!$H36*EF!$H54)*NtoN2O*kgtoGg=0,"NO",('Activity data'!U5*EF!$H36*EF!$H54)*NtoN2O*kgtoGg)</f>
        <v>4.9283404810259827E-2</v>
      </c>
      <c r="V36" s="28">
        <f>IF(('Activity data'!V5*EF!$H36*EF!$H54)*NtoN2O*kgtoGg=0,"NO",('Activity data'!V5*EF!$H36*EF!$H54)*NtoN2O*kgtoGg)</f>
        <v>4.7583900651934616E-2</v>
      </c>
      <c r="W36" s="28">
        <f>IF(('Activity data'!W5*EF!$H36*EF!$H54)*NtoN2O*kgtoGg=0,"NO",('Activity data'!W5*EF!$H36*EF!$H54)*NtoN2O*kgtoGg)</f>
        <v>5.0945240688674294E-2</v>
      </c>
      <c r="X36" s="28">
        <f>IF(('Activity data'!X5*EF!$H36*EF!$H54)*NtoN2O*kgtoGg=0,"NO",('Activity data'!X5*EF!$H36*EF!$H54)*NtoN2O*kgtoGg)</f>
        <v>4.9837350103064657E-2</v>
      </c>
      <c r="Y36" s="28">
        <f>IF(('Activity data'!Y5*EF!$H36*EF!$H54)*NtoN2O*kgtoGg=0,"NO",('Activity data'!Y5*EF!$H36*EF!$H54)*NtoN2O*kgtoGg)</f>
        <v>4.9480609334498347E-2</v>
      </c>
      <c r="Z36" s="28">
        <f>IF(('Activity data'!Z5*EF!$H36*EF!$H54)*NtoN2O*kgtoGg=0,"NO",('Activity data'!Z5*EF!$H36*EF!$H54)*NtoN2O*kgtoGg)</f>
        <v>6.0597183470505606E-2</v>
      </c>
      <c r="AA36" s="28">
        <f>IF(('Activity data'!AA5*EF!$H36*EF!$H54)*NtoN2O*kgtoGg=0,"NO",('Activity data'!AA5*EF!$H36*EF!$H54)*NtoN2O*kgtoGg)</f>
        <v>6.2099483104592297E-2</v>
      </c>
      <c r="AB36" s="28">
        <f>IF(('Activity data'!AB5*EF!$H36*EF!$H54)*NtoN2O*kgtoGg=0,"NO",('Activity data'!AB5*EF!$H36*EF!$H54)*NtoN2O*kgtoGg)</f>
        <v>6.2099483104592297E-2</v>
      </c>
      <c r="AC36" s="28">
        <f>IF(('Activity data'!AC5*EF!$H36*EF!$H54)*NtoN2O*kgtoGg=0,"NO",('Activity data'!AC5*EF!$H36*EF!$H54)*NtoN2O*kgtoGg)</f>
        <v>5.9846033653462256E-2</v>
      </c>
      <c r="AD36" s="28">
        <f>IF(('Activity data'!AD5*EF!$H36*EF!$H54)*NtoN2O*kgtoGg=0,"NO",('Activity data'!AD5*EF!$H36*EF!$H54)*NtoN2O*kgtoGg)</f>
        <v>5.9555123993427404E-2</v>
      </c>
      <c r="AE36" s="28">
        <f>IF(('Activity data'!AE5*EF!$H36*EF!$H54)*NtoN2O*kgtoGg=0,"NO",('Activity data'!AE5*EF!$H36*EF!$H54)*NtoN2O*kgtoGg)</f>
        <v>6.0118831562048142E-2</v>
      </c>
      <c r="AF36" s="28">
        <f>IF(('Activity data'!AF5*EF!$H36*EF!$H54)*NtoN2O*kgtoGg=0,"NO",('Activity data'!AF5*EF!$H36*EF!$H54)*NtoN2O*kgtoGg)</f>
        <v>6.0549093910980054E-2</v>
      </c>
      <c r="AG36" s="28">
        <f>IF(('Activity data'!AG5*EF!$H36*EF!$H54)*NtoN2O*kgtoGg=0,"NO",('Activity data'!AG5*EF!$H36*EF!$H54)*NtoN2O*kgtoGg)</f>
        <v>6.0840043098856877E-2</v>
      </c>
      <c r="AH36" s="28">
        <f>IF(('Activity data'!AH5*EF!$H36*EF!$H54)*NtoN2O*kgtoGg=0,"NO",('Activity data'!AH5*EF!$H36*EF!$H54)*NtoN2O*kgtoGg)</f>
        <v>6.1017551245027314E-2</v>
      </c>
      <c r="AI36" s="28">
        <f>IF(('Activity data'!AI5*EF!$H36*EF!H54)*NtoN2O*kgtoGg=0,"NO",('Activity data'!AI5*EF!$H36*EF!H54)*NtoN2O*kgtoGg)</f>
        <v>6.1292084119054277E-2</v>
      </c>
      <c r="AJ36" s="28">
        <f>IF(('Activity data'!AJ5*EF!$H36*EF!I54)*NtoN2O*kgtoGg=0,"NO",('Activity data'!AJ5*EF!$H36*EF!I54)*NtoN2O*kgtoGg)</f>
        <v>6.1527243591266864E-2</v>
      </c>
      <c r="AK36" s="28">
        <f>IF(('Activity data'!AK5*EF!$H36*EF!J54)*NtoN2O*kgtoGg=0,"NO",('Activity data'!AK5*EF!$H36*EF!J54)*NtoN2O*kgtoGg)</f>
        <v>6.1725495394602203E-2</v>
      </c>
      <c r="AL36" s="28">
        <f>IF(('Activity data'!AL5*EF!$H36*EF!K54)*NtoN2O*kgtoGg=0,"NO",('Activity data'!AL5*EF!$H36*EF!K54)*NtoN2O*kgtoGg)</f>
        <v>5.9780468888103518E-2</v>
      </c>
      <c r="AM36" s="28">
        <f>IF(('Activity data'!AM5*EF!$H36*EF!L54)*NtoN2O*kgtoGg=0,"NO",('Activity data'!AM5*EF!$H36*EF!L54)*NtoN2O*kgtoGg)</f>
        <v>6.0308249000622677E-2</v>
      </c>
      <c r="AN36" s="28">
        <f>IF(('Activity data'!AN5*EF!$H36*EF!M54)*NtoN2O*kgtoGg=0,"NO",('Activity data'!AN5*EF!$H36*EF!M54)*NtoN2O*kgtoGg)</f>
        <v>6.0809922387586667E-2</v>
      </c>
      <c r="AO36" s="28">
        <f>IF(('Activity data'!AO5*EF!$H36*EF!N54)*NtoN2O*kgtoGg=0,"NO",('Activity data'!AO5*EF!$H36*EF!N54)*NtoN2O*kgtoGg)</f>
        <v>6.1313297113441217E-2</v>
      </c>
      <c r="AP36" s="28">
        <f>IF(('Activity data'!AP5*EF!$H36*EF!O54)*NtoN2O*kgtoGg=0,"NO",('Activity data'!AP5*EF!$H36*EF!O54)*NtoN2O*kgtoGg)</f>
        <v>6.1794803906779015E-2</v>
      </c>
      <c r="AQ36" s="28">
        <f>IF(('Activity data'!AQ5*EF!$H36*EF!P54)*NtoN2O*kgtoGg=0,"NO",('Activity data'!AQ5*EF!$H36*EF!P54)*NtoN2O*kgtoGg)</f>
        <v>6.22951376332746E-2</v>
      </c>
      <c r="AR36" s="28">
        <f>IF(('Activity data'!AR5*EF!$H36*EF!Q54)*NtoN2O*kgtoGg=0,"NO",('Activity data'!AR5*EF!$H36*EF!Q54)*NtoN2O*kgtoGg)</f>
        <v>6.2887674321116235E-2</v>
      </c>
      <c r="AS36" s="28">
        <f>IF(('Activity data'!AS5*EF!$H36*EF!R54)*NtoN2O*kgtoGg=0,"NO",('Activity data'!AS5*EF!$H36*EF!R54)*NtoN2O*kgtoGg)</f>
        <v>6.3470118496850289E-2</v>
      </c>
      <c r="AT36" s="28">
        <f>IF(('Activity data'!AT5*EF!$H36*EF!S54)*NtoN2O*kgtoGg=0,"NO",('Activity data'!AT5*EF!$H36*EF!S54)*NtoN2O*kgtoGg)</f>
        <v>6.4076348240885692E-2</v>
      </c>
      <c r="AU36" s="28">
        <f>IF(('Activity data'!AU5*EF!$H36*EF!T54)*NtoN2O*kgtoGg=0,"NO",('Activity data'!AU5*EF!$H36*EF!T54)*NtoN2O*kgtoGg)</f>
        <v>6.4698418420467557E-2</v>
      </c>
      <c r="AV36" s="28">
        <f>IF(('Activity data'!AV5*EF!$H36*EF!U54)*NtoN2O*kgtoGg=0,"NO",('Activity data'!AV5*EF!$H36*EF!U54)*NtoN2O*kgtoGg)</f>
        <v>6.5337617682998644E-2</v>
      </c>
      <c r="AW36" s="28">
        <f>IF(('Activity data'!AW5*EF!$H36*EF!V54)*NtoN2O*kgtoGg=0,"NO",('Activity data'!AW5*EF!$H36*EF!V54)*NtoN2O*kgtoGg)</f>
        <v>6.6099131474021106E-2</v>
      </c>
      <c r="AX36" s="28">
        <f>IF(('Activity data'!AX5*EF!$H36*EF!W54)*NtoN2O*kgtoGg=0,"NO",('Activity data'!AX5*EF!$H36*EF!W54)*NtoN2O*kgtoGg)</f>
        <v>6.6816598274710148E-2</v>
      </c>
      <c r="AY36" s="28">
        <f>IF(('Activity data'!AY5*EF!$H36*EF!X54)*NtoN2O*kgtoGg=0,"NO",('Activity data'!AY5*EF!$H36*EF!X54)*NtoN2O*kgtoGg)</f>
        <v>6.7604246621840891E-2</v>
      </c>
      <c r="AZ36" s="28">
        <f>IF(('Activity data'!AZ5*EF!$H36*EF!Y54)*NtoN2O*kgtoGg=0,"NO",('Activity data'!AZ5*EF!$H36*EF!Y54)*NtoN2O*kgtoGg)</f>
        <v>6.8435522527837786E-2</v>
      </c>
      <c r="BA36" s="28">
        <f>IF(('Activity data'!BA5*EF!$H36*EF!Z54)*NtoN2O*kgtoGg=0,"NO",('Activity data'!BA5*EF!$H36*EF!Z54)*NtoN2O*kgtoGg)</f>
        <v>6.9310816649171381E-2</v>
      </c>
      <c r="BB36" s="28">
        <f>IF(('Activity data'!BB5*EF!$H36*EF!AA54)*NtoN2O*kgtoGg=0,"NO",('Activity data'!BB5*EF!$H36*EF!AA54)*NtoN2O*kgtoGg)</f>
        <v>7.0199299049961014E-2</v>
      </c>
      <c r="BC36" s="28">
        <f>IF(('Activity data'!BC5*EF!$H36*EF!AB54)*NtoN2O*kgtoGg=0,"NO",('Activity data'!BC5*EF!$H36*EF!AB54)*NtoN2O*kgtoGg)</f>
        <v>7.1111927351468263E-2</v>
      </c>
      <c r="BD36" s="28">
        <f>IF(('Activity data'!BD5*EF!$H36*EF!AC54)*NtoN2O*kgtoGg=0,"NO",('Activity data'!BD5*EF!$H36*EF!AC54)*NtoN2O*kgtoGg)</f>
        <v>7.202503410700889E-2</v>
      </c>
      <c r="BE36" s="28">
        <f>IF(('Activity data'!BE5*EF!$H36*EF!AD54)*NtoN2O*kgtoGg=0,"NO",('Activity data'!BE5*EF!$H36*EF!AD54)*NtoN2O*kgtoGg)</f>
        <v>7.2960807420382648E-2</v>
      </c>
      <c r="BF36" s="28">
        <f>IF(('Activity data'!BF5*EF!$H36*EF!AE54)*NtoN2O*kgtoGg=0,"NO",('Activity data'!BF5*EF!$H36*EF!AE54)*NtoN2O*kgtoGg)</f>
        <v>7.3937110641262571E-2</v>
      </c>
      <c r="BG36" s="28">
        <f>IF(('Activity data'!BG5*EF!$H36*EF!AF54)*NtoN2O*kgtoGg=0,"NO",('Activity data'!BG5*EF!$H36*EF!AF54)*NtoN2O*kgtoGg)</f>
        <v>7.4943410036662828E-2</v>
      </c>
      <c r="BH36" s="28">
        <f>IF(('Activity data'!BH5*EF!$H36*EF!AG54)*NtoN2O*kgtoGg=0,"NO",('Activity data'!BH5*EF!$H36*EF!AG54)*NtoN2O*kgtoGg)</f>
        <v>7.5975716398537424E-2</v>
      </c>
      <c r="BI36" s="28">
        <f>IF(('Activity data'!BI5*EF!$H36*EF!AH54)*NtoN2O*kgtoGg=0,"NO",('Activity data'!BI5*EF!$H36*EF!AH54)*NtoN2O*kgtoGg)</f>
        <v>7.7030312615409324E-2</v>
      </c>
      <c r="BJ36" s="28">
        <f>IF(('Activity data'!BJ5*EF!$H36*EF!AI54)*NtoN2O*kgtoGg=0,"NO",('Activity data'!BJ5*EF!$H36*EF!AI54)*NtoN2O*kgtoGg)</f>
        <v>7.8111177013803504E-2</v>
      </c>
      <c r="BK36" s="28">
        <f>IF(('Activity data'!BK5*EF!$H36*EF!AJ54)*NtoN2O*kgtoGg=0,"NO",('Activity data'!BK5*EF!$H36*EF!AJ54)*NtoN2O*kgtoGg)</f>
        <v>7.9237214775140757E-2</v>
      </c>
      <c r="BL36" s="28">
        <f>IF(('Activity data'!BL5*EF!$H36*EF!AK54)*NtoN2O*kgtoGg=0,"NO",('Activity data'!BL5*EF!$H36*EF!AK54)*NtoN2O*kgtoGg)</f>
        <v>8.039336309298914E-2</v>
      </c>
      <c r="BM36" s="28">
        <f>IF(('Activity data'!BM5*EF!$H36*EF!AL54)*NtoN2O*kgtoGg=0,"NO",('Activity data'!BM5*EF!$H36*EF!AL54)*NtoN2O*kgtoGg)</f>
        <v>8.1580845265830815E-2</v>
      </c>
      <c r="BN36" s="28">
        <f>IF(('Activity data'!BN5*EF!$H36*EF!AM54)*NtoN2O*kgtoGg=0,"NO",('Activity data'!BN5*EF!$H36*EF!AM54)*NtoN2O*kgtoGg)</f>
        <v>8.27612511452607E-2</v>
      </c>
      <c r="BO36" s="28">
        <f>IF(('Activity data'!BO5*EF!$H36*EF!AN54)*NtoN2O*kgtoGg=0,"NO",('Activity data'!BO5*EF!$H36*EF!AN54)*NtoN2O*kgtoGg)</f>
        <v>8.3974767220623761E-2</v>
      </c>
      <c r="BP36" s="28">
        <f>IF(('Activity data'!BP5*EF!$H36*EF!AO54)*NtoN2O*kgtoGg=0,"NO",('Activity data'!BP5*EF!$H36*EF!AO54)*NtoN2O*kgtoGg)</f>
        <v>8.5223254926907452E-2</v>
      </c>
    </row>
    <row r="37" spans="1:68" x14ac:dyDescent="0.25">
      <c r="A37" t="str">
        <f t="shared" si="1"/>
        <v>3A Livestock</v>
      </c>
      <c r="B37" t="str">
        <f>B36</f>
        <v>3A2 Manure management (N2O)</v>
      </c>
      <c r="C37" t="str">
        <f>EF!C55</f>
        <v>3A1ai Dairy cattle</v>
      </c>
      <c r="D37" t="str">
        <f>EF!D55</f>
        <v>Pasture</v>
      </c>
      <c r="E37" t="str">
        <f t="shared" si="9"/>
        <v>Manure management Emissions</v>
      </c>
      <c r="F37" t="s">
        <v>139</v>
      </c>
      <c r="G37" t="str">
        <f t="shared" ref="G37:G53" si="10">G36</f>
        <v>Gg N2O</v>
      </c>
      <c r="H37" s="28">
        <f>IF(('Activity data'!H6*EF!$H37*EF!$H55)*NtoN2O*kgtoGg=0,"NO",('Activity data'!H6*EF!$H37*EF!$H55)*NtoN2O*kgtoGg)</f>
        <v>0.21291734414122981</v>
      </c>
      <c r="I37" s="28">
        <f>IF(('Activity data'!I6*EF!$H37*EF!$H55)*NtoN2O*kgtoGg=0,"NO",('Activity data'!I6*EF!$H37*EF!$H55)*NtoN2O*kgtoGg)</f>
        <v>0.24512316768375322</v>
      </c>
      <c r="J37" s="28">
        <f>IF(('Activity data'!J6*EF!$H37*EF!$H55)*NtoN2O*kgtoGg=0,"NO",('Activity data'!J6*EF!$H37*EF!$H55)*NtoN2O*kgtoGg)</f>
        <v>0.21206325644895188</v>
      </c>
      <c r="K37" s="28">
        <f>IF(('Activity data'!K6*EF!$H37*EF!$H55)*NtoN2O*kgtoGg=0,"NO",('Activity data'!K6*EF!$H37*EF!$H55)*NtoN2O*kgtoGg)</f>
        <v>0.22491295779681808</v>
      </c>
      <c r="L37" s="28">
        <f>IF(('Activity data'!L6*EF!$H37*EF!$H55)*NtoN2O*kgtoGg=0,"NO",('Activity data'!L6*EF!$H37*EF!$H55)*NtoN2O*kgtoGg)</f>
        <v>0.20864690567984037</v>
      </c>
      <c r="M37" s="28">
        <f>IF(('Activity data'!M6*EF!$H37*EF!$H55)*NtoN2O*kgtoGg=0,"NO",('Activity data'!M6*EF!$H37*EF!$H55)*NtoN2O*kgtoGg)</f>
        <v>0.22320478241226227</v>
      </c>
      <c r="N37" s="28">
        <f>IF(('Activity data'!N6*EF!$H37*EF!$H55)*NtoN2O*kgtoGg=0,"NO",('Activity data'!N6*EF!$H37*EF!$H55)*NtoN2O*kgtoGg)</f>
        <v>0.22405887010454018</v>
      </c>
      <c r="O37" s="28">
        <f>IF(('Activity data'!O6*EF!$H37*EF!$H55)*NtoN2O*kgtoGg=0,"NO",('Activity data'!O6*EF!$H37*EF!$H55)*NtoN2O*kgtoGg)</f>
        <v>0.21600741421890937</v>
      </c>
      <c r="P37" s="28">
        <f>IF(('Activity data'!P6*EF!$H37*EF!$H55)*NtoN2O*kgtoGg=0,"NO",('Activity data'!P6*EF!$H37*EF!$H55)*NtoN2O*kgtoGg)</f>
        <v>0.21344515114207568</v>
      </c>
      <c r="Q37" s="28">
        <f>IF(('Activity data'!Q6*EF!$H37*EF!$H55)*NtoN2O*kgtoGg=0,"NO",('Activity data'!Q6*EF!$H37*EF!$H55)*NtoN2O*kgtoGg)</f>
        <v>0.20966413371783418</v>
      </c>
      <c r="R37" s="28">
        <f>IF(('Activity data'!R6*EF!$H37*EF!$H55)*NtoN2O*kgtoGg=0,"NO",('Activity data'!R6*EF!$H37*EF!$H55)*NtoN2O*kgtoGg)</f>
        <v>0.26996848268720769</v>
      </c>
      <c r="S37" s="28">
        <f>IF(('Activity data'!S6*EF!$H37*EF!$H55)*NtoN2O*kgtoGg=0,"NO",('Activity data'!S6*EF!$H37*EF!$H55)*NtoN2O*kgtoGg)</f>
        <v>0.26911439499492978</v>
      </c>
      <c r="T37" s="28">
        <f>IF(('Activity data'!T6*EF!$H37*EF!$H55)*NtoN2O*kgtoGg=0,"NO",('Activity data'!T6*EF!$H37*EF!$H55)*NtoN2O*kgtoGg)</f>
        <v>0.23467258906700467</v>
      </c>
      <c r="U37" s="28">
        <f>IF(('Activity data'!U6*EF!$H37*EF!$H55)*NtoN2O*kgtoGg=0,"NO",('Activity data'!U6*EF!$H37*EF!$H55)*NtoN2O*kgtoGg)</f>
        <v>0.21344515114207568</v>
      </c>
      <c r="V37" s="28">
        <f>IF(('Activity data'!V6*EF!$H37*EF!$H55)*NtoN2O*kgtoGg=0,"NO",('Activity data'!V6*EF!$H37*EF!$H55)*NtoN2O*kgtoGg)</f>
        <v>0.20608464260300666</v>
      </c>
      <c r="W37" s="28">
        <f>IF(('Activity data'!W6*EF!$H37*EF!$H55)*NtoN2O*kgtoGg=0,"NO",('Activity data'!W6*EF!$H37*EF!$H55)*NtoN2O*kgtoGg)</f>
        <v>0.22064251933542864</v>
      </c>
      <c r="X37" s="28">
        <f>IF(('Activity data'!X6*EF!$H37*EF!$H55)*NtoN2O*kgtoGg=0,"NO",('Activity data'!X6*EF!$H37*EF!$H55)*NtoN2O*kgtoGg)</f>
        <v>0.2158442738731933</v>
      </c>
      <c r="Y37" s="28">
        <f>IF(('Activity data'!Y6*EF!$H37*EF!$H55)*NtoN2O*kgtoGg=0,"NO",('Activity data'!Y6*EF!$H37*EF!$H55)*NtoN2O*kgtoGg)</f>
        <v>0.21429923883435359</v>
      </c>
      <c r="Z37" s="28">
        <f>IF(('Activity data'!Z6*EF!$H37*EF!$H55)*NtoN2O*kgtoGg=0,"NO",('Activity data'!Z6*EF!$H37*EF!$H55)*NtoN2O*kgtoGg)</f>
        <v>0.26244483380242267</v>
      </c>
      <c r="AA37" s="28">
        <f>IF(('Activity data'!AA6*EF!$H37*EF!$H55)*NtoN2O*kgtoGg=0,"NO",('Activity data'!AA6*EF!$H37*EF!$H55)*NtoN2O*kgtoGg)</f>
        <v>0.26895125464921371</v>
      </c>
      <c r="AB37" s="28">
        <f>IF(('Activity data'!AB6*EF!$H37*EF!$H55)*NtoN2O*kgtoGg=0,"NO",('Activity data'!AB6*EF!$H37*EF!$H55)*NtoN2O*kgtoGg)</f>
        <v>0.26895125464921371</v>
      </c>
      <c r="AC37" s="28">
        <f>IF(('Activity data'!AC6*EF!$H37*EF!$H55)*NtoN2O*kgtoGg=0,"NO",('Activity data'!AC6*EF!$H37*EF!$H55)*NtoN2O*kgtoGg)</f>
        <v>0.25919162337902713</v>
      </c>
      <c r="AD37" s="28">
        <f>IF(('Activity data'!AD6*EF!$H37*EF!$H55)*NtoN2O*kgtoGg=0,"NO",('Activity data'!AD6*EF!$H37*EF!$H55)*NtoN2O*kgtoGg)</f>
        <v>0.25750013669310873</v>
      </c>
      <c r="AE37" s="28">
        <f>IF(('Activity data'!AE6*EF!$H37*EF!$H55)*NtoN2O*kgtoGg=0,"NO",('Activity data'!AE6*EF!$H37*EF!$H55)*NtoN2O*kgtoGg)</f>
        <v>0.25993745469769891</v>
      </c>
      <c r="AF37" s="28">
        <f>IF(('Activity data'!AF6*EF!$H37*EF!$H55)*NtoN2O*kgtoGg=0,"NO",('Activity data'!AF6*EF!$H37*EF!$H55)*NtoN2O*kgtoGg)</f>
        <v>0.26179779191530061</v>
      </c>
      <c r="AG37" s="28">
        <f>IF(('Activity data'!AG6*EF!$H37*EF!$H55)*NtoN2O*kgtoGg=0,"NO",('Activity data'!AG6*EF!$H37*EF!$H55)*NtoN2O*kgtoGg)</f>
        <v>0.26305577696554255</v>
      </c>
      <c r="AH37" s="28">
        <f>IF(('Activity data'!AH6*EF!$H37*EF!$H55)*NtoN2O*kgtoGg=0,"NO",('Activity data'!AH6*EF!$H37*EF!$H55)*NtoN2O*kgtoGg)</f>
        <v>0.26382327384638316</v>
      </c>
      <c r="AI37" s="28">
        <f>IF(('Activity data'!AI6*EF!$H37*EF!H55)*NtoN2O*kgtoGg=0,"NO",('Activity data'!AI6*EF!$H37*EF!H55)*NtoN2O*kgtoGg)</f>
        <v>0.26501027922641551</v>
      </c>
      <c r="AJ37" s="28">
        <f>IF(('Activity data'!AJ6*EF!$H37*EF!I55)*NtoN2O*kgtoGg=0,"NO",('Activity data'!AJ6*EF!$H37*EF!I55)*NtoN2O*kgtoGg)</f>
        <v>0.26602704474009498</v>
      </c>
      <c r="AK37" s="28">
        <f>IF(('Activity data'!AK6*EF!$H37*EF!J55)*NtoN2O*kgtoGg=0,"NO",('Activity data'!AK6*EF!$H37*EF!J55)*NtoN2O*kgtoGg)</f>
        <v>0.26688423154511509</v>
      </c>
      <c r="AL37" s="28">
        <f>IF(('Activity data'!AL6*EF!$H37*EF!K55)*NtoN2O*kgtoGg=0,"NO",('Activity data'!AL6*EF!$H37*EF!K55)*NtoN2O*kgtoGg)</f>
        <v>0.25847446664645735</v>
      </c>
      <c r="AM37" s="28">
        <f>IF(('Activity data'!AM6*EF!$H37*EF!L55)*NtoN2O*kgtoGg=0,"NO",('Activity data'!AM6*EF!$H37*EF!L55)*NtoN2O*kgtoGg)</f>
        <v>0.26075644411547561</v>
      </c>
      <c r="AN37" s="28">
        <f>IF(('Activity data'!AN6*EF!$H37*EF!M55)*NtoN2O*kgtoGg=0,"NO",('Activity data'!AN6*EF!$H37*EF!M55)*NtoN2O*kgtoGg)</f>
        <v>0.26292554321319178</v>
      </c>
      <c r="AO37" s="28">
        <f>IF(('Activity data'!AO6*EF!$H37*EF!N55)*NtoN2O*kgtoGg=0,"NO",('Activity data'!AO6*EF!$H37*EF!N55)*NtoN2O*kgtoGg)</f>
        <v>0.26510199843692211</v>
      </c>
      <c r="AP37" s="28">
        <f>IF(('Activity data'!AP6*EF!$H37*EF!O55)*NtoN2O*kgtoGg=0,"NO",('Activity data'!AP6*EF!$H37*EF!O55)*NtoN2O*kgtoGg)</f>
        <v>0.26718390267604064</v>
      </c>
      <c r="AQ37" s="28">
        <f>IF(('Activity data'!AQ6*EF!$H37*EF!P55)*NtoN2O*kgtoGg=0,"NO",('Activity data'!AQ6*EF!$H37*EF!P55)*NtoN2O*kgtoGg)</f>
        <v>0.26934720944673946</v>
      </c>
      <c r="AR37" s="28">
        <f>IF(('Activity data'!AR6*EF!$H37*EF!Q55)*NtoN2O*kgtoGg=0,"NO",('Activity data'!AR6*EF!$H37*EF!Q55)*NtoN2O*kgtoGg)</f>
        <v>0.27190917671141573</v>
      </c>
      <c r="AS37" s="28">
        <f>IF(('Activity data'!AS6*EF!$H37*EF!R55)*NtoN2O*kgtoGg=0,"NO",('Activity data'!AS6*EF!$H37*EF!R55)*NtoN2O*kgtoGg)</f>
        <v>0.27442750670236959</v>
      </c>
      <c r="AT37" s="28">
        <f>IF(('Activity data'!AT6*EF!$H37*EF!S55)*NtoN2O*kgtoGg=0,"NO",('Activity data'!AT6*EF!$H37*EF!S55)*NtoN2O*kgtoGg)</f>
        <v>0.27704867901281227</v>
      </c>
      <c r="AU37" s="28">
        <f>IF(('Activity data'!AU6*EF!$H37*EF!T55)*NtoN2O*kgtoGg=0,"NO",('Activity data'!AU6*EF!$H37*EF!T55)*NtoN2O*kgtoGg)</f>
        <v>0.27973834105251705</v>
      </c>
      <c r="AV37" s="28">
        <f>IF(('Activity data'!AV6*EF!$H37*EF!U55)*NtoN2O*kgtoGg=0,"NO",('Activity data'!AV6*EF!$H37*EF!U55)*NtoN2O*kgtoGg)</f>
        <v>0.28250206458189892</v>
      </c>
      <c r="AW37" s="28">
        <f>IF(('Activity data'!AW6*EF!$H37*EF!V55)*NtoN2O*kgtoGg=0,"NO",('Activity data'!AW6*EF!$H37*EF!V55)*NtoN2O*kgtoGg)</f>
        <v>0.28579464282090328</v>
      </c>
      <c r="AX37" s="28">
        <f>IF(('Activity data'!AX6*EF!$H37*EF!W55)*NtoN2O*kgtoGg=0,"NO",('Activity data'!AX6*EF!$H37*EF!W55)*NtoN2O*kgtoGg)</f>
        <v>0.28889677386962026</v>
      </c>
      <c r="AY37" s="28">
        <f>IF(('Activity data'!AY6*EF!$H37*EF!X55)*NtoN2O*kgtoGg=0,"NO",('Activity data'!AY6*EF!$H37*EF!X55)*NtoN2O*kgtoGg)</f>
        <v>0.29230235081165895</v>
      </c>
      <c r="AZ37" s="28">
        <f>IF(('Activity data'!AZ6*EF!$H37*EF!Y55)*NtoN2O*kgtoGg=0,"NO",('Activity data'!AZ6*EF!$H37*EF!Y55)*NtoN2O*kgtoGg)</f>
        <v>0.29589656143655008</v>
      </c>
      <c r="BA37" s="28">
        <f>IF(('Activity data'!BA6*EF!$H37*EF!Z55)*NtoN2O*kgtoGg=0,"NO",('Activity data'!BA6*EF!$H37*EF!Z55)*NtoN2O*kgtoGg)</f>
        <v>0.29968109483647964</v>
      </c>
      <c r="BB37" s="28">
        <f>IF(('Activity data'!BB6*EF!$H37*EF!AA55)*NtoN2O*kgtoGg=0,"NO",('Activity data'!BB6*EF!$H37*EF!AA55)*NtoN2O*kgtoGg)</f>
        <v>0.3035226507650341</v>
      </c>
      <c r="BC37" s="28">
        <f>IF(('Activity data'!BC6*EF!$H37*EF!AB55)*NtoN2O*kgtoGg=0,"NO",('Activity data'!BC6*EF!$H37*EF!AB55)*NtoN2O*kgtoGg)</f>
        <v>0.30746860699231116</v>
      </c>
      <c r="BD37" s="28">
        <f>IF(('Activity data'!BD6*EF!$H37*EF!AC55)*NtoN2O*kgtoGg=0,"NO",('Activity data'!BD6*EF!$H37*EF!AC55)*NtoN2O*kgtoGg)</f>
        <v>0.31141663192452468</v>
      </c>
      <c r="BE37" s="28">
        <f>IF(('Activity data'!BE6*EF!$H37*EF!AD55)*NtoN2O*kgtoGg=0,"NO",('Activity data'!BE6*EF!$H37*EF!AD55)*NtoN2O*kgtoGg)</f>
        <v>0.31546266087971742</v>
      </c>
      <c r="BF37" s="28">
        <f>IF(('Activity data'!BF6*EF!$H37*EF!AE55)*NtoN2O*kgtoGg=0,"NO",('Activity data'!BF6*EF!$H37*EF!AE55)*NtoN2O*kgtoGg)</f>
        <v>0.3196839301169076</v>
      </c>
      <c r="BG37" s="28">
        <f>IF(('Activity data'!BG6*EF!$H37*EF!AF55)*NtoN2O*kgtoGg=0,"NO",('Activity data'!BG6*EF!$H37*EF!AF55)*NtoN2O*kgtoGg)</f>
        <v>0.32403489464345875</v>
      </c>
      <c r="BH37" s="28">
        <f>IF(('Activity data'!BH6*EF!$H37*EF!AG55)*NtoN2O*kgtoGg=0,"NO",('Activity data'!BH6*EF!$H37*EF!AG55)*NtoN2O*kgtoGg)</f>
        <v>0.32849830621021509</v>
      </c>
      <c r="BI37" s="28">
        <f>IF(('Activity data'!BI6*EF!$H37*EF!AH55)*NtoN2O*kgtoGg=0,"NO",('Activity data'!BI6*EF!$H37*EF!AH55)*NtoN2O*kgtoGg)</f>
        <v>0.33305809303948136</v>
      </c>
      <c r="BJ37" s="28">
        <f>IF(('Activity data'!BJ6*EF!$H37*EF!AI55)*NtoN2O*kgtoGg=0,"NO",('Activity data'!BJ6*EF!$H37*EF!AI55)*NtoN2O*kgtoGg)</f>
        <v>0.33773145633167989</v>
      </c>
      <c r="BK37" s="28">
        <f>IF(('Activity data'!BK6*EF!$H37*EF!AJ55)*NtoN2O*kgtoGg=0,"NO",('Activity data'!BK6*EF!$H37*EF!AJ55)*NtoN2O*kgtoGg)</f>
        <v>0.34260013694256986</v>
      </c>
      <c r="BL37" s="28">
        <f>IF(('Activity data'!BL6*EF!$H37*EF!AK55)*NtoN2O*kgtoGg=0,"NO",('Activity data'!BL6*EF!$H37*EF!AK55)*NtoN2O*kgtoGg)</f>
        <v>0.34759900739939764</v>
      </c>
      <c r="BM37" s="28">
        <f>IF(('Activity data'!BM6*EF!$H37*EF!AL55)*NtoN2O*kgtoGg=0,"NO",('Activity data'!BM6*EF!$H37*EF!AL55)*NtoN2O*kgtoGg)</f>
        <v>0.35273335691164293</v>
      </c>
      <c r="BN37" s="28">
        <f>IF(('Activity data'!BN6*EF!$H37*EF!AM55)*NtoN2O*kgtoGg=0,"NO",('Activity data'!BN6*EF!$H37*EF!AM55)*NtoN2O*kgtoGg)</f>
        <v>0.35783711045835864</v>
      </c>
      <c r="BO37" s="28">
        <f>IF(('Activity data'!BO6*EF!$H37*EF!AN55)*NtoN2O*kgtoGg=0,"NO",('Activity data'!BO6*EF!$H37*EF!AN55)*NtoN2O*kgtoGg)</f>
        <v>0.36308402347494068</v>
      </c>
      <c r="BP37" s="28">
        <f>IF(('Activity data'!BP6*EF!$H37*EF!AO55)*NtoN2O*kgtoGg=0,"NO",('Activity data'!BP6*EF!$H37*EF!AO55)*NtoN2O*kgtoGg)</f>
        <v>0.36848214429932519</v>
      </c>
    </row>
    <row r="38" spans="1:68" x14ac:dyDescent="0.25">
      <c r="A38" t="str">
        <f t="shared" si="1"/>
        <v>3A Livestock</v>
      </c>
      <c r="B38" t="str">
        <f t="shared" ref="B38:B53" si="11">B37</f>
        <v>3A2 Manure management (N2O)</v>
      </c>
      <c r="C38" t="str">
        <f>EF!C56</f>
        <v>3A1aii Other cattle</v>
      </c>
      <c r="D38" t="str">
        <f>EF!D56</f>
        <v>Non-lactating</v>
      </c>
      <c r="E38" t="str">
        <f t="shared" si="9"/>
        <v>Manure management Emissions</v>
      </c>
      <c r="F38" t="s">
        <v>139</v>
      </c>
      <c r="G38" t="str">
        <f t="shared" si="10"/>
        <v>Gg N2O</v>
      </c>
      <c r="H38" s="28">
        <f>IF(('Activity data'!H7*EF!$H38*EF!$H56)*NtoN2O*kgtoGg=0,"NO",('Activity data'!H7*EF!$H38*EF!$H56)*NtoN2O*kgtoGg)</f>
        <v>1.1183611918471593E-2</v>
      </c>
      <c r="I38" s="28">
        <f>IF(('Activity data'!I7*EF!$H38*EF!$H56)*NtoN2O*kgtoGg=0,"NO",('Activity data'!I7*EF!$H38*EF!$H56)*NtoN2O*kgtoGg)</f>
        <v>1.2711960166782875E-2</v>
      </c>
      <c r="J38" s="28">
        <f>IF(('Activity data'!J7*EF!$H38*EF!$H56)*NtoN2O*kgtoGg=0,"NO",('Activity data'!J7*EF!$H38*EF!$H56)*NtoN2O*kgtoGg)</f>
        <v>1.0995878646861469E-2</v>
      </c>
      <c r="K38" s="28">
        <f>IF(('Activity data'!K7*EF!$H38*EF!$H56)*NtoN2O*kgtoGg=0,"NO",('Activity data'!K7*EF!$H38*EF!$H56)*NtoN2O*kgtoGg)</f>
        <v>1.1507534902584429E-2</v>
      </c>
      <c r="L38" s="28">
        <f>IF(('Activity data'!L7*EF!$H38*EF!$H56)*NtoN2O*kgtoGg=0,"NO",('Activity data'!L7*EF!$H38*EF!$H56)*NtoN2O*kgtoGg)</f>
        <v>1.0244945560421E-2</v>
      </c>
      <c r="M38" s="28">
        <f>IF(('Activity data'!M7*EF!$H38*EF!$H56)*NtoN2O*kgtoGg=0,"NO",('Activity data'!M7*EF!$H38*EF!$H56)*NtoN2O*kgtoGg)</f>
        <v>1.1132068359364188E-2</v>
      </c>
      <c r="N38" s="28">
        <f>IF(('Activity data'!N7*EF!$H38*EF!$H56)*NtoN2O*kgtoGg=0,"NO",('Activity data'!N7*EF!$H38*EF!$H56)*NtoN2O*kgtoGg)</f>
        <v>1.1319801630974307E-2</v>
      </c>
      <c r="O38" s="28">
        <f>IF(('Activity data'!O7*EF!$H38*EF!$H56)*NtoN2O*kgtoGg=0,"NO",('Activity data'!O7*EF!$H38*EF!$H56)*NtoN2O*kgtoGg)</f>
        <v>1.0937714568896487E-2</v>
      </c>
      <c r="P38" s="28">
        <f>IF(('Activity data'!P7*EF!$H38*EF!$H56)*NtoN2O*kgtoGg=0,"NO",('Activity data'!P7*EF!$H38*EF!$H56)*NtoN2O*kgtoGg)</f>
        <v>1.0374514754066132E-2</v>
      </c>
      <c r="Q38" s="28">
        <f>IF(('Activity data'!Q7*EF!$H38*EF!$H56)*NtoN2O*kgtoGg=0,"NO",('Activity data'!Q7*EF!$H38*EF!$H56)*NtoN2O*kgtoGg)</f>
        <v>1.0931094050038906E-2</v>
      </c>
      <c r="R38" s="28">
        <f>IF(('Activity data'!R7*EF!$H38*EF!$H56)*NtoN2O*kgtoGg=0,"NO",('Activity data'!R7*EF!$H38*EF!$H56)*NtoN2O*kgtoGg)</f>
        <v>1.3547539406618663E-2</v>
      </c>
      <c r="S38" s="28">
        <f>IF(('Activity data'!S7*EF!$H38*EF!$H56)*NtoN2O*kgtoGg=0,"NO",('Activity data'!S7*EF!$H38*EF!$H56)*NtoN2O*kgtoGg)</f>
        <v>1.3359806135008544E-2</v>
      </c>
      <c r="T38" s="28">
        <f>IF(('Activity data'!T7*EF!$H38*EF!$H56)*NtoN2O*kgtoGg=0,"NO",('Activity data'!T7*EF!$H38*EF!$H56)*NtoN2O*kgtoGg)</f>
        <v>1.2265088507882486E-2</v>
      </c>
      <c r="U38" s="28">
        <f>IF(('Activity data'!U7*EF!$H38*EF!$H56)*NtoN2O*kgtoGg=0,"NO",('Activity data'!U7*EF!$H38*EF!$H56)*NtoN2O*kgtoGg)</f>
        <v>1.0374514754066132E-2</v>
      </c>
      <c r="V38" s="28">
        <f>IF(('Activity data'!V7*EF!$H38*EF!$H56)*NtoN2O*kgtoGg=0,"NO",('Activity data'!V7*EF!$H38*EF!$H56)*NtoN2O*kgtoGg)</f>
        <v>9.6817457455906381E-3</v>
      </c>
      <c r="W38" s="28">
        <f>IF(('Activity data'!W7*EF!$H38*EF!$H56)*NtoN2O*kgtoGg=0,"NO",('Activity data'!W7*EF!$H38*EF!$H56)*NtoN2O*kgtoGg)</f>
        <v>1.0568868544533832E-2</v>
      </c>
      <c r="X38" s="28">
        <f>IF(('Activity data'!X7*EF!$H38*EF!$H56)*NtoN2O*kgtoGg=0,"NO",('Activity data'!X7*EF!$H38*EF!$H56)*NtoN2O*kgtoGg)</f>
        <v>1.0439299350888697E-2</v>
      </c>
      <c r="Y38" s="28">
        <f>IF(('Activity data'!Y7*EF!$H38*EF!$H56)*NtoN2O*kgtoGg=0,"NO",('Activity data'!Y7*EF!$H38*EF!$H56)*NtoN2O*kgtoGg)</f>
        <v>1.0562248025676249E-2</v>
      </c>
      <c r="Z38" s="28">
        <f>IF(('Activity data'!Z7*EF!$H38*EF!$H56)*NtoN2O*kgtoGg=0,"NO",('Activity data'!Z7*EF!$H38*EF!$H56)*NtoN2O*kgtoGg)</f>
        <v>1.2356355180135385E-2</v>
      </c>
      <c r="AA38" s="28">
        <f>IF(('Activity data'!AA7*EF!$H38*EF!$H56)*NtoN2O*kgtoGg=0,"NO",('Activity data'!AA7*EF!$H38*EF!$H56)*NtoN2O*kgtoGg)</f>
        <v>1.2861390917000753E-2</v>
      </c>
      <c r="AB38" s="28">
        <f>IF(('Activity data'!AB7*EF!$H38*EF!$H56)*NtoN2O*kgtoGg=0,"NO",('Activity data'!AB7*EF!$H38*EF!$H56)*NtoN2O*kgtoGg)</f>
        <v>1.2861390917000753E-2</v>
      </c>
      <c r="AC38" s="28">
        <f>IF(('Activity data'!AC7*EF!$H38*EF!$H56)*NtoN2O*kgtoGg=0,"NO",('Activity data'!AC7*EF!$H38*EF!$H56)*NtoN2O*kgtoGg)</f>
        <v>1.2103837311702698E-2</v>
      </c>
      <c r="AD38" s="28">
        <f>IF(('Activity data'!AD7*EF!$H38*EF!$H56)*NtoN2O*kgtoGg=0,"NO",('Activity data'!AD7*EF!$H38*EF!$H56)*NtoN2O*kgtoGg)</f>
        <v>1.2315170736744893E-2</v>
      </c>
      <c r="AE38" s="28">
        <f>IF(('Activity data'!AE7*EF!$H38*EF!$H56)*NtoN2O*kgtoGg=0,"NO",('Activity data'!AE7*EF!$H38*EF!$H56)*NtoN2O*kgtoGg)</f>
        <v>1.2422080587807589E-2</v>
      </c>
      <c r="AF38" s="28">
        <f>IF(('Activity data'!AF7*EF!$H38*EF!$H56)*NtoN2O*kgtoGg=0,"NO",('Activity data'!AF7*EF!$H38*EF!$H56)*NtoN2O*kgtoGg)</f>
        <v>1.2503681911264618E-2</v>
      </c>
      <c r="AG38" s="28">
        <f>IF(('Activity data'!AG7*EF!$H38*EF!$H56)*NtoN2O*kgtoGg=0,"NO",('Activity data'!AG7*EF!$H38*EF!$H56)*NtoN2O*kgtoGg)</f>
        <v>1.2558861823818981E-2</v>
      </c>
      <c r="AH38" s="28">
        <f>IF(('Activity data'!AH7*EF!$H38*EF!$H56)*NtoN2O*kgtoGg=0,"NO",('Activity data'!AH7*EF!$H38*EF!$H56)*NtoN2O*kgtoGg)</f>
        <v>1.2592527097315185E-2</v>
      </c>
      <c r="AI38" s="28">
        <f>IF(('Activity data'!AI7*EF!$H38*EF!H56)*NtoN2O*kgtoGg=0,"NO",('Activity data'!AI7*EF!$H38*EF!H56)*NtoN2O*kgtoGg)</f>
        <v>1.2644593577007569E-2</v>
      </c>
      <c r="AJ38" s="28">
        <f>IF(('Activity data'!AJ7*EF!$H38*EF!I56)*NtoN2O*kgtoGg=0,"NO",('Activity data'!AJ7*EF!$H38*EF!I56)*NtoN2O*kgtoGg)</f>
        <v>1.2689192701712858E-2</v>
      </c>
      <c r="AK38" s="28">
        <f>IF(('Activity data'!AK7*EF!$H38*EF!J56)*NtoN2O*kgtoGg=0,"NO",('Activity data'!AK7*EF!$H38*EF!J56)*NtoN2O*kgtoGg)</f>
        <v>1.272679210953942E-2</v>
      </c>
      <c r="AL38" s="28">
        <f>IF(('Activity data'!AL7*EF!$H38*EF!K56)*NtoN2O*kgtoGg=0,"NO",('Activity data'!AL7*EF!$H38*EF!K56)*NtoN2O*kgtoGg)</f>
        <v>1.2357908479625491E-2</v>
      </c>
      <c r="AM38" s="28">
        <f>IF(('Activity data'!AM7*EF!$H38*EF!L56)*NtoN2O*kgtoGg=0,"NO",('Activity data'!AM7*EF!$H38*EF!L56)*NtoN2O*kgtoGg)</f>
        <v>1.2458004515875875E-2</v>
      </c>
      <c r="AN38" s="28">
        <f>IF(('Activity data'!AN7*EF!$H38*EF!M56)*NtoN2O*kgtoGg=0,"NO",('Activity data'!AN7*EF!$H38*EF!M56)*NtoN2O*kgtoGg)</f>
        <v>1.2553149286086546E-2</v>
      </c>
      <c r="AO38" s="28">
        <f>IF(('Activity data'!AO7*EF!$H38*EF!N56)*NtoN2O*kgtoGg=0,"NO",('Activity data'!AO7*EF!$H38*EF!N56)*NtoN2O*kgtoGg)</f>
        <v>1.2648616723398969E-2</v>
      </c>
      <c r="AP38" s="28">
        <f>IF(('Activity data'!AP7*EF!$H38*EF!O56)*NtoN2O*kgtoGg=0,"NO",('Activity data'!AP7*EF!$H38*EF!O56)*NtoN2O*kgtoGg)</f>
        <v>1.2739936802154298E-2</v>
      </c>
      <c r="AQ38" s="28">
        <f>IF(('Activity data'!AQ7*EF!$H38*EF!P56)*NtoN2O*kgtoGg=0,"NO",('Activity data'!AQ7*EF!$H38*EF!P56)*NtoN2O*kgtoGg)</f>
        <v>1.2834827499315181E-2</v>
      </c>
      <c r="AR38" s="28">
        <f>IF(('Activity data'!AR7*EF!$H38*EF!Q56)*NtoN2O*kgtoGg=0,"NO",('Activity data'!AR7*EF!$H38*EF!Q56)*NtoN2O*kgtoGg)</f>
        <v>1.2947204931467336E-2</v>
      </c>
      <c r="AS38" s="28">
        <f>IF(('Activity data'!AS7*EF!$H38*EF!R56)*NtoN2O*kgtoGg=0,"NO",('Activity data'!AS7*EF!$H38*EF!R56)*NtoN2O*kgtoGg)</f>
        <v>1.3057668270166901E-2</v>
      </c>
      <c r="AT38" s="28">
        <f>IF(('Activity data'!AT7*EF!$H38*EF!S56)*NtoN2O*kgtoGg=0,"NO",('Activity data'!AT7*EF!$H38*EF!S56)*NtoN2O*kgtoGg)</f>
        <v>1.3172642656271358E-2</v>
      </c>
      <c r="AU38" s="28">
        <f>IF(('Activity data'!AU7*EF!$H38*EF!T56)*NtoN2O*kgtoGg=0,"NO",('Activity data'!AU7*EF!$H38*EF!T56)*NtoN2O*kgtoGg)</f>
        <v>1.3290621257148343E-2</v>
      </c>
      <c r="AV38" s="28">
        <f>IF(('Activity data'!AV7*EF!$H38*EF!U56)*NtoN2O*kgtoGg=0,"NO",('Activity data'!AV7*EF!$H38*EF!U56)*NtoN2O*kgtoGg)</f>
        <v>1.341184847097446E-2</v>
      </c>
      <c r="AW38" s="28">
        <f>IF(('Activity data'!AW7*EF!$H38*EF!V56)*NtoN2O*kgtoGg=0,"NO",('Activity data'!AW7*EF!$H38*EF!V56)*NtoN2O*kgtoGg)</f>
        <v>1.3556273223297015E-2</v>
      </c>
      <c r="AX38" s="28">
        <f>IF(('Activity data'!AX7*EF!$H38*EF!W56)*NtoN2O*kgtoGg=0,"NO",('Activity data'!AX7*EF!$H38*EF!W56)*NtoN2O*kgtoGg)</f>
        <v>1.3692344252096172E-2</v>
      </c>
      <c r="AY38" s="28">
        <f>IF(('Activity data'!AY7*EF!$H38*EF!X56)*NtoN2O*kgtoGg=0,"NO",('Activity data'!AY7*EF!$H38*EF!X56)*NtoN2O*kgtoGg)</f>
        <v>1.3841725548656666E-2</v>
      </c>
      <c r="AZ38" s="28">
        <f>IF(('Activity data'!AZ7*EF!$H38*EF!Y56)*NtoN2O*kgtoGg=0,"NO",('Activity data'!AZ7*EF!$H38*EF!Y56)*NtoN2O*kgtoGg)</f>
        <v>1.3999381021545888E-2</v>
      </c>
      <c r="BA38" s="28">
        <f>IF(('Activity data'!BA7*EF!$H38*EF!Z56)*NtoN2O*kgtoGg=0,"NO",('Activity data'!BA7*EF!$H38*EF!Z56)*NtoN2O*kgtoGg)</f>
        <v>1.4165384760642013E-2</v>
      </c>
      <c r="BB38" s="28">
        <f>IF(('Activity data'!BB7*EF!$H38*EF!AA56)*NtoN2O*kgtoGg=0,"NO",('Activity data'!BB7*EF!$H38*EF!AA56)*NtoN2O*kgtoGg)</f>
        <v>1.4333889720354827E-2</v>
      </c>
      <c r="BC38" s="28">
        <f>IF(('Activity data'!BC7*EF!$H38*EF!AB56)*NtoN2O*kgtoGg=0,"NO",('Activity data'!BC7*EF!$H38*EF!AB56)*NtoN2O*kgtoGg)</f>
        <v>1.450697406624799E-2</v>
      </c>
      <c r="BD38" s="28">
        <f>IF(('Activity data'!BD7*EF!$H38*EF!AC56)*NtoN2O*kgtoGg=0,"NO",('Activity data'!BD7*EF!$H38*EF!AC56)*NtoN2O*kgtoGg)</f>
        <v>1.46801491532493E-2</v>
      </c>
      <c r="BE38" s="28">
        <f>IF(('Activity data'!BE7*EF!$H38*EF!AD56)*NtoN2O*kgtoGg=0,"NO",('Activity data'!BE7*EF!$H38*EF!AD56)*NtoN2O*kgtoGg)</f>
        <v>1.4857623061939256E-2</v>
      </c>
      <c r="BF38" s="28">
        <f>IF(('Activity data'!BF7*EF!$H38*EF!AE56)*NtoN2O*kgtoGg=0,"NO",('Activity data'!BF7*EF!$H38*EF!AE56)*NtoN2O*kgtoGg)</f>
        <v>1.5042783662481999E-2</v>
      </c>
      <c r="BG38" s="28">
        <f>IF(('Activity data'!BG7*EF!$H38*EF!AF56)*NtoN2O*kgtoGg=0,"NO",('Activity data'!BG7*EF!$H38*EF!AF56)*NtoN2O*kgtoGg)</f>
        <v>1.5233633181763696E-2</v>
      </c>
      <c r="BH38" s="28">
        <f>IF(('Activity data'!BH7*EF!$H38*EF!AG56)*NtoN2O*kgtoGg=0,"NO",('Activity data'!BH7*EF!$H38*EF!AG56)*NtoN2O*kgtoGg)</f>
        <v>1.5429415047295716E-2</v>
      </c>
      <c r="BI38" s="28">
        <f>IF(('Activity data'!BI7*EF!$H38*EF!AH56)*NtoN2O*kgtoGg=0,"NO",('Activity data'!BI7*EF!$H38*EF!AH56)*NtoN2O*kgtoGg)</f>
        <v>1.5629424291012144E-2</v>
      </c>
      <c r="BJ38" s="28">
        <f>IF(('Activity data'!BJ7*EF!$H38*EF!AI56)*NtoN2O*kgtoGg=0,"NO",('Activity data'!BJ7*EF!$H38*EF!AI56)*NtoN2O*kgtoGg)</f>
        <v>1.5834415421668826E-2</v>
      </c>
      <c r="BK38" s="28">
        <f>IF(('Activity data'!BK7*EF!$H38*EF!AJ56)*NtoN2O*kgtoGg=0,"NO",('Activity data'!BK7*EF!$H38*EF!AJ56)*NtoN2O*kgtoGg)</f>
        <v>1.6047973897830668E-2</v>
      </c>
      <c r="BL38" s="28">
        <f>IF(('Activity data'!BL7*EF!$H38*EF!AK56)*NtoN2O*kgtoGg=0,"NO",('Activity data'!BL7*EF!$H38*EF!AK56)*NtoN2O*kgtoGg)</f>
        <v>1.6267242985826033E-2</v>
      </c>
      <c r="BM38" s="28">
        <f>IF(('Activity data'!BM7*EF!$H38*EF!AL56)*NtoN2O*kgtoGg=0,"NO",('Activity data'!BM7*EF!$H38*EF!AL56)*NtoN2O*kgtoGg)</f>
        <v>1.6492454690094503E-2</v>
      </c>
      <c r="BN38" s="28">
        <f>IF(('Activity data'!BN7*EF!$H38*EF!AM56)*NtoN2O*kgtoGg=0,"NO",('Activity data'!BN7*EF!$H38*EF!AM56)*NtoN2O*kgtoGg)</f>
        <v>1.6716324341289997E-2</v>
      </c>
      <c r="BO38" s="28">
        <f>IF(('Activity data'!BO7*EF!$H38*EF!AN56)*NtoN2O*kgtoGg=0,"NO",('Activity data'!BO7*EF!$H38*EF!AN56)*NtoN2O*kgtoGg)</f>
        <v>1.6946473500359636E-2</v>
      </c>
      <c r="BP38" s="28">
        <f>IF(('Activity data'!BP7*EF!$H38*EF!AO56)*NtoN2O*kgtoGg=0,"NO",('Activity data'!BP7*EF!$H38*EF!AO56)*NtoN2O*kgtoGg)</f>
        <v>1.7183255197399789E-2</v>
      </c>
    </row>
    <row r="39" spans="1:68" x14ac:dyDescent="0.25">
      <c r="A39" t="str">
        <f t="shared" si="1"/>
        <v>3A Livestock</v>
      </c>
      <c r="B39" t="str">
        <f t="shared" si="11"/>
        <v>3A2 Manure management (N2O)</v>
      </c>
      <c r="C39" t="str">
        <f>EF!C57</f>
        <v>3A1aii Other cattle</v>
      </c>
      <c r="D39" t="str">
        <f>EF!D57</f>
        <v>Commercial</v>
      </c>
      <c r="E39" t="str">
        <f>E37</f>
        <v>Manure management Emissions</v>
      </c>
      <c r="F39" t="s">
        <v>139</v>
      </c>
      <c r="G39" t="str">
        <f>G37</f>
        <v>Gg N2O</v>
      </c>
      <c r="H39" s="28">
        <f>IF(('Activity data'!H8*EF!$H39*EF!$H57)*NtoN2O*kgtoGg=0,"NO",('Activity data'!H8*EF!$H39*EF!$H57)*NtoN2O*kgtoGg)</f>
        <v>0.60130464628072355</v>
      </c>
      <c r="I39" s="28">
        <f>IF(('Activity data'!I8*EF!$H39*EF!$H57)*NtoN2O*kgtoGg=0,"NO",('Activity data'!I8*EF!$H39*EF!$H57)*NtoN2O*kgtoGg)</f>
        <v>0.57535110604783257</v>
      </c>
      <c r="J39" s="28">
        <f>IF(('Activity data'!J8*EF!$H39*EF!$H57)*NtoN2O*kgtoGg=0,"NO",('Activity data'!J8*EF!$H39*EF!$H57)*NtoN2O*kgtoGg)</f>
        <v>0.57514205938404817</v>
      </c>
      <c r="K39" s="28">
        <f>IF(('Activity data'!K8*EF!$H39*EF!$H57)*NtoN2O*kgtoGg=0,"NO",('Activity data'!K8*EF!$H39*EF!$H57)*NtoN2O*kgtoGg)</f>
        <v>0.53806582535232794</v>
      </c>
      <c r="L39" s="28">
        <f>IF(('Activity data'!L8*EF!$H39*EF!$H57)*NtoN2O*kgtoGg=0,"NO",('Activity data'!L8*EF!$H39*EF!$H57)*NtoN2O*kgtoGg)</f>
        <v>0.55428678799788489</v>
      </c>
      <c r="M39" s="28">
        <f>IF(('Activity data'!M8*EF!$H39*EF!$H57)*NtoN2O*kgtoGg=0,"NO",('Activity data'!M8*EF!$H39*EF!$H57)*NtoN2O*kgtoGg)</f>
        <v>0.56688956745844588</v>
      </c>
      <c r="N39" s="28">
        <f>IF(('Activity data'!N8*EF!$H39*EF!$H57)*NtoN2O*kgtoGg=0,"NO",('Activity data'!N8*EF!$H39*EF!$H57)*NtoN2O*kgtoGg)</f>
        <v>0.59040599405405159</v>
      </c>
      <c r="O39" s="28">
        <f>IF(('Activity data'!O8*EF!$H39*EF!$H57)*NtoN2O*kgtoGg=0,"NO",('Activity data'!O8*EF!$H39*EF!$H57)*NtoN2O*kgtoGg)</f>
        <v>0.61277134091869179</v>
      </c>
      <c r="P39" s="28">
        <f>IF(('Activity data'!P8*EF!$H39*EF!$H57)*NtoN2O*kgtoGg=0,"NO",('Activity data'!P8*EF!$H39*EF!$H57)*NtoN2O*kgtoGg)</f>
        <v>0.6180786564292039</v>
      </c>
      <c r="Q39" s="28">
        <f>IF(('Activity data'!Q8*EF!$H39*EF!$H57)*NtoN2O*kgtoGg=0,"NO",('Activity data'!Q8*EF!$H39*EF!$H57)*NtoN2O*kgtoGg)</f>
        <v>0.60807705254459443</v>
      </c>
      <c r="R39" s="28">
        <f>IF(('Activity data'!R8*EF!$H39*EF!$H57)*NtoN2O*kgtoGg=0,"NO",('Activity data'!R8*EF!$H39*EF!$H57)*NtoN2O*kgtoGg)</f>
        <v>0.56676960819146394</v>
      </c>
      <c r="S39" s="28">
        <f>IF(('Activity data'!S8*EF!$H39*EF!$H57)*NtoN2O*kgtoGg=0,"NO",('Activity data'!S8*EF!$H39*EF!$H57)*NtoN2O*kgtoGg)</f>
        <v>0.56971478460655445</v>
      </c>
      <c r="T39" s="28">
        <f>IF(('Activity data'!T8*EF!$H39*EF!$H57)*NtoN2O*kgtoGg=0,"NO",('Activity data'!T8*EF!$H39*EF!$H57)*NtoN2O*kgtoGg)</f>
        <v>0.53097940806606359</v>
      </c>
      <c r="U39" s="28">
        <f>IF(('Activity data'!U8*EF!$H39*EF!$H57)*NtoN2O*kgtoGg=0,"NO",('Activity data'!U8*EF!$H39*EF!$H57)*NtoN2O*kgtoGg)</f>
        <v>0.54486822143294433</v>
      </c>
      <c r="V39" s="28">
        <f>IF(('Activity data'!V8*EF!$H39*EF!$H57)*NtoN2O*kgtoGg=0,"NO",('Activity data'!V8*EF!$H39*EF!$H57)*NtoN2O*kgtoGg)</f>
        <v>0.54989151573780826</v>
      </c>
      <c r="W39" s="28">
        <f>IF(('Activity data'!W8*EF!$H39*EF!$H57)*NtoN2O*kgtoGg=0,"NO",('Activity data'!W8*EF!$H39*EF!$H57)*NtoN2O*kgtoGg)</f>
        <v>0.55455581429516021</v>
      </c>
      <c r="X39" s="28">
        <f>IF(('Activity data'!X8*EF!$H39*EF!$H57)*NtoN2O*kgtoGg=0,"NO",('Activity data'!X8*EF!$H39*EF!$H57)*NtoN2O*kgtoGg)</f>
        <v>0.54192304501785393</v>
      </c>
      <c r="Y39" s="28">
        <f>IF(('Activity data'!Y8*EF!$H39*EF!$H57)*NtoN2O*kgtoGg=0,"NO",('Activity data'!Y8*EF!$H39*EF!$H57)*NtoN2O*kgtoGg)</f>
        <v>0.55780000682427144</v>
      </c>
      <c r="Z39" s="28">
        <f>IF(('Activity data'!Z8*EF!$H39*EF!$H57)*NtoN2O*kgtoGg=0,"NO",('Activity data'!Z8*EF!$H39*EF!$H57)*NtoN2O*kgtoGg)</f>
        <v>0.54229988029606202</v>
      </c>
      <c r="AA39" s="28">
        <f>IF(('Activity data'!AA8*EF!$H39*EF!$H57)*NtoN2O*kgtoGg=0,"NO",('Activity data'!AA8*EF!$H39*EF!$H57)*NtoN2O*kgtoGg)</f>
        <v>0.53319429569117582</v>
      </c>
      <c r="AB39" s="28">
        <f>IF(('Activity data'!AB8*EF!$H39*EF!$H57)*NtoN2O*kgtoGg=0,"NO",('Activity data'!AB8*EF!$H39*EF!$H57)*NtoN2O*kgtoGg)</f>
        <v>0.53151813690158023</v>
      </c>
      <c r="AC39" s="28">
        <f>IF(('Activity data'!AC8*EF!$H39*EF!$H57)*NtoN2O*kgtoGg=0,"NO",('Activity data'!AC8*EF!$H39*EF!$H57)*NtoN2O*kgtoGg)</f>
        <v>0.52960956438265261</v>
      </c>
      <c r="AD39" s="28">
        <f>IF(('Activity data'!AD8*EF!$H39*EF!$H57)*NtoN2O*kgtoGg=0,"NO",('Activity data'!AD8*EF!$H39*EF!$H57)*NtoN2O*kgtoGg)</f>
        <v>0.52560925300324846</v>
      </c>
      <c r="AE39" s="28">
        <f>IF(('Activity data'!AE8*EF!$H39*EF!$H57)*NtoN2O*kgtoGg=0,"NO",('Activity data'!AE8*EF!$H39*EF!$H57)*NtoN2O*kgtoGg)</f>
        <v>0.52265542246684837</v>
      </c>
      <c r="AF39" s="28">
        <f>IF(('Activity data'!AF8*EF!$H39*EF!$H57)*NtoN2O*kgtoGg=0,"NO",('Activity data'!AF8*EF!$H39*EF!$H57)*NtoN2O*kgtoGg)</f>
        <v>0.52056748114005991</v>
      </c>
      <c r="AG39" s="28">
        <f>IF(('Activity data'!AG8*EF!$H39*EF!$H57)*NtoN2O*kgtoGg=0,"NO",('Activity data'!AG8*EF!$H39*EF!$H57)*NtoN2O*kgtoGg)</f>
        <v>0.51930985248351169</v>
      </c>
      <c r="AH39" s="28">
        <f>IF(('Activity data'!AH8*EF!$H39*EF!$H57)*NtoN2O*kgtoGg=0,"NO",('Activity data'!AH8*EF!$H39*EF!$H57)*NtoN2O*kgtoGg)</f>
        <v>0.51872882964095657</v>
      </c>
      <c r="AI39" s="28">
        <f>IF(('Activity data'!AI8*EF!$H39*EF!$H57)*NtoN2O*kgtoGg=0,"NO",('Activity data'!AI8*EF!$H39*EF!H57)*NtoN2O*kgtoGg)</f>
        <v>0.51762308172493565</v>
      </c>
      <c r="AJ39" s="28">
        <f>IF(('Activity data'!AJ8*EF!$H39*EF!$H57)*NtoN2O*kgtoGg=0,"NO",('Activity data'!AJ8*EF!$H39*EF!I57)*NtoN2O*kgtoGg)</f>
        <v>0.5167446125563121</v>
      </c>
      <c r="AK39" s="28">
        <f>IF(('Activity data'!AK8*EF!$H39*EF!$H57)*NtoN2O*kgtoGg=0,"NO",('Activity data'!AK8*EF!$H39*EF!J57)*NtoN2O*kgtoGg)</f>
        <v>0.51607254938480418</v>
      </c>
      <c r="AL39" s="28">
        <f>IF(('Activity data'!AL8*EF!$H39*EF!$H57)*NtoN2O*kgtoGg=0,"NO",('Activity data'!AL8*EF!$H39*EF!K57)*NtoN2O*kgtoGg)</f>
        <v>0.52766580011525588</v>
      </c>
      <c r="AM39" s="28">
        <f>IF(('Activity data'!AM8*EF!$H39*EF!$H57)*NtoN2O*kgtoGg=0,"NO",('Activity data'!AM8*EF!$H39*EF!L57)*NtoN2O*kgtoGg)</f>
        <v>0.52489504694044498</v>
      </c>
      <c r="AN39" s="28">
        <f>IF(('Activity data'!AN8*EF!$H39*EF!$H57)*NtoN2O*kgtoGg=0,"NO",('Activity data'!AN8*EF!$H39*EF!M57)*NtoN2O*kgtoGg)</f>
        <v>0.52237409637965448</v>
      </c>
      <c r="AO39" s="28">
        <f>IF(('Activity data'!AO8*EF!$H39*EF!$H57)*NtoN2O*kgtoGg=0,"NO",('Activity data'!AO8*EF!$H39*EF!N57)*NtoN2O*kgtoGg)</f>
        <v>0.5199256435252867</v>
      </c>
      <c r="AP39" s="28">
        <f>IF(('Activity data'!AP8*EF!$H39*EF!$H57)*NtoN2O*kgtoGg=0,"NO",('Activity data'!AP8*EF!$H39*EF!O57)*NtoN2O*kgtoGg)</f>
        <v>0.51767348409466596</v>
      </c>
      <c r="AQ39" s="28">
        <f>IF(('Activity data'!AQ8*EF!$H39*EF!$H57)*NtoN2O*kgtoGg=0,"NO",('Activity data'!AQ8*EF!$H39*EF!P57)*NtoN2O*kgtoGg)</f>
        <v>0.5153876404357105</v>
      </c>
      <c r="AR39" s="28">
        <f>IF(('Activity data'!AR8*EF!$H39*EF!$H57)*NtoN2O*kgtoGg=0,"NO",('Activity data'!AR8*EF!$H39*EF!Q57)*NtoN2O*kgtoGg)</f>
        <v>0.51272994059660393</v>
      </c>
      <c r="AS39" s="28">
        <f>IF(('Activity data'!AS8*EF!$H39*EF!$H57)*NtoN2O*kgtoGg=0,"NO",('Activity data'!AS8*EF!$H39*EF!R57)*NtoN2O*kgtoGg)</f>
        <v>0.51021292893619707</v>
      </c>
      <c r="AT39" s="28">
        <f>IF(('Activity data'!AT8*EF!$H39*EF!$H57)*NtoN2O*kgtoGg=0,"NO",('Activity data'!AT8*EF!$H39*EF!S57)*NtoN2O*kgtoGg)</f>
        <v>0.50766442172158144</v>
      </c>
      <c r="AU39" s="28">
        <f>IF(('Activity data'!AU8*EF!$H39*EF!$H57)*NtoN2O*kgtoGg=0,"NO",('Activity data'!AU8*EF!$H39*EF!T57)*NtoN2O*kgtoGg)</f>
        <v>0.50512681351002309</v>
      </c>
      <c r="AV39" s="28">
        <f>IF(('Activity data'!AV8*EF!$H39*EF!$H57)*NtoN2O*kgtoGg=0,"NO",('Activity data'!AV8*EF!$H39*EF!U57)*NtoN2O*kgtoGg)</f>
        <v>0.50259608513374121</v>
      </c>
      <c r="AW39" s="28">
        <f>IF(('Activity data'!AW8*EF!$H39*EF!$H57)*NtoN2O*kgtoGg=0,"NO",('Activity data'!AW8*EF!$H39*EF!V57)*NtoN2O*kgtoGg)</f>
        <v>0.50727273399772899</v>
      </c>
      <c r="AX39" s="28">
        <f>IF(('Activity data'!AX8*EF!$H39*EF!$H57)*NtoN2O*kgtoGg=0,"NO",('Activity data'!AX8*EF!$H39*EF!W57)*NtoN2O*kgtoGg)</f>
        <v>0.50948631292878332</v>
      </c>
      <c r="AY39" s="28">
        <f>IF(('Activity data'!AY8*EF!$H39*EF!$H57)*NtoN2O*kgtoGg=0,"NO",('Activity data'!AY8*EF!$H39*EF!X57)*NtoN2O*kgtoGg)</f>
        <v>0.51245447075519646</v>
      </c>
      <c r="AZ39" s="28">
        <f>IF(('Activity data'!AZ8*EF!$H39*EF!$H57)*NtoN2O*kgtoGg=0,"NO",('Activity data'!AZ8*EF!$H39*EF!Y57)*NtoN2O*kgtoGg)</f>
        <v>0.51529167937353604</v>
      </c>
      <c r="BA39" s="28">
        <f>IF(('Activity data'!BA8*EF!$H39*EF!$H57)*NtoN2O*kgtoGg=0,"NO",('Activity data'!BA8*EF!$H39*EF!Z57)*NtoN2O*kgtoGg)</f>
        <v>0.5178903866879222</v>
      </c>
      <c r="BB39" s="28">
        <f>IF(('Activity data'!BB8*EF!$H39*EF!$H57)*NtoN2O*kgtoGg=0,"NO",('Activity data'!BB8*EF!$H39*EF!AA57)*NtoN2O*kgtoGg)</f>
        <v>0.51930468447845146</v>
      </c>
      <c r="BC39" s="28">
        <f>IF(('Activity data'!BC8*EF!$H39*EF!$H57)*NtoN2O*kgtoGg=0,"NO",('Activity data'!BC8*EF!$H39*EF!AB57)*NtoN2O*kgtoGg)</f>
        <v>0.51983642878109337</v>
      </c>
      <c r="BD39" s="28">
        <f>IF(('Activity data'!BD8*EF!$H39*EF!$H57)*NtoN2O*kgtoGg=0,"NO",('Activity data'!BD8*EF!$H39*EF!AC57)*NtoN2O*kgtoGg)</f>
        <v>0.51888470011301202</v>
      </c>
      <c r="BE39" s="28">
        <f>IF(('Activity data'!BE8*EF!$H39*EF!$H57)*NtoN2O*kgtoGg=0,"NO",('Activity data'!BE8*EF!$H39*EF!AD57)*NtoN2O*kgtoGg)</f>
        <v>0.51693071827278259</v>
      </c>
      <c r="BF39" s="28">
        <f>IF(('Activity data'!BF8*EF!$H39*EF!$H57)*NtoN2O*kgtoGg=0,"NO",('Activity data'!BF8*EF!$H39*EF!AE57)*NtoN2O*kgtoGg)</f>
        <v>0.51428589351666076</v>
      </c>
      <c r="BG39" s="28">
        <f>IF(('Activity data'!BG8*EF!$H39*EF!$H57)*NtoN2O*kgtoGg=0,"NO",('Activity data'!BG8*EF!$H39*EF!AF57)*NtoN2O*kgtoGg)</f>
        <v>0.5161441594893954</v>
      </c>
      <c r="BH39" s="28">
        <f>IF(('Activity data'!BH8*EF!$H39*EF!$H57)*NtoN2O*kgtoGg=0,"NO",('Activity data'!BH8*EF!$H39*EF!AG57)*NtoN2O*kgtoGg)</f>
        <v>0.51727806315197622</v>
      </c>
      <c r="BI39" s="28">
        <f>IF(('Activity data'!BI8*EF!$H39*EF!$H57)*NtoN2O*kgtoGg=0,"NO",('Activity data'!BI8*EF!$H39*EF!AH57)*NtoN2O*kgtoGg)</f>
        <v>0.51756510201077255</v>
      </c>
      <c r="BJ39" s="28">
        <f>IF(('Activity data'!BJ8*EF!$H39*EF!$H57)*NtoN2O*kgtoGg=0,"NO",('Activity data'!BJ8*EF!$H39*EF!AI57)*NtoN2O*kgtoGg)</f>
        <v>0.51703250485932495</v>
      </c>
      <c r="BK39" s="28">
        <f>IF(('Activity data'!BK8*EF!$H39*EF!$H57)*NtoN2O*kgtoGg=0,"NO",('Activity data'!BK8*EF!$H39*EF!AJ57)*NtoN2O*kgtoGg)</f>
        <v>0.51595776792220149</v>
      </c>
      <c r="BL39" s="28">
        <f>IF(('Activity data'!BL8*EF!$H39*EF!$H57)*NtoN2O*kgtoGg=0,"NO",('Activity data'!BL8*EF!$H39*EF!AK57)*NtoN2O*kgtoGg)</f>
        <v>0.51405066347328132</v>
      </c>
      <c r="BM39" s="28">
        <f>IF(('Activity data'!BM8*EF!$H39*EF!$H57)*NtoN2O*kgtoGg=0,"NO",('Activity data'!BM8*EF!$H39*EF!AL57)*NtoN2O*kgtoGg)</f>
        <v>0.51121160033323121</v>
      </c>
      <c r="BN39" s="28">
        <f>IF(('Activity data'!BN8*EF!$H39*EF!$H57)*NtoN2O*kgtoGg=0,"NO",('Activity data'!BN8*EF!$H39*EF!AM57)*NtoN2O*kgtoGg)</f>
        <v>0.50678331234322194</v>
      </c>
      <c r="BO39" s="28">
        <f>IF(('Activity data'!BO8*EF!$H39*EF!$H57)*NtoN2O*kgtoGg=0,"NO",('Activity data'!BO8*EF!$H39*EF!AN57)*NtoN2O*kgtoGg)</f>
        <v>0.50137451197517768</v>
      </c>
      <c r="BP39" s="28">
        <f>IF(('Activity data'!BP8*EF!$H39*EF!$H57)*NtoN2O*kgtoGg=0,"NO",('Activity data'!BP8*EF!$H39*EF!AO57)*NtoN2O*kgtoGg)</f>
        <v>0.49494462823792856</v>
      </c>
    </row>
    <row r="40" spans="1:68" x14ac:dyDescent="0.25">
      <c r="A40" t="str">
        <f t="shared" si="1"/>
        <v>3A Livestock</v>
      </c>
      <c r="B40" t="str">
        <f t="shared" si="11"/>
        <v>3A2 Manure management (N2O)</v>
      </c>
      <c r="C40" t="str">
        <f>EF!C58</f>
        <v>3A1aii Other cattle</v>
      </c>
      <c r="D40" t="str">
        <f>EF!D58</f>
        <v>Subsistence</v>
      </c>
      <c r="E40" t="str">
        <f t="shared" si="9"/>
        <v>Manure management Emissions</v>
      </c>
      <c r="F40" t="s">
        <v>139</v>
      </c>
      <c r="G40" t="str">
        <f t="shared" si="10"/>
        <v>Gg N2O</v>
      </c>
      <c r="H40" s="28">
        <f>IF(('Activity data'!H9*EF!$H40*EF!$H58)*NtoN2O*kgtoGg=0,"NO",('Activity data'!H9*EF!$H40*EF!$H58)*NtoN2O*kgtoGg)</f>
        <v>0.86687656456018569</v>
      </c>
      <c r="I40" s="28">
        <f>IF(('Activity data'!I9*EF!$H40*EF!$H58)*NtoN2O*kgtoGg=0,"NO",('Activity data'!I9*EF!$H40*EF!$H58)*NtoN2O*kgtoGg)</f>
        <v>0.93391095619577136</v>
      </c>
      <c r="J40" s="28">
        <f>IF(('Activity data'!J9*EF!$H40*EF!$H58)*NtoN2O*kgtoGg=0,"NO",('Activity data'!J9*EF!$H40*EF!$H58)*NtoN2O*kgtoGg)</f>
        <v>0.94305200960062396</v>
      </c>
      <c r="K40" s="28">
        <f>IF(('Activity data'!K9*EF!$H40*EF!$H58)*NtoN2O*kgtoGg=0,"NO",('Activity data'!K9*EF!$H40*EF!$H58)*NtoN2O*kgtoGg)</f>
        <v>0.94305200960062374</v>
      </c>
      <c r="L40" s="28">
        <f>IF(('Activity data'!L9*EF!$H40*EF!$H58)*NtoN2O*kgtoGg=0,"NO",('Activity data'!L9*EF!$H40*EF!$H58)*NtoN2O*kgtoGg)</f>
        <v>0.82878884203996683</v>
      </c>
      <c r="M40" s="28">
        <f>IF(('Activity data'!M9*EF!$H40*EF!$H58)*NtoN2O*kgtoGg=0,"NO",('Activity data'!M9*EF!$H40*EF!$H58)*NtoN2O*kgtoGg)</f>
        <v>0.81812427973430535</v>
      </c>
      <c r="N40" s="28">
        <f>IF(('Activity data'!N9*EF!$H40*EF!$H58)*NtoN2O*kgtoGg=0,"NO",('Activity data'!N9*EF!$H40*EF!$H58)*NtoN2O*kgtoGg)</f>
        <v>0.83792989544481933</v>
      </c>
      <c r="O40" s="28">
        <f>IF(('Activity data'!O9*EF!$H40*EF!$H58)*NtoN2O*kgtoGg=0,"NO",('Activity data'!O9*EF!$H40*EF!$H58)*NtoN2O*kgtoGg)</f>
        <v>0.8623060378577595</v>
      </c>
      <c r="P40" s="28">
        <f>IF(('Activity data'!P9*EF!$H40*EF!$H58)*NtoN2O*kgtoGg=0,"NO",('Activity data'!P9*EF!$H40*EF!$H58)*NtoN2O*kgtoGg)</f>
        <v>0.9003937603779788</v>
      </c>
      <c r="Q40" s="28">
        <f>IF(('Activity data'!Q9*EF!$H40*EF!$H58)*NtoN2O*kgtoGg=0,"NO",('Activity data'!Q9*EF!$H40*EF!$H58)*NtoN2O*kgtoGg)</f>
        <v>0.93238744729496259</v>
      </c>
      <c r="R40" s="28">
        <f>IF(('Activity data'!R9*EF!$H40*EF!$H58)*NtoN2O*kgtoGg=0,"NO",('Activity data'!R9*EF!$H40*EF!$H58)*NtoN2O*kgtoGg)</f>
        <v>0.95828709860871153</v>
      </c>
      <c r="S40" s="28">
        <f>IF(('Activity data'!S9*EF!$H40*EF!$H58)*NtoN2O*kgtoGg=0,"NO",('Activity data'!S9*EF!$H40*EF!$H58)*NtoN2O*kgtoGg)</f>
        <v>0.93848148289819766</v>
      </c>
      <c r="T40" s="28">
        <f>IF(('Activity data'!T9*EF!$H40*EF!$H58)*NtoN2O*kgtoGg=0,"NO",('Activity data'!T9*EF!$H40*EF!$H58)*NtoN2O*kgtoGg)</f>
        <v>1.0131334190378269</v>
      </c>
      <c r="U40" s="28">
        <f>IF(('Activity data'!U9*EF!$H40*EF!$H58)*NtoN2O*kgtoGg=0,"NO",('Activity data'!U9*EF!$H40*EF!$H58)*NtoN2O*kgtoGg)</f>
        <v>1.0116099101370184</v>
      </c>
      <c r="V40" s="28">
        <f>IF(('Activity data'!V9*EF!$H40*EF!$H58)*NtoN2O*kgtoGg=0,"NO",('Activity data'!V9*EF!$H40*EF!$H58)*NtoN2O*kgtoGg)</f>
        <v>0.99028078552569576</v>
      </c>
      <c r="W40" s="28">
        <f>IF(('Activity data'!W9*EF!$H40*EF!$H58)*NtoN2O*kgtoGg=0,"NO",('Activity data'!W9*EF!$H40*EF!$H58)*NtoN2O*kgtoGg)</f>
        <v>0.9780927143192254</v>
      </c>
      <c r="X40" s="28">
        <f>IF(('Activity data'!X9*EF!$H40*EF!$H58)*NtoN2O*kgtoGg=0,"NO",('Activity data'!X9*EF!$H40*EF!$H58)*NtoN2O*kgtoGg)</f>
        <v>1.000945347831357</v>
      </c>
      <c r="Y40" s="28">
        <f>IF(('Activity data'!Y9*EF!$H40*EF!$H58)*NtoN2O*kgtoGg=0,"NO",('Activity data'!Y9*EF!$H40*EF!$H58)*NtoN2O*kgtoGg)</f>
        <v>1.0344625436491495</v>
      </c>
      <c r="Z40" s="28">
        <f>IF(('Activity data'!Z9*EF!$H40*EF!$H58)*NtoN2O*kgtoGg=0,"NO",('Activity data'!Z9*EF!$H40*EF!$H58)*NtoN2O*kgtoGg)</f>
        <v>1.0542681593596637</v>
      </c>
      <c r="AA40" s="28">
        <f>IF(('Activity data'!AA9*EF!$H40*EF!$H58)*NtoN2O*kgtoGg=0,"NO",('Activity data'!AA9*EF!$H40*EF!$H58)*NtoN2O*kgtoGg)</f>
        <v>1.0512211415580461</v>
      </c>
      <c r="AB40" s="28">
        <f>IF(('Activity data'!AB9*EF!$H40*EF!$H58)*NtoN2O*kgtoGg=0,"NO",('Activity data'!AB9*EF!$H40*EF!$H58)*NtoN2O*kgtoGg)</f>
        <v>1.0390330703515762</v>
      </c>
      <c r="AC40" s="28">
        <f>IF(('Activity data'!AC9*EF!$H40*EF!$H58)*NtoN2O*kgtoGg=0,"NO",('Activity data'!AC9*EF!$H40*EF!$H58)*NtoN2O*kgtoGg)</f>
        <v>1.0359860525499582</v>
      </c>
      <c r="AD40" s="28">
        <f>IF(('Activity data'!AD9*EF!$H40*EF!$H58)*NtoN2O*kgtoGg=0,"NO",('Activity data'!AD9*EF!$H40*EF!$H58)*NtoN2O*kgtoGg)</f>
        <v>1.0279552959062477</v>
      </c>
      <c r="AE40" s="28">
        <f>IF(('Activity data'!AE9*EF!$H40*EF!$H58)*NtoN2O*kgtoGg=0,"NO",('Activity data'!AE9*EF!$H40*EF!$H58)*NtoN2O*kgtoGg)</f>
        <v>1.0306512810097801</v>
      </c>
      <c r="AF40" s="28">
        <f>IF(('Activity data'!AF9*EF!$H40*EF!$H58)*NtoN2O*kgtoGg=0,"NO",('Activity data'!AF9*EF!$H40*EF!$H58)*NtoN2O*kgtoGg)</f>
        <v>1.0333717499516712</v>
      </c>
      <c r="AG40" s="28">
        <f>IF(('Activity data'!AG9*EF!$H40*EF!$H58)*NtoN2O*kgtoGg=0,"NO",('Activity data'!AG9*EF!$H40*EF!$H58)*NtoN2O*kgtoGg)</f>
        <v>1.0361169250841473</v>
      </c>
      <c r="AH40" s="28">
        <f>IF(('Activity data'!AH9*EF!$H40*EF!$H58)*NtoN2O*kgtoGg=0,"NO",('Activity data'!AH9*EF!$H40*EF!$H58)*NtoN2O*kgtoGg)</f>
        <v>1.0391088442192966</v>
      </c>
      <c r="AI40" s="28">
        <f>IF(('Activity data'!AI9*EF!$H40*EF!H58)*NtoN2O*kgtoGg=0,"NO",('Activity data'!AI9*EF!$H40*EF!H58)*NtoN2O*kgtoGg)</f>
        <v>1.0421007633544459</v>
      </c>
      <c r="AJ40" s="28">
        <f>IF(('Activity data'!AJ9*EF!$H40*EF!I58)*NtoN2O*kgtoGg=0,"NO",('Activity data'!AJ9*EF!$H40*EF!I58)*NtoN2O*kgtoGg)</f>
        <v>1.0450926824895952</v>
      </c>
      <c r="AK40" s="28">
        <f>IF(('Activity data'!AK9*EF!$H40*EF!J58)*NtoN2O*kgtoGg=0,"NO",('Activity data'!AK9*EF!$H40*EF!J58)*NtoN2O*kgtoGg)</f>
        <v>1.0480846016247443</v>
      </c>
      <c r="AL40" s="28">
        <f>IF(('Activity data'!AL9*EF!$H40*EF!K58)*NtoN2O*kgtoGg=0,"NO",('Activity data'!AL9*EF!$H40*EF!K58)*NtoN2O*kgtoGg)</f>
        <v>1.0510765207598938</v>
      </c>
      <c r="AM40" s="28">
        <f>IF(('Activity data'!AM9*EF!$H40*EF!L58)*NtoN2O*kgtoGg=0,"NO",('Activity data'!AM9*EF!$H40*EF!L58)*NtoN2O*kgtoGg)</f>
        <v>1.0541091536356517</v>
      </c>
      <c r="AN40" s="28">
        <f>IF(('Activity data'!AN9*EF!$H40*EF!M58)*NtoN2O*kgtoGg=0,"NO",('Activity data'!AN9*EF!$H40*EF!M58)*NtoN2O*kgtoGg)</f>
        <v>1.0571417864554324</v>
      </c>
      <c r="AO40" s="28">
        <f>IF(('Activity data'!AO9*EF!$H40*EF!N58)*NtoN2O*kgtoGg=0,"NO",('Activity data'!AO9*EF!$H40*EF!N58)*NtoN2O*kgtoGg)</f>
        <v>1.0601744192752129</v>
      </c>
      <c r="AP40" s="28">
        <f>IF(('Activity data'!AP9*EF!$H40*EF!O58)*NtoN2O*kgtoGg=0,"NO",('Activity data'!AP9*EF!$H40*EF!O58)*NtoN2O*kgtoGg)</f>
        <v>1.0632070520949937</v>
      </c>
      <c r="AQ40" s="28">
        <f>IF(('Activity data'!AQ9*EF!$H40*EF!P58)*NtoN2O*kgtoGg=0,"NO",('Activity data'!AQ9*EF!$H40*EF!P58)*NtoN2O*kgtoGg)</f>
        <v>1.0662396849707516</v>
      </c>
      <c r="AR40" s="28">
        <f>IF(('Activity data'!AR9*EF!$H40*EF!Q58)*NtoN2O*kgtoGg=0,"NO",('Activity data'!AR9*EF!$H40*EF!Q58)*NtoN2O*kgtoGg)</f>
        <v>1.0695252173141059</v>
      </c>
      <c r="AS40" s="28">
        <f>IF(('Activity data'!AS9*EF!$H40*EF!R58)*NtoN2O*kgtoGg=0,"NO",('Activity data'!AS9*EF!$H40*EF!R58)*NtoN2O*kgtoGg)</f>
        <v>1.0728107496574599</v>
      </c>
      <c r="AT40" s="28">
        <f>IF(('Activity data'!AT9*EF!$H40*EF!S58)*NtoN2O*kgtoGg=0,"NO",('Activity data'!AT9*EF!$H40*EF!S58)*NtoN2O*kgtoGg)</f>
        <v>1.0760962820008138</v>
      </c>
      <c r="AU40" s="28">
        <f>IF(('Activity data'!AU9*EF!$H40*EF!T58)*NtoN2O*kgtoGg=0,"NO",('Activity data'!AU9*EF!$H40*EF!T58)*NtoN2O*kgtoGg)</f>
        <v>1.079381814344168</v>
      </c>
      <c r="AV40" s="28">
        <f>IF(('Activity data'!AV9*EF!$H40*EF!U58)*NtoN2O*kgtoGg=0,"NO",('Activity data'!AV9*EF!$H40*EF!U58)*NtoN2O*kgtoGg)</f>
        <v>1.0826673466875225</v>
      </c>
      <c r="AW40" s="28">
        <f>IF(('Activity data'!AW9*EF!$H40*EF!V58)*NtoN2O*kgtoGg=0,"NO",('Activity data'!AW9*EF!$H40*EF!V58)*NtoN2O*kgtoGg)</f>
        <v>1.0858413347607345</v>
      </c>
      <c r="AX40" s="28">
        <f>IF(('Activity data'!AX9*EF!$H40*EF!W58)*NtoN2O*kgtoGg=0,"NO",('Activity data'!AX9*EF!$H40*EF!W58)*NtoN2O*kgtoGg)</f>
        <v>1.0890153227779695</v>
      </c>
      <c r="AY40" s="28">
        <f>IF(('Activity data'!AY9*EF!$H40*EF!X58)*NtoN2O*kgtoGg=0,"NO",('Activity data'!AY9*EF!$H40*EF!X58)*NtoN2O*kgtoGg)</f>
        <v>1.092189310851182</v>
      </c>
      <c r="AZ40" s="28">
        <f>IF(('Activity data'!AZ9*EF!$H40*EF!Y58)*NtoN2O*kgtoGg=0,"NO",('Activity data'!AZ9*EF!$H40*EF!Y58)*NtoN2O*kgtoGg)</f>
        <v>1.095363298868417</v>
      </c>
      <c r="BA40" s="28">
        <f>IF(('Activity data'!BA9*EF!$H40*EF!Z58)*NtoN2O*kgtoGg=0,"NO",('Activity data'!BA9*EF!$H40*EF!Z58)*NtoN2O*kgtoGg)</f>
        <v>1.0985372868856522</v>
      </c>
      <c r="BB40" s="28">
        <f>IF(('Activity data'!BB9*EF!$H40*EF!AA58)*NtoN2O*kgtoGg=0,"NO",('Activity data'!BB9*EF!$H40*EF!AA58)*NtoN2O*kgtoGg)</f>
        <v>1.1018360592750707</v>
      </c>
      <c r="BC40" s="28">
        <f>IF(('Activity data'!BC9*EF!$H40*EF!AB58)*NtoN2O*kgtoGg=0,"NO",('Activity data'!BC9*EF!$H40*EF!AB58)*NtoN2O*kgtoGg)</f>
        <v>1.1051348316644893</v>
      </c>
      <c r="BD40" s="28">
        <f>IF(('Activity data'!BD9*EF!$H40*EF!AC58)*NtoN2O*kgtoGg=0,"NO",('Activity data'!BD9*EF!$H40*EF!AC58)*NtoN2O*kgtoGg)</f>
        <v>1.1084336039979301</v>
      </c>
      <c r="BE40" s="28">
        <f>IF(('Activity data'!BE9*EF!$H40*EF!AD58)*NtoN2O*kgtoGg=0,"NO",('Activity data'!BE9*EF!$H40*EF!AD58)*NtoN2O*kgtoGg)</f>
        <v>1.111732376387349</v>
      </c>
      <c r="BF40" s="28">
        <f>IF(('Activity data'!BF9*EF!$H40*EF!AE58)*NtoN2O*kgtoGg=0,"NO",('Activity data'!BF9*EF!$H40*EF!AE58)*NtoN2O*kgtoGg)</f>
        <v>1.1150311487767677</v>
      </c>
      <c r="BG40" s="28">
        <f>IF(('Activity data'!BG9*EF!$H40*EF!AF58)*NtoN2O*kgtoGg=0,"NO",('Activity data'!BG9*EF!$H40*EF!AF58)*NtoN2O*kgtoGg)</f>
        <v>1.1187967909826622</v>
      </c>
      <c r="BH40" s="28">
        <f>IF(('Activity data'!BH9*EF!$H40*EF!AG58)*NtoN2O*kgtoGg=0,"NO",('Activity data'!BH9*EF!$H40*EF!AG58)*NtoN2O*kgtoGg)</f>
        <v>1.122562433132579</v>
      </c>
      <c r="BI40" s="28">
        <f>IF(('Activity data'!BI9*EF!$H40*EF!AH58)*NtoN2O*kgtoGg=0,"NO",('Activity data'!BI9*EF!$H40*EF!AH58)*NtoN2O*kgtoGg)</f>
        <v>1.1263280753384737</v>
      </c>
      <c r="BJ40" s="28">
        <f>IF(('Activity data'!BJ9*EF!$H40*EF!AI58)*NtoN2O*kgtoGg=0,"NO",('Activity data'!BJ9*EF!$H40*EF!AI58)*NtoN2O*kgtoGg)</f>
        <v>1.1300937175443682</v>
      </c>
      <c r="BK40" s="28">
        <f>IF(('Activity data'!BK9*EF!$H40*EF!AJ58)*NtoN2O*kgtoGg=0,"NO",('Activity data'!BK9*EF!$H40*EF!AJ58)*NtoN2O*kgtoGg)</f>
        <v>1.1338593597502626</v>
      </c>
      <c r="BL40" s="28">
        <f>IF(('Activity data'!BL9*EF!$H40*EF!AK58)*NtoN2O*kgtoGg=0,"NO",('Activity data'!BL9*EF!$H40*EF!AK58)*NtoN2O*kgtoGg)</f>
        <v>1.1374920968014623</v>
      </c>
      <c r="BM40" s="28">
        <f>IF(('Activity data'!BM9*EF!$H40*EF!AL58)*NtoN2O*kgtoGg=0,"NO",('Activity data'!BM9*EF!$H40*EF!AL58)*NtoN2O*kgtoGg)</f>
        <v>1.1411248338526616</v>
      </c>
      <c r="BN40" s="28">
        <f>IF(('Activity data'!BN9*EF!$H40*EF!AM58)*NtoN2O*kgtoGg=0,"NO",('Activity data'!BN9*EF!$H40*EF!AM58)*NtoN2O*kgtoGg)</f>
        <v>1.1447575709598388</v>
      </c>
      <c r="BO40" s="28">
        <f>IF(('Activity data'!BO9*EF!$H40*EF!AN58)*NtoN2O*kgtoGg=0,"NO",('Activity data'!BO9*EF!$H40*EF!AN58)*NtoN2O*kgtoGg)</f>
        <v>1.1483903080110387</v>
      </c>
      <c r="BP40" s="28">
        <f>IF(('Activity data'!BP9*EF!$H40*EF!AO58)*NtoN2O*kgtoGg=0,"NO",('Activity data'!BP9*EF!$H40*EF!AO58)*NtoN2O*kgtoGg)</f>
        <v>1.1520230450622377</v>
      </c>
    </row>
    <row r="41" spans="1:68" x14ac:dyDescent="0.25">
      <c r="A41" t="str">
        <f t="shared" si="1"/>
        <v>3A Livestock</v>
      </c>
      <c r="B41" t="str">
        <f t="shared" si="11"/>
        <v>3A2 Manure management (N2O)</v>
      </c>
      <c r="C41" t="str">
        <f>EF!C59</f>
        <v>3A1aii Other cattle</v>
      </c>
      <c r="D41" t="str">
        <f>EF!D59</f>
        <v>Feedlot</v>
      </c>
      <c r="E41" t="str">
        <f t="shared" si="9"/>
        <v>Manure management Emissions</v>
      </c>
      <c r="F41" t="s">
        <v>139</v>
      </c>
      <c r="G41" t="str">
        <f t="shared" si="10"/>
        <v>Gg N2O</v>
      </c>
      <c r="H41" s="28">
        <f>IF(('Activity data'!H10*EF!$H41*EF!$H59)*NtoN2O*kgtoGg=0,"NO",('Activity data'!H10*EF!$H41*EF!$H59)*NtoN2O*kgtoGg)</f>
        <v>0.75959383499999988</v>
      </c>
      <c r="I41" s="28">
        <f>IF(('Activity data'!I10*EF!$H41*EF!$H59)*NtoN2O*kgtoGg=0,"NO",('Activity data'!I10*EF!$H41*EF!$H59)*NtoN2O*kgtoGg)</f>
        <v>0.75959383499999988</v>
      </c>
      <c r="J41" s="28">
        <f>IF(('Activity data'!J10*EF!$H41*EF!$H59)*NtoN2O*kgtoGg=0,"NO",('Activity data'!J10*EF!$H41*EF!$H59)*NtoN2O*kgtoGg)</f>
        <v>0.75959383499999988</v>
      </c>
      <c r="K41" s="28">
        <f>IF(('Activity data'!K10*EF!$H41*EF!$H59)*NtoN2O*kgtoGg=0,"NO",('Activity data'!K10*EF!$H41*EF!$H59)*NtoN2O*kgtoGg)</f>
        <v>0.75959383499999988</v>
      </c>
      <c r="L41" s="28">
        <f>IF(('Activity data'!L10*EF!$H41*EF!$H59)*NtoN2O*kgtoGg=0,"NO",('Activity data'!L10*EF!$H41*EF!$H59)*NtoN2O*kgtoGg)</f>
        <v>0.75959383499999988</v>
      </c>
      <c r="M41" s="28">
        <f>IF(('Activity data'!M10*EF!$H41*EF!$H59)*NtoN2O*kgtoGg=0,"NO",('Activity data'!M10*EF!$H41*EF!$H59)*NtoN2O*kgtoGg)</f>
        <v>0.75959383499999988</v>
      </c>
      <c r="N41" s="28">
        <f>IF(('Activity data'!N10*EF!$H41*EF!$H59)*NtoN2O*kgtoGg=0,"NO",('Activity data'!N10*EF!$H41*EF!$H59)*NtoN2O*kgtoGg)</f>
        <v>0.75959383499999988</v>
      </c>
      <c r="O41" s="28">
        <f>IF(('Activity data'!O10*EF!$H41*EF!$H59)*NtoN2O*kgtoGg=0,"NO",('Activity data'!O10*EF!$H41*EF!$H59)*NtoN2O*kgtoGg)</f>
        <v>0.75959383499999988</v>
      </c>
      <c r="P41" s="28">
        <f>IF(('Activity data'!P10*EF!$H41*EF!$H59)*NtoN2O*kgtoGg=0,"NO",('Activity data'!P10*EF!$H41*EF!$H59)*NtoN2O*kgtoGg)</f>
        <v>0.75959383499999988</v>
      </c>
      <c r="Q41" s="28">
        <f>IF(('Activity data'!Q10*EF!$H41*EF!$H59)*NtoN2O*kgtoGg=0,"NO",('Activity data'!Q10*EF!$H41*EF!$H59)*NtoN2O*kgtoGg)</f>
        <v>0.75959383499999988</v>
      </c>
      <c r="R41" s="28">
        <f>IF(('Activity data'!R10*EF!$H41*EF!$H59)*NtoN2O*kgtoGg=0,"NO",('Activity data'!R10*EF!$H41*EF!$H59)*NtoN2O*kgtoGg)</f>
        <v>0.75959383499999988</v>
      </c>
      <c r="S41" s="28">
        <f>IF(('Activity data'!S10*EF!$H41*EF!$H59)*NtoN2O*kgtoGg=0,"NO",('Activity data'!S10*EF!$H41*EF!$H59)*NtoN2O*kgtoGg)</f>
        <v>0.75959383499999988</v>
      </c>
      <c r="T41" s="28">
        <f>IF(('Activity data'!T10*EF!$H41*EF!$H59)*NtoN2O*kgtoGg=0,"NO",('Activity data'!T10*EF!$H41*EF!$H59)*NtoN2O*kgtoGg)</f>
        <v>0.75959383499999988</v>
      </c>
      <c r="U41" s="28">
        <f>IF(('Activity data'!U10*EF!$H41*EF!$H59)*NtoN2O*kgtoGg=0,"NO",('Activity data'!U10*EF!$H41*EF!$H59)*NtoN2O*kgtoGg)</f>
        <v>0.75959383499999988</v>
      </c>
      <c r="V41" s="28">
        <f>IF(('Activity data'!V10*EF!$H41*EF!$H59)*NtoN2O*kgtoGg=0,"NO",('Activity data'!V10*EF!$H41*EF!$H59)*NtoN2O*kgtoGg)</f>
        <v>0.75959383499999988</v>
      </c>
      <c r="W41" s="28">
        <f>IF(('Activity data'!W10*EF!$H41*EF!$H59)*NtoN2O*kgtoGg=0,"NO",('Activity data'!W10*EF!$H41*EF!$H59)*NtoN2O*kgtoGg)</f>
        <v>0.75959383499999988</v>
      </c>
      <c r="X41" s="28">
        <f>IF(('Activity data'!X10*EF!$H41*EF!$H59)*NtoN2O*kgtoGg=0,"NO",('Activity data'!X10*EF!$H41*EF!$H59)*NtoN2O*kgtoGg)</f>
        <v>0.75959383499999988</v>
      </c>
      <c r="Y41" s="28">
        <f>IF(('Activity data'!Y10*EF!$H41*EF!$H59)*NtoN2O*kgtoGg=0,"NO",('Activity data'!Y10*EF!$H41*EF!$H59)*NtoN2O*kgtoGg)</f>
        <v>0.75959383499999988</v>
      </c>
      <c r="Z41" s="28">
        <f>IF(('Activity data'!Z10*EF!$H41*EF!$H59)*NtoN2O*kgtoGg=0,"NO",('Activity data'!Z10*EF!$H41*EF!$H59)*NtoN2O*kgtoGg)</f>
        <v>0.70741290350981256</v>
      </c>
      <c r="AA41" s="28">
        <f>IF(('Activity data'!AA10*EF!$H41*EF!$H59)*NtoN2O*kgtoGg=0,"NO",('Activity data'!AA10*EF!$H41*EF!$H59)*NtoN2O*kgtoGg)</f>
        <v>0.72490466154356248</v>
      </c>
      <c r="AB41" s="28">
        <f>IF(('Activity data'!AB10*EF!$H41*EF!$H59)*NtoN2O*kgtoGg=0,"NO",('Activity data'!AB10*EF!$H41*EF!$H59)*NtoN2O*kgtoGg)</f>
        <v>0.72310137975074984</v>
      </c>
      <c r="AC41" s="28">
        <f>IF(('Activity data'!AC10*EF!$H41*EF!$H59)*NtoN2O*kgtoGg=0,"NO",('Activity data'!AC10*EF!$H41*EF!$H59)*NtoN2O*kgtoGg)</f>
        <v>0.83519180857612507</v>
      </c>
      <c r="AD41" s="28">
        <f>IF(('Activity data'!AD10*EF!$H41*EF!$H59)*NtoN2O*kgtoGg=0,"NO",('Activity data'!AD10*EF!$H41*EF!$H59)*NtoN2O*kgtoGg)</f>
        <v>0.86024756283340875</v>
      </c>
      <c r="AE41" s="28">
        <f>IF(('Activity data'!AE10*EF!$H41*EF!$H59)*NtoN2O*kgtoGg=0,"NO",('Activity data'!AE10*EF!$H41*EF!$H59)*NtoN2O*kgtoGg)</f>
        <v>0.88605498971841112</v>
      </c>
      <c r="AF41" s="28">
        <f>IF(('Activity data'!AF10*EF!$H41*EF!$H59)*NtoN2O*kgtoGg=0,"NO",('Activity data'!AF10*EF!$H41*EF!$H59)*NtoN2O*kgtoGg)</f>
        <v>0.91263663940996342</v>
      </c>
      <c r="AG41" s="28">
        <f>IF(('Activity data'!AG10*EF!$H41*EF!$H59)*NtoN2O*kgtoGg=0,"NO",('Activity data'!AG10*EF!$H41*EF!$H59)*NtoN2O*kgtoGg)</f>
        <v>0.94001573859226217</v>
      </c>
      <c r="AH41" s="28">
        <f>IF(('Activity data'!AH10*EF!$H41*EF!$H59)*NtoN2O*kgtoGg=0,"NO",('Activity data'!AH10*EF!$H41*EF!$H59)*NtoN2O*kgtoGg)</f>
        <v>0.96821621075003017</v>
      </c>
      <c r="AI41" s="28">
        <f>IF(('Activity data'!AI10*EF!$H41*EF!H59)*NtoN2O*kgtoGg=0,"NO",('Activity data'!AI10*EF!$H41*EF!H59)*NtoN2O*kgtoGg)</f>
        <v>0.99726269707253101</v>
      </c>
      <c r="AJ41" s="28">
        <f>IF(('Activity data'!AJ10*EF!$H41*EF!I59)*NtoN2O*kgtoGg=0,"NO",('Activity data'!AJ10*EF!$H41*EF!I59)*NtoN2O*kgtoGg)</f>
        <v>1.027180577984707</v>
      </c>
      <c r="AK41" s="28">
        <f>IF(('Activity data'!AK10*EF!$H41*EF!J59)*NtoN2O*kgtoGg=0,"NO",('Activity data'!AK10*EF!$H41*EF!J59)*NtoN2O*kgtoGg)</f>
        <v>1.0579959953242479</v>
      </c>
      <c r="AL41" s="28">
        <f>IF(('Activity data'!AL10*EF!$H41*EF!K59)*NtoN2O*kgtoGg=0,"NO",('Activity data'!AL10*EF!$H41*EF!K59)*NtoN2O*kgtoGg)</f>
        <v>1.0897358751839752</v>
      </c>
      <c r="AM41" s="28">
        <f>IF(('Activity data'!AM10*EF!$H41*EF!L59)*NtoN2O*kgtoGg=0,"NO",('Activity data'!AM10*EF!$H41*EF!L59)*NtoN2O*kgtoGg)</f>
        <v>1.1224279514394948</v>
      </c>
      <c r="AN41" s="28">
        <f>IF(('Activity data'!AN10*EF!$H41*EF!M59)*NtoN2O*kgtoGg=0,"NO",('Activity data'!AN10*EF!$H41*EF!M59)*NtoN2O*kgtoGg)</f>
        <v>1.1561007899826796</v>
      </c>
      <c r="AO41" s="28">
        <f>IF(('Activity data'!AO10*EF!$H41*EF!N59)*NtoN2O*kgtoGg=0,"NO",('Activity data'!AO10*EF!$H41*EF!N59)*NtoN2O*kgtoGg)</f>
        <v>1.1907838136821602</v>
      </c>
      <c r="AP41" s="28">
        <f>IF(('Activity data'!AP10*EF!$H41*EF!O59)*NtoN2O*kgtoGg=0,"NO",('Activity data'!AP10*EF!$H41*EF!O59)*NtoN2O*kgtoGg)</f>
        <v>1.2265073280926253</v>
      </c>
      <c r="AQ41" s="28">
        <f>IF(('Activity data'!AQ10*EF!$H41*EF!P59)*NtoN2O*kgtoGg=0,"NO",('Activity data'!AQ10*EF!$H41*EF!P59)*NtoN2O*kgtoGg)</f>
        <v>1.2633025479354039</v>
      </c>
      <c r="AR41" s="28">
        <f>IF(('Activity data'!AR10*EF!$H41*EF!Q59)*NtoN2O*kgtoGg=0,"NO",('Activity data'!AR10*EF!$H41*EF!Q59)*NtoN2O*kgtoGg)</f>
        <v>1.3012016243734659</v>
      </c>
      <c r="AS41" s="28">
        <f>IF(('Activity data'!AS10*EF!$H41*EF!R59)*NtoN2O*kgtoGg=0,"NO",('Activity data'!AS10*EF!$H41*EF!R59)*NtoN2O*kgtoGg)</f>
        <v>1.3402376731046701</v>
      </c>
      <c r="AT41" s="28">
        <f>IF(('Activity data'!AT10*EF!$H41*EF!S59)*NtoN2O*kgtoGg=0,"NO",('Activity data'!AT10*EF!$H41*EF!S59)*NtoN2O*kgtoGg)</f>
        <v>1.3804448032978103</v>
      </c>
      <c r="AU41" s="28">
        <f>IF(('Activity data'!AU10*EF!$H41*EF!T59)*NtoN2O*kgtoGg=0,"NO",('Activity data'!AU10*EF!$H41*EF!T59)*NtoN2O*kgtoGg)</f>
        <v>1.4218581473967447</v>
      </c>
      <c r="AV41" s="28">
        <f>IF(('Activity data'!AV10*EF!$H41*EF!U59)*NtoN2O*kgtoGg=0,"NO",('Activity data'!AV10*EF!$H41*EF!U59)*NtoN2O*kgtoGg)</f>
        <v>1.4645138918186467</v>
      </c>
      <c r="AW41" s="28">
        <f>IF(('Activity data'!AW10*EF!$H41*EF!V59)*NtoN2O*kgtoGg=0,"NO",('Activity data'!AW10*EF!$H41*EF!V59)*NtoN2O*kgtoGg)</f>
        <v>1.5084493085732062</v>
      </c>
      <c r="AX41" s="28">
        <f>IF(('Activity data'!AX10*EF!$H41*EF!W59)*NtoN2O*kgtoGg=0,"NO",('Activity data'!AX10*EF!$H41*EF!W59)*NtoN2O*kgtoGg)</f>
        <v>1.5537027878304028</v>
      </c>
      <c r="AY41" s="28">
        <f>IF(('Activity data'!AY10*EF!$H41*EF!X59)*NtoN2O*kgtoGg=0,"NO",('Activity data'!AY10*EF!$H41*EF!X59)*NtoN2O*kgtoGg)</f>
        <v>1.6003138714653149</v>
      </c>
      <c r="AZ41" s="28">
        <f>IF(('Activity data'!AZ10*EF!$H41*EF!Y59)*NtoN2O*kgtoGg=0,"NO",('Activity data'!AZ10*EF!$H41*EF!Y59)*NtoN2O*kgtoGg)</f>
        <v>1.6483232876092742</v>
      </c>
      <c r="BA41" s="28">
        <f>IF(('Activity data'!BA10*EF!$H41*EF!Z59)*NtoN2O*kgtoGg=0,"NO",('Activity data'!BA10*EF!$H41*EF!Z59)*NtoN2O*kgtoGg)</f>
        <v>1.6977729862375524</v>
      </c>
      <c r="BB41" s="28">
        <f>IF(('Activity data'!BB10*EF!$H41*EF!AA59)*NtoN2O*kgtoGg=0,"NO",('Activity data'!BB10*EF!$H41*EF!AA59)*NtoN2O*kgtoGg)</f>
        <v>1.7487061758246791</v>
      </c>
      <c r="BC41" s="28">
        <f>IF(('Activity data'!BC10*EF!$H41*EF!AB59)*NtoN2O*kgtoGg=0,"NO",('Activity data'!BC10*EF!$H41*EF!AB59)*NtoN2O*kgtoGg)</f>
        <v>1.8011673610994197</v>
      </c>
      <c r="BD41" s="28">
        <f>IF(('Activity data'!BD10*EF!$H41*EF!AC59)*NtoN2O*kgtoGg=0,"NO",('Activity data'!BD10*EF!$H41*EF!AC59)*NtoN2O*kgtoGg)</f>
        <v>1.8085567499999999</v>
      </c>
      <c r="BE41" s="28">
        <f>IF(('Activity data'!BE10*EF!$H41*EF!AD59)*NtoN2O*kgtoGg=0,"NO",('Activity data'!BE10*EF!$H41*EF!AD59)*NtoN2O*kgtoGg)</f>
        <v>1.8085567499999999</v>
      </c>
      <c r="BF41" s="28">
        <f>IF(('Activity data'!BF10*EF!$H41*EF!AE59)*NtoN2O*kgtoGg=0,"NO",('Activity data'!BF10*EF!$H41*EF!AE59)*NtoN2O*kgtoGg)</f>
        <v>1.8085567499999999</v>
      </c>
      <c r="BG41" s="28">
        <f>IF(('Activity data'!BG10*EF!$H41*EF!AF59)*NtoN2O*kgtoGg=0,"NO",('Activity data'!BG10*EF!$H41*EF!AF59)*NtoN2O*kgtoGg)</f>
        <v>1.8085567499999999</v>
      </c>
      <c r="BH41" s="28">
        <f>IF(('Activity data'!BH10*EF!$H41*EF!AG59)*NtoN2O*kgtoGg=0,"NO",('Activity data'!BH10*EF!$H41*EF!AG59)*NtoN2O*kgtoGg)</f>
        <v>1.8085567499999999</v>
      </c>
      <c r="BI41" s="28">
        <f>IF(('Activity data'!BI10*EF!$H41*EF!AH59)*NtoN2O*kgtoGg=0,"NO",('Activity data'!BI10*EF!$H41*EF!AH59)*NtoN2O*kgtoGg)</f>
        <v>1.8085567499999999</v>
      </c>
      <c r="BJ41" s="28">
        <f>IF(('Activity data'!BJ10*EF!$H41*EF!AI59)*NtoN2O*kgtoGg=0,"NO",('Activity data'!BJ10*EF!$H41*EF!AI59)*NtoN2O*kgtoGg)</f>
        <v>1.8085567499999999</v>
      </c>
      <c r="BK41" s="28">
        <f>IF(('Activity data'!BK10*EF!$H41*EF!AJ59)*NtoN2O*kgtoGg=0,"NO",('Activity data'!BK10*EF!$H41*EF!AJ59)*NtoN2O*kgtoGg)</f>
        <v>1.8085567499999999</v>
      </c>
      <c r="BL41" s="28">
        <f>IF(('Activity data'!BL10*EF!$H41*EF!AK59)*NtoN2O*kgtoGg=0,"NO",('Activity data'!BL10*EF!$H41*EF!AK59)*NtoN2O*kgtoGg)</f>
        <v>1.8085567499999999</v>
      </c>
      <c r="BM41" s="28">
        <f>IF(('Activity data'!BM10*EF!$H41*EF!AL59)*NtoN2O*kgtoGg=0,"NO",('Activity data'!BM10*EF!$H41*EF!AL59)*NtoN2O*kgtoGg)</f>
        <v>1.8085567499999999</v>
      </c>
      <c r="BN41" s="28">
        <f>IF(('Activity data'!BN10*EF!$H41*EF!AM59)*NtoN2O*kgtoGg=0,"NO",('Activity data'!BN10*EF!$H41*EF!AM59)*NtoN2O*kgtoGg)</f>
        <v>1.8085567499999999</v>
      </c>
      <c r="BO41" s="28">
        <f>IF(('Activity data'!BO10*EF!$H41*EF!AN59)*NtoN2O*kgtoGg=0,"NO",('Activity data'!BO10*EF!$H41*EF!AN59)*NtoN2O*kgtoGg)</f>
        <v>1.8085567499999999</v>
      </c>
      <c r="BP41" s="28">
        <f>IF(('Activity data'!BP10*EF!$H41*EF!AO59)*NtoN2O*kgtoGg=0,"NO",('Activity data'!BP10*EF!$H41*EF!AO59)*NtoN2O*kgtoGg)</f>
        <v>1.8085567499999999</v>
      </c>
    </row>
    <row r="42" spans="1:68" x14ac:dyDescent="0.25">
      <c r="A42" t="str">
        <f t="shared" si="1"/>
        <v>3A Livestock</v>
      </c>
      <c r="B42" t="str">
        <f t="shared" si="11"/>
        <v>3A2 Manure management (N2O)</v>
      </c>
      <c r="C42" t="str">
        <f>EF!C60</f>
        <v>3A1c Sheep</v>
      </c>
      <c r="D42" t="str">
        <f>EF!D60</f>
        <v>Commercial</v>
      </c>
      <c r="E42" t="str">
        <f t="shared" si="9"/>
        <v>Manure management Emissions</v>
      </c>
      <c r="F42" t="s">
        <v>139</v>
      </c>
      <c r="G42" t="str">
        <f t="shared" si="10"/>
        <v>Gg N2O</v>
      </c>
      <c r="H42" s="28">
        <f>IF(('Activity data'!H11*EF!$H42*EF!$H60)*NtoN2O*kgtoGg=0,"NO",('Activity data'!H11*EF!$H42*EF!$H60)*NtoN2O*kgtoGg)</f>
        <v>0.18472261121735453</v>
      </c>
      <c r="I42" s="28">
        <f>IF(('Activity data'!I11*EF!$H42*EF!$H60)*NtoN2O*kgtoGg=0,"NO",('Activity data'!I11*EF!$H42*EF!$H60)*NtoN2O*kgtoGg)</f>
        <v>0.17641659434150833</v>
      </c>
      <c r="J42" s="28">
        <f>IF(('Activity data'!J11*EF!$H42*EF!$H60)*NtoN2O*kgtoGg=0,"NO",('Activity data'!J11*EF!$H42*EF!$H60)*NtoN2O*kgtoGg)</f>
        <v>0.16912726350758692</v>
      </c>
      <c r="K42" s="28">
        <f>IF(('Activity data'!K11*EF!$H42*EF!$H60)*NtoN2O*kgtoGg=0,"NO",('Activity data'!K11*EF!$H42*EF!$H60)*NtoN2O*kgtoGg)</f>
        <v>0.15817170118914878</v>
      </c>
      <c r="L42" s="28">
        <f>IF(('Activity data'!L11*EF!$H42*EF!$H60)*NtoN2O*kgtoGg=0,"NO",('Activity data'!L11*EF!$H42*EF!$H60)*NtoN2O*kgtoGg)</f>
        <v>0.15928697496847238</v>
      </c>
      <c r="M42" s="28">
        <f>IF(('Activity data'!M11*EF!$H42*EF!$H60)*NtoN2O*kgtoGg=0,"NO",('Activity data'!M11*EF!$H42*EF!$H60)*NtoN2O*kgtoGg)</f>
        <v>0.15700713354112583</v>
      </c>
      <c r="N42" s="28">
        <f>IF(('Activity data'!N11*EF!$H42*EF!$H60)*NtoN2O*kgtoGg=0,"NO",('Activity data'!N11*EF!$H42*EF!$H60)*NtoN2O*kgtoGg)</f>
        <v>0.1575308808960568</v>
      </c>
      <c r="O42" s="28">
        <f>IF(('Activity data'!O11*EF!$H42*EF!$H60)*NtoN2O*kgtoGg=0,"NO",('Activity data'!O11*EF!$H42*EF!$H60)*NtoN2O*kgtoGg)</f>
        <v>0.15410495702144961</v>
      </c>
      <c r="P42" s="28">
        <f>IF(('Activity data'!P11*EF!$H42*EF!$H60)*NtoN2O*kgtoGg=0,"NO",('Activity data'!P11*EF!$H42*EF!$H60)*NtoN2O*kgtoGg)</f>
        <v>0.15453011663898178</v>
      </c>
      <c r="Q42" s="28">
        <f>IF(('Activity data'!Q11*EF!$H42*EF!$H60)*NtoN2O*kgtoGg=0,"NO",('Activity data'!Q11*EF!$H42*EF!$H60)*NtoN2O*kgtoGg)</f>
        <v>0.1507344887491292</v>
      </c>
      <c r="R42" s="28">
        <f>IF(('Activity data'!R11*EF!$H42*EF!$H60)*NtoN2O*kgtoGg=0,"NO",('Activity data'!R11*EF!$H42*EF!$H60)*NtoN2O*kgtoGg)</f>
        <v>0.14533064839295923</v>
      </c>
      <c r="S42" s="28">
        <f>IF(('Activity data'!S11*EF!$H42*EF!$H60)*NtoN2O*kgtoGg=0,"NO",('Activity data'!S11*EF!$H42*EF!$H60)*NtoN2O*kgtoGg)</f>
        <v>0.14170754904355451</v>
      </c>
      <c r="T42" s="28">
        <f>IF(('Activity data'!T11*EF!$H42*EF!$H60)*NtoN2O*kgtoGg=0,"NO",('Activity data'!T11*EF!$H42*EF!$H60)*NtoN2O*kgtoGg)</f>
        <v>0.13934144334598406</v>
      </c>
      <c r="U42" s="28">
        <f>IF(('Activity data'!U11*EF!$H42*EF!$H60)*NtoN2O*kgtoGg=0,"NO",('Activity data'!U11*EF!$H42*EF!$H60)*NtoN2O*kgtoGg)</f>
        <v>0.13982822029939046</v>
      </c>
      <c r="V42" s="28">
        <f>IF(('Activity data'!V11*EF!$H42*EF!$H60)*NtoN2O*kgtoGg=0,"NO",('Activity data'!V11*EF!$H42*EF!$H60)*NtoN2O*kgtoGg)</f>
        <v>0.13733887993007157</v>
      </c>
      <c r="W42" s="28">
        <f>IF(('Activity data'!W11*EF!$H42*EF!$H60)*NtoN2O*kgtoGg=0,"NO",('Activity data'!W11*EF!$H42*EF!$H60)*NtoN2O*kgtoGg)</f>
        <v>0.13701230804993814</v>
      </c>
      <c r="X42" s="28">
        <f>IF(('Activity data'!X11*EF!$H42*EF!$H60)*NtoN2O*kgtoGg=0,"NO",('Activity data'!X11*EF!$H42*EF!$H60)*NtoN2O*kgtoGg)</f>
        <v>0.13521924357599804</v>
      </c>
      <c r="Y42" s="28">
        <f>IF(('Activity data'!Y11*EF!$H42*EF!$H60)*NtoN2O*kgtoGg=0,"NO",('Activity data'!Y11*EF!$H42*EF!$H60)*NtoN2O*kgtoGg)</f>
        <v>0.13508984717066219</v>
      </c>
      <c r="Z42" s="28">
        <f>IF(('Activity data'!Z11*EF!$H42*EF!$H60)*NtoN2O*kgtoGg=0,"NO",('Activity data'!Z11*EF!$H42*EF!$H60)*NtoN2O*kgtoGg)</f>
        <v>0.1355273302553692</v>
      </c>
      <c r="AA42" s="28">
        <f>IF(('Activity data'!AA11*EF!$H42*EF!$H60)*NtoN2O*kgtoGg=0,"NO",('Activity data'!AA11*EF!$H42*EF!$H60)*NtoN2O*kgtoGg)</f>
        <v>0.13504671503555021</v>
      </c>
      <c r="AB42" s="28">
        <f>IF(('Activity data'!AB11*EF!$H42*EF!$H60)*NtoN2O*kgtoGg=0,"NO",('Activity data'!AB11*EF!$H42*EF!$H60)*NtoN2O*kgtoGg)</f>
        <v>0.13243413999448284</v>
      </c>
      <c r="AC42" s="28">
        <f>IF(('Activity data'!AC11*EF!$H42*EF!$H60)*NtoN2O*kgtoGg=0,"NO",('Activity data'!AC11*EF!$H42*EF!$H60)*NtoN2O*kgtoGg)</f>
        <v>0.1313989687517958</v>
      </c>
      <c r="AD42" s="28">
        <f>IF(('Activity data'!AD11*EF!$H42*EF!$H60)*NtoN2O*kgtoGg=0,"NO",('Activity data'!AD11*EF!$H42*EF!$H60)*NtoN2O*kgtoGg)</f>
        <v>0.13490555454601655</v>
      </c>
      <c r="AE42" s="28">
        <f>IF(('Activity data'!AE11*EF!$H42*EF!$H60)*NtoN2O*kgtoGg=0,"NO",('Activity data'!AE11*EF!$H42*EF!$H60)*NtoN2O*kgtoGg)</f>
        <v>0.13446017124334309</v>
      </c>
      <c r="AF42" s="28">
        <f>IF(('Activity data'!AF11*EF!$H42*EF!$H60)*NtoN2O*kgtoGg=0,"NO",('Activity data'!AF11*EF!$H42*EF!$H60)*NtoN2O*kgtoGg)</f>
        <v>0.13402593115083478</v>
      </c>
      <c r="AG42" s="28">
        <f>IF(('Activity data'!AG11*EF!$H42*EF!$H60)*NtoN2O*kgtoGg=0,"NO",('Activity data'!AG11*EF!$H42*EF!$H60)*NtoN2O*kgtoGg)</f>
        <v>0.13360308005317539</v>
      </c>
      <c r="AH42" s="28">
        <f>IF(('Activity data'!AH11*EF!$H42*EF!$H60)*NtoN2O*kgtoGg=0,"NO",('Activity data'!AH11*EF!$H42*EF!$H60)*NtoN2O*kgtoGg)</f>
        <v>0.13315767526468386</v>
      </c>
      <c r="AI42" s="28">
        <f>IF(('Activity data'!AI11*EF!$H42*EF!H60)*NtoN2O*kgtoGg=0,"NO",('Activity data'!AI11*EF!$H42*EF!H60)*NtoN2O*kgtoGg)</f>
        <v>0.13271219104726067</v>
      </c>
      <c r="AJ42" s="28">
        <f>IF(('Activity data'!AJ11*EF!$H42*EF!I60)*NtoN2O*kgtoGg=0,"NO",('Activity data'!AJ11*EF!$H42*EF!I60)*NtoN2O*kgtoGg)</f>
        <v>0.13227538522381285</v>
      </c>
      <c r="AK42" s="28">
        <f>IF(('Activity data'!AK11*EF!$H42*EF!J60)*NtoN2O*kgtoGg=0,"NO",('Activity data'!AK11*EF!$H42*EF!J60)*NtoN2O*kgtoGg)</f>
        <v>0.13184683675430101</v>
      </c>
      <c r="AL42" s="28">
        <f>IF(('Activity data'!AL11*EF!$H42*EF!K60)*NtoN2O*kgtoGg=0,"NO",('Activity data'!AL11*EF!$H42*EF!K60)*NtoN2O*kgtoGg)</f>
        <v>0.13155147139620887</v>
      </c>
      <c r="AM42" s="28">
        <f>IF(('Activity data'!AM11*EF!$H42*EF!L60)*NtoN2O*kgtoGg=0,"NO",('Activity data'!AM11*EF!$H42*EF!L60)*NtoN2O*kgtoGg)</f>
        <v>0.13110827426549432</v>
      </c>
      <c r="AN42" s="28">
        <f>IF(('Activity data'!AN11*EF!$H42*EF!M60)*NtoN2O*kgtoGg=0,"NO",('Activity data'!AN11*EF!$H42*EF!M60)*NtoN2O*kgtoGg)</f>
        <v>0.13067245366105434</v>
      </c>
      <c r="AO42" s="28">
        <f>IF(('Activity data'!AO11*EF!$H42*EF!N60)*NtoN2O*kgtoGg=0,"NO",('Activity data'!AO11*EF!$H42*EF!N60)*NtoN2O*kgtoGg)</f>
        <v>0.13024226670225073</v>
      </c>
      <c r="AP42" s="28">
        <f>IF(('Activity data'!AP11*EF!$H42*EF!O60)*NtoN2O*kgtoGg=0,"NO",('Activity data'!AP11*EF!$H42*EF!O60)*NtoN2O*kgtoGg)</f>
        <v>0.1298189003271725</v>
      </c>
      <c r="AQ42" s="28">
        <f>IF(('Activity data'!AQ11*EF!$H42*EF!P60)*NtoN2O*kgtoGg=0,"NO",('Activity data'!AQ11*EF!$H42*EF!P60)*NtoN2O*kgtoGg)</f>
        <v>0.12939990496174109</v>
      </c>
      <c r="AR42" s="28">
        <f>IF(('Activity data'!AR11*EF!$H42*EF!Q60)*NtoN2O*kgtoGg=0,"NO",('Activity data'!AR11*EF!$H42*EF!Q60)*NtoN2O*kgtoGg)</f>
        <v>0.12894910503943594</v>
      </c>
      <c r="AS42" s="28">
        <f>IF(('Activity data'!AS11*EF!$H42*EF!R60)*NtoN2O*kgtoGg=0,"NO",('Activity data'!AS11*EF!$H42*EF!R60)*NtoN2O*kgtoGg)</f>
        <v>0.12850494114900979</v>
      </c>
      <c r="AT42" s="28">
        <f>IF(('Activity data'!AT11*EF!$H42*EF!S60)*NtoN2O*kgtoGg=0,"NO",('Activity data'!AT11*EF!$H42*EF!S60)*NtoN2O*kgtoGg)</f>
        <v>0.12806534554174745</v>
      </c>
      <c r="AU42" s="28">
        <f>IF(('Activity data'!AU11*EF!$H42*EF!T60)*NtoN2O*kgtoGg=0,"NO",('Activity data'!AU11*EF!$H42*EF!T60)*NtoN2O*kgtoGg)</f>
        <v>0.12763061405717488</v>
      </c>
      <c r="AV42" s="28">
        <f>IF(('Activity data'!AV11*EF!$H42*EF!U60)*NtoN2O*kgtoGg=0,"NO",('Activity data'!AV11*EF!$H42*EF!U60)*NtoN2O*kgtoGg)</f>
        <v>0.12720052704994361</v>
      </c>
      <c r="AW42" s="28">
        <f>IF(('Activity data'!AW11*EF!$H42*EF!V60)*NtoN2O*kgtoGg=0,"NO",('Activity data'!AW11*EF!$H42*EF!V60)*NtoN2O*kgtoGg)</f>
        <v>0.12678211056389396</v>
      </c>
      <c r="AX42" s="28">
        <f>IF(('Activity data'!AX11*EF!$H42*EF!W60)*NtoN2O*kgtoGg=0,"NO",('Activity data'!AX11*EF!$H42*EF!W60)*NtoN2O*kgtoGg)</f>
        <v>0.12678211056389396</v>
      </c>
      <c r="AY42" s="28">
        <f>IF(('Activity data'!AY11*EF!$H42*EF!X60)*NtoN2O*kgtoGg=0,"NO",('Activity data'!AY11*EF!$H42*EF!X60)*NtoN2O*kgtoGg)</f>
        <v>0.12678211056389396</v>
      </c>
      <c r="AZ42" s="28">
        <f>IF(('Activity data'!AZ11*EF!$H42*EF!Y60)*NtoN2O*kgtoGg=0,"NO",('Activity data'!AZ11*EF!$H42*EF!Y60)*NtoN2O*kgtoGg)</f>
        <v>0.12678211056389396</v>
      </c>
      <c r="BA42" s="28">
        <f>IF(('Activity data'!BA11*EF!$H42*EF!Z60)*NtoN2O*kgtoGg=0,"NO",('Activity data'!BA11*EF!$H42*EF!Z60)*NtoN2O*kgtoGg)</f>
        <v>0.12678211056389396</v>
      </c>
      <c r="BB42" s="28">
        <f>IF(('Activity data'!BB11*EF!$H42*EF!AA60)*NtoN2O*kgtoGg=0,"NO",('Activity data'!BB11*EF!$H42*EF!AA60)*NtoN2O*kgtoGg)</f>
        <v>0.12678211056389396</v>
      </c>
      <c r="BC42" s="28">
        <f>IF(('Activity data'!BC11*EF!$H42*EF!AB60)*NtoN2O*kgtoGg=0,"NO",('Activity data'!BC11*EF!$H42*EF!AB60)*NtoN2O*kgtoGg)</f>
        <v>0.12678211056389396</v>
      </c>
      <c r="BD42" s="28">
        <f>IF(('Activity data'!BD11*EF!$H42*EF!AC60)*NtoN2O*kgtoGg=0,"NO",('Activity data'!BD11*EF!$H42*EF!AC60)*NtoN2O*kgtoGg)</f>
        <v>0.12678211056389396</v>
      </c>
      <c r="BE42" s="28">
        <f>IF(('Activity data'!BE11*EF!$H42*EF!AD60)*NtoN2O*kgtoGg=0,"NO",('Activity data'!BE11*EF!$H42*EF!AD60)*NtoN2O*kgtoGg)</f>
        <v>0.12678211056389396</v>
      </c>
      <c r="BF42" s="28">
        <f>IF(('Activity data'!BF11*EF!$H42*EF!AE60)*NtoN2O*kgtoGg=0,"NO",('Activity data'!BF11*EF!$H42*EF!AE60)*NtoN2O*kgtoGg)</f>
        <v>0.12678211056389396</v>
      </c>
      <c r="BG42" s="28">
        <f>IF(('Activity data'!BG11*EF!$H42*EF!AF60)*NtoN2O*kgtoGg=0,"NO",('Activity data'!BG11*EF!$H42*EF!AF60)*NtoN2O*kgtoGg)</f>
        <v>0.12678211056389396</v>
      </c>
      <c r="BH42" s="28">
        <f>IF(('Activity data'!BH11*EF!$H42*EF!AG60)*NtoN2O*kgtoGg=0,"NO",('Activity data'!BH11*EF!$H42*EF!AG60)*NtoN2O*kgtoGg)</f>
        <v>0.12678211056389396</v>
      </c>
      <c r="BI42" s="28">
        <f>IF(('Activity data'!BI11*EF!$H42*EF!AH60)*NtoN2O*kgtoGg=0,"NO",('Activity data'!BI11*EF!$H42*EF!AH60)*NtoN2O*kgtoGg)</f>
        <v>0.12678211056389396</v>
      </c>
      <c r="BJ42" s="28">
        <f>IF(('Activity data'!BJ11*EF!$H42*EF!AI60)*NtoN2O*kgtoGg=0,"NO",('Activity data'!BJ11*EF!$H42*EF!AI60)*NtoN2O*kgtoGg)</f>
        <v>0.12678211056389396</v>
      </c>
      <c r="BK42" s="28">
        <f>IF(('Activity data'!BK11*EF!$H42*EF!AJ60)*NtoN2O*kgtoGg=0,"NO",('Activity data'!BK11*EF!$H42*EF!AJ60)*NtoN2O*kgtoGg)</f>
        <v>0.12678211056389396</v>
      </c>
      <c r="BL42" s="28">
        <f>IF(('Activity data'!BL11*EF!$H42*EF!AK60)*NtoN2O*kgtoGg=0,"NO",('Activity data'!BL11*EF!$H42*EF!AK60)*NtoN2O*kgtoGg)</f>
        <v>0.12678211056389396</v>
      </c>
      <c r="BM42" s="28">
        <f>IF(('Activity data'!BM11*EF!$H42*EF!AL60)*NtoN2O*kgtoGg=0,"NO",('Activity data'!BM11*EF!$H42*EF!AL60)*NtoN2O*kgtoGg)</f>
        <v>0.12678211056389396</v>
      </c>
      <c r="BN42" s="28">
        <f>IF(('Activity data'!BN11*EF!$H42*EF!AM60)*NtoN2O*kgtoGg=0,"NO",('Activity data'!BN11*EF!$H42*EF!AM60)*NtoN2O*kgtoGg)</f>
        <v>0.12678211056389396</v>
      </c>
      <c r="BO42" s="28">
        <f>IF(('Activity data'!BO11*EF!$H42*EF!AN60)*NtoN2O*kgtoGg=0,"NO",('Activity data'!BO11*EF!$H42*EF!AN60)*NtoN2O*kgtoGg)</f>
        <v>0.12678211056389396</v>
      </c>
      <c r="BP42" s="28">
        <f>IF(('Activity data'!BP11*EF!$H42*EF!AO60)*NtoN2O*kgtoGg=0,"NO",('Activity data'!BP11*EF!$H42*EF!AO60)*NtoN2O*kgtoGg)</f>
        <v>0.12678211056389396</v>
      </c>
    </row>
    <row r="43" spans="1:68" x14ac:dyDescent="0.25">
      <c r="A43" t="str">
        <f t="shared" si="1"/>
        <v>3A Livestock</v>
      </c>
      <c r="B43" t="str">
        <f t="shared" si="11"/>
        <v>3A2 Manure management (N2O)</v>
      </c>
      <c r="C43" t="str">
        <f>EF!C61</f>
        <v>3A1c Sheep</v>
      </c>
      <c r="D43" t="str">
        <f>EF!D61</f>
        <v>Subsistence</v>
      </c>
      <c r="E43" t="str">
        <f t="shared" si="9"/>
        <v>Manure management Emissions</v>
      </c>
      <c r="F43" t="s">
        <v>139</v>
      </c>
      <c r="G43" t="str">
        <f t="shared" si="10"/>
        <v>Gg N2O</v>
      </c>
      <c r="H43" s="28">
        <f>IF(('Activity data'!H12*EF!$H43*EF!$H61)*NtoN2O*kgtoGg=0,"NO",('Activity data'!H12*EF!$H43*EF!$H61)*NtoN2O*kgtoGg)</f>
        <v>9.2257162292800898E-2</v>
      </c>
      <c r="I43" s="28">
        <f>IF(('Activity data'!I12*EF!$H43*EF!$H61)*NtoN2O*kgtoGg=0,"NO",('Activity data'!I12*EF!$H43*EF!$H61)*NtoN2O*kgtoGg)</f>
        <v>8.810883663915349E-2</v>
      </c>
      <c r="J43" s="28">
        <f>IF(('Activity data'!J12*EF!$H43*EF!$H61)*NtoN2O*kgtoGg=0,"NO",('Activity data'!J12*EF!$H43*EF!$H61)*NtoN2O*kgtoGg)</f>
        <v>8.4468280816998517E-2</v>
      </c>
      <c r="K43" s="28">
        <f>IF(('Activity data'!K12*EF!$H43*EF!$H61)*NtoN2O*kgtoGg=0,"NO",('Activity data'!K12*EF!$H43*EF!$H61)*NtoN2O*kgtoGg)</f>
        <v>7.8996676208552608E-2</v>
      </c>
      <c r="L43" s="28">
        <f>IF(('Activity data'!L12*EF!$H43*EF!$H61)*NtoN2O*kgtoGg=0,"NO",('Activity data'!L12*EF!$H43*EF!$H61)*NtoN2O*kgtoGg)</f>
        <v>7.9553684326735249E-2</v>
      </c>
      <c r="M43" s="28">
        <f>IF(('Activity data'!M12*EF!$H43*EF!$H61)*NtoN2O*kgtoGg=0,"NO",('Activity data'!M12*EF!$H43*EF!$H61)*NtoN2O*kgtoGg)</f>
        <v>7.8415048947024904E-2</v>
      </c>
      <c r="N43" s="28">
        <f>IF(('Activity data'!N12*EF!$H43*EF!$H61)*NtoN2O*kgtoGg=0,"NO",('Activity data'!N12*EF!$H43*EF!$H61)*NtoN2O*kgtoGg)</f>
        <v>7.867662734506646E-2</v>
      </c>
      <c r="O43" s="28">
        <f>IF(('Activity data'!O12*EF!$H43*EF!$H61)*NtoN2O*kgtoGg=0,"NO",('Activity data'!O12*EF!$H43*EF!$H61)*NtoN2O*kgtoGg)</f>
        <v>7.6965596882582824E-2</v>
      </c>
      <c r="P43" s="28">
        <f>IF(('Activity data'!P12*EF!$H43*EF!$H61)*NtoN2O*kgtoGg=0,"NO",('Activity data'!P12*EF!$H43*EF!$H61)*NtoN2O*kgtoGg)</f>
        <v>7.7177936993934437E-2</v>
      </c>
      <c r="Q43" s="28">
        <f>IF(('Activity data'!Q12*EF!$H43*EF!$H61)*NtoN2O*kgtoGg=0,"NO",('Activity data'!Q12*EF!$H43*EF!$H61)*NtoN2O*kgtoGg)</f>
        <v>7.5282262956362631E-2</v>
      </c>
      <c r="R43" s="28">
        <f>IF(('Activity data'!R12*EF!$H43*EF!$H61)*NtoN2O*kgtoGg=0,"NO",('Activity data'!R12*EF!$H43*EF!$H61)*NtoN2O*kgtoGg)</f>
        <v>7.2583389367157303E-2</v>
      </c>
      <c r="S43" s="28">
        <f>IF(('Activity data'!S12*EF!$H43*EF!$H61)*NtoN2O*kgtoGg=0,"NO",('Activity data'!S12*EF!$H43*EF!$H61)*NtoN2O*kgtoGg)</f>
        <v>7.0773882331293281E-2</v>
      </c>
      <c r="T43" s="28">
        <f>IF(('Activity data'!T12*EF!$H43*EF!$H61)*NtoN2O*kgtoGg=0,"NO",('Activity data'!T12*EF!$H43*EF!$H61)*NtoN2O*kgtoGg)</f>
        <v>6.9592163450729036E-2</v>
      </c>
      <c r="U43" s="28">
        <f>IF(('Activity data'!U12*EF!$H43*EF!$H61)*NtoN2O*kgtoGg=0,"NO",('Activity data'!U12*EF!$H43*EF!$H61)*NtoN2O*kgtoGg)</f>
        <v>6.9835277491261782E-2</v>
      </c>
      <c r="V43" s="28">
        <f>IF(('Activity data'!V12*EF!$H43*EF!$H61)*NtoN2O*kgtoGg=0,"NO",('Activity data'!V12*EF!$H43*EF!$H61)*NtoN2O*kgtoGg)</f>
        <v>6.8592010752334814E-2</v>
      </c>
      <c r="W43" s="28">
        <f>IF(('Activity data'!W12*EF!$H43*EF!$H61)*NtoN2O*kgtoGg=0,"NO",('Activity data'!W12*EF!$H43*EF!$H61)*NtoN2O*kgtoGg)</f>
        <v>6.8428908927673615E-2</v>
      </c>
      <c r="X43" s="28">
        <f>IF(('Activity data'!X12*EF!$H43*EF!$H61)*NtoN2O*kgtoGg=0,"NO",('Activity data'!X12*EF!$H43*EF!$H61)*NtoN2O*kgtoGg)</f>
        <v>6.7533387588496016E-2</v>
      </c>
      <c r="Y43" s="28">
        <f>IF(('Activity data'!Y12*EF!$H43*EF!$H61)*NtoN2O*kgtoGg=0,"NO",('Activity data'!Y12*EF!$H43*EF!$H61)*NtoN2O*kgtoGg)</f>
        <v>6.746876233721516E-2</v>
      </c>
      <c r="Z43" s="28">
        <f>IF(('Activity data'!Z12*EF!$H43*EF!$H61)*NtoN2O*kgtoGg=0,"NO",('Activity data'!Z12*EF!$H43*EF!$H61)*NtoN2O*kgtoGg)</f>
        <v>6.7687257234402817E-2</v>
      </c>
      <c r="AA43" s="28">
        <f>IF(('Activity data'!AA12*EF!$H43*EF!$H61)*NtoN2O*kgtoGg=0,"NO",('Activity data'!AA12*EF!$H43*EF!$H61)*NtoN2O*kgtoGg)</f>
        <v>6.7447220586788204E-2</v>
      </c>
      <c r="AB43" s="28">
        <f>IF(('Activity data'!AB12*EF!$H43*EF!$H61)*NtoN2O*kgtoGg=0,"NO",('Activity data'!AB12*EF!$H43*EF!$H61)*NtoN2O*kgtoGg)</f>
        <v>6.6142405989498512E-2</v>
      </c>
      <c r="AC43" s="28">
        <f>IF(('Activity data'!AC12*EF!$H43*EF!$H61)*NtoN2O*kgtoGg=0,"NO",('Activity data'!AC12*EF!$H43*EF!$H61)*NtoN2O*kgtoGg)</f>
        <v>6.5625403979251651E-2</v>
      </c>
      <c r="AD43" s="28">
        <f>IF(('Activity data'!AD12*EF!$H43*EF!$H61)*NtoN2O*kgtoGg=0,"NO",('Activity data'!AD12*EF!$H43*EF!$H61)*NtoN2O*kgtoGg)</f>
        <v>6.7589247536471303E-2</v>
      </c>
      <c r="AE43" s="28">
        <f>IF(('Activity data'!AE12*EF!$H43*EF!$H61)*NtoN2O*kgtoGg=0,"NO",('Activity data'!AE12*EF!$H43*EF!$H61)*NtoN2O*kgtoGg)</f>
        <v>6.7366105336031074E-2</v>
      </c>
      <c r="AF43" s="28">
        <f>IF(('Activity data'!AF12*EF!$H43*EF!$H61)*NtoN2O*kgtoGg=0,"NO",('Activity data'!AF12*EF!$H43*EF!$H61)*NtoN2O*kgtoGg)</f>
        <v>6.7148546013128654E-2</v>
      </c>
      <c r="AG43" s="28">
        <f>IF(('Activity data'!AG12*EF!$H43*EF!$H61)*NtoN2O*kgtoGg=0,"NO",('Activity data'!AG12*EF!$H43*EF!$H61)*NtoN2O*kgtoGg)</f>
        <v>6.6936692708741405E-2</v>
      </c>
      <c r="AH43" s="28">
        <f>IF(('Activity data'!AH12*EF!$H43*EF!$H61)*NtoN2O*kgtoGg=0,"NO",('Activity data'!AH12*EF!$H43*EF!$H61)*NtoN2O*kgtoGg)</f>
        <v>6.6713539743657138E-2</v>
      </c>
      <c r="AI43" s="28">
        <f>IF(('Activity data'!AI12*EF!$H43*EF!H61)*NtoN2O*kgtoGg=0,"NO",('Activity data'!AI12*EF!$H43*EF!H61)*NtoN2O*kgtoGg)</f>
        <v>6.6490346983756804E-2</v>
      </c>
      <c r="AJ43" s="28">
        <f>IF(('Activity data'!AJ12*EF!$H43*EF!I61)*NtoN2O*kgtoGg=0,"NO",('Activity data'!AJ12*EF!$H43*EF!I61)*NtoN2O*kgtoGg)</f>
        <v>6.6271502199894958E-2</v>
      </c>
      <c r="AK43" s="28">
        <f>IF(('Activity data'!AK12*EF!$H43*EF!J61)*NtoN2O*kgtoGg=0,"NO",('Activity data'!AK12*EF!$H43*EF!J61)*NtoN2O*kgtoGg)</f>
        <v>6.6056794446128358E-2</v>
      </c>
      <c r="AL43" s="28">
        <f>IF(('Activity data'!AL12*EF!$H43*EF!K61)*NtoN2O*kgtoGg=0,"NO",('Activity data'!AL12*EF!$H43*EF!K61)*NtoN2O*kgtoGg)</f>
        <v>6.5908812975914111E-2</v>
      </c>
      <c r="AM43" s="28">
        <f>IF(('Activity data'!AM12*EF!$H43*EF!L61)*NtoN2O*kgtoGg=0,"NO",('Activity data'!AM12*EF!$H43*EF!L61)*NtoN2O*kgtoGg)</f>
        <v>6.5686766072981725E-2</v>
      </c>
      <c r="AN43" s="28">
        <f>IF(('Activity data'!AN12*EF!$H43*EF!M61)*NtoN2O*kgtoGg=0,"NO",('Activity data'!AN12*EF!$H43*EF!M61)*NtoN2O*kgtoGg)</f>
        <v>6.5468414895269902E-2</v>
      </c>
      <c r="AO43" s="28">
        <f>IF(('Activity data'!AO12*EF!$H43*EF!N61)*NtoN2O*kgtoGg=0,"NO",('Activity data'!AO12*EF!$H43*EF!N61)*NtoN2O*kgtoGg)</f>
        <v>6.5252886239364025E-2</v>
      </c>
      <c r="AP43" s="28">
        <f>IF(('Activity data'!AP12*EF!$H43*EF!O61)*NtoN2O*kgtoGg=0,"NO",('Activity data'!AP12*EF!$H43*EF!O61)*NtoN2O*kgtoGg)</f>
        <v>6.504077477501348E-2</v>
      </c>
      <c r="AQ43" s="28">
        <f>IF(('Activity data'!AQ12*EF!$H43*EF!P61)*NtoN2O*kgtoGg=0,"NO",('Activity data'!AQ12*EF!$H43*EF!P61)*NtoN2O*kgtoGg)</f>
        <v>6.4830853237193328E-2</v>
      </c>
      <c r="AR43" s="28">
        <f>IF(('Activity data'!AR12*EF!$H43*EF!Q61)*NtoN2O*kgtoGg=0,"NO",('Activity data'!AR12*EF!$H43*EF!Q61)*NtoN2O*kgtoGg)</f>
        <v>6.4604997247492676E-2</v>
      </c>
      <c r="AS43" s="28">
        <f>IF(('Activity data'!AS12*EF!$H43*EF!R61)*NtoN2O*kgtoGg=0,"NO",('Activity data'!AS12*EF!$H43*EF!R61)*NtoN2O*kgtoGg)</f>
        <v>6.4382465986731752E-2</v>
      </c>
      <c r="AT43" s="28">
        <f>IF(('Activity data'!AT12*EF!$H43*EF!S61)*NtoN2O*kgtoGg=0,"NO",('Activity data'!AT12*EF!$H43*EF!S61)*NtoN2O*kgtoGg)</f>
        <v>6.4162223488821404E-2</v>
      </c>
      <c r="AU43" s="28">
        <f>IF(('Activity data'!AU12*EF!$H43*EF!T61)*NtoN2O*kgtoGg=0,"NO",('Activity data'!AU12*EF!$H43*EF!T61)*NtoN2O*kgtoGg)</f>
        <v>6.3944417972795362E-2</v>
      </c>
      <c r="AV43" s="28">
        <f>IF(('Activity data'!AV12*EF!$H43*EF!U61)*NtoN2O*kgtoGg=0,"NO",('Activity data'!AV12*EF!$H43*EF!U61)*NtoN2O*kgtoGg)</f>
        <v>6.3728939393786543E-2</v>
      </c>
      <c r="AW43" s="28">
        <f>IF(('Activity data'!AW12*EF!$H43*EF!V61)*NtoN2O*kgtoGg=0,"NO",('Activity data'!AW12*EF!$H43*EF!V61)*NtoN2O*kgtoGg)</f>
        <v>6.3519307881250819E-2</v>
      </c>
      <c r="AX43" s="28">
        <f>IF(('Activity data'!AX12*EF!$H43*EF!W61)*NtoN2O*kgtoGg=0,"NO",('Activity data'!AX12*EF!$H43*EF!W61)*NtoN2O*kgtoGg)</f>
        <v>6.3519307881250819E-2</v>
      </c>
      <c r="AY43" s="28">
        <f>IF(('Activity data'!AY12*EF!$H43*EF!X61)*NtoN2O*kgtoGg=0,"NO",('Activity data'!AY12*EF!$H43*EF!X61)*NtoN2O*kgtoGg)</f>
        <v>6.3519307881250819E-2</v>
      </c>
      <c r="AZ43" s="28">
        <f>IF(('Activity data'!AZ12*EF!$H43*EF!Y61)*NtoN2O*kgtoGg=0,"NO",('Activity data'!AZ12*EF!$H43*EF!Y61)*NtoN2O*kgtoGg)</f>
        <v>6.3519307881250819E-2</v>
      </c>
      <c r="BA43" s="28">
        <f>IF(('Activity data'!BA12*EF!$H43*EF!Z61)*NtoN2O*kgtoGg=0,"NO",('Activity data'!BA12*EF!$H43*EF!Z61)*NtoN2O*kgtoGg)</f>
        <v>6.3519307881250819E-2</v>
      </c>
      <c r="BB43" s="28">
        <f>IF(('Activity data'!BB12*EF!$H43*EF!AA61)*NtoN2O*kgtoGg=0,"NO",('Activity data'!BB12*EF!$H43*EF!AA61)*NtoN2O*kgtoGg)</f>
        <v>6.3519307881250819E-2</v>
      </c>
      <c r="BC43" s="28">
        <f>IF(('Activity data'!BC12*EF!$H43*EF!AB61)*NtoN2O*kgtoGg=0,"NO",('Activity data'!BC12*EF!$H43*EF!AB61)*NtoN2O*kgtoGg)</f>
        <v>6.3519307881250819E-2</v>
      </c>
      <c r="BD43" s="28">
        <f>IF(('Activity data'!BD12*EF!$H43*EF!AC61)*NtoN2O*kgtoGg=0,"NO",('Activity data'!BD12*EF!$H43*EF!AC61)*NtoN2O*kgtoGg)</f>
        <v>6.3519307881250819E-2</v>
      </c>
      <c r="BE43" s="28">
        <f>IF(('Activity data'!BE12*EF!$H43*EF!AD61)*NtoN2O*kgtoGg=0,"NO",('Activity data'!BE12*EF!$H43*EF!AD61)*NtoN2O*kgtoGg)</f>
        <v>6.3519307881250819E-2</v>
      </c>
      <c r="BF43" s="28">
        <f>IF(('Activity data'!BF12*EF!$H43*EF!AE61)*NtoN2O*kgtoGg=0,"NO",('Activity data'!BF12*EF!$H43*EF!AE61)*NtoN2O*kgtoGg)</f>
        <v>6.3519307881250819E-2</v>
      </c>
      <c r="BG43" s="28">
        <f>IF(('Activity data'!BG12*EF!$H43*EF!AF61)*NtoN2O*kgtoGg=0,"NO",('Activity data'!BG12*EF!$H43*EF!AF61)*NtoN2O*kgtoGg)</f>
        <v>6.3519307881250819E-2</v>
      </c>
      <c r="BH43" s="28">
        <f>IF(('Activity data'!BH12*EF!$H43*EF!AG61)*NtoN2O*kgtoGg=0,"NO",('Activity data'!BH12*EF!$H43*EF!AG61)*NtoN2O*kgtoGg)</f>
        <v>6.3519307881250819E-2</v>
      </c>
      <c r="BI43" s="28">
        <f>IF(('Activity data'!BI12*EF!$H43*EF!AH61)*NtoN2O*kgtoGg=0,"NO",('Activity data'!BI12*EF!$H43*EF!AH61)*NtoN2O*kgtoGg)</f>
        <v>6.3519307881250819E-2</v>
      </c>
      <c r="BJ43" s="28">
        <f>IF(('Activity data'!BJ12*EF!$H43*EF!AI61)*NtoN2O*kgtoGg=0,"NO",('Activity data'!BJ12*EF!$H43*EF!AI61)*NtoN2O*kgtoGg)</f>
        <v>6.3519307881250819E-2</v>
      </c>
      <c r="BK43" s="28">
        <f>IF(('Activity data'!BK12*EF!$H43*EF!AJ61)*NtoN2O*kgtoGg=0,"NO",('Activity data'!BK12*EF!$H43*EF!AJ61)*NtoN2O*kgtoGg)</f>
        <v>6.3519307881250819E-2</v>
      </c>
      <c r="BL43" s="28">
        <f>IF(('Activity data'!BL12*EF!$H43*EF!AK61)*NtoN2O*kgtoGg=0,"NO",('Activity data'!BL12*EF!$H43*EF!AK61)*NtoN2O*kgtoGg)</f>
        <v>6.3519307881250819E-2</v>
      </c>
      <c r="BM43" s="28">
        <f>IF(('Activity data'!BM12*EF!$H43*EF!AL61)*NtoN2O*kgtoGg=0,"NO",('Activity data'!BM12*EF!$H43*EF!AL61)*NtoN2O*kgtoGg)</f>
        <v>6.3519307881250819E-2</v>
      </c>
      <c r="BN43" s="28">
        <f>IF(('Activity data'!BN12*EF!$H43*EF!AM61)*NtoN2O*kgtoGg=0,"NO",('Activity data'!BN12*EF!$H43*EF!AM61)*NtoN2O*kgtoGg)</f>
        <v>6.3519307881250819E-2</v>
      </c>
      <c r="BO43" s="28">
        <f>IF(('Activity data'!BO12*EF!$H43*EF!AN61)*NtoN2O*kgtoGg=0,"NO",('Activity data'!BO12*EF!$H43*EF!AN61)*NtoN2O*kgtoGg)</f>
        <v>6.3519307881250819E-2</v>
      </c>
      <c r="BP43" s="28">
        <f>IF(('Activity data'!BP12*EF!$H43*EF!AO61)*NtoN2O*kgtoGg=0,"NO",('Activity data'!BP12*EF!$H43*EF!AO61)*NtoN2O*kgtoGg)</f>
        <v>6.3519307881250819E-2</v>
      </c>
    </row>
    <row r="44" spans="1:68" x14ac:dyDescent="0.25">
      <c r="A44" t="str">
        <f t="shared" si="1"/>
        <v>3A Livestock</v>
      </c>
      <c r="B44" t="str">
        <f t="shared" si="11"/>
        <v>3A2 Manure management (N2O)</v>
      </c>
      <c r="C44" t="str">
        <f>EF!C62</f>
        <v>3A1d Goats</v>
      </c>
      <c r="D44" t="str">
        <f>EF!D62</f>
        <v>Commercial</v>
      </c>
      <c r="E44" t="str">
        <f t="shared" si="9"/>
        <v>Manure management Emissions</v>
      </c>
      <c r="F44" t="s">
        <v>139</v>
      </c>
      <c r="G44" t="str">
        <f t="shared" si="10"/>
        <v>Gg N2O</v>
      </c>
      <c r="H44" s="28">
        <f>IF(('Activity data'!H13*EF!$H44*EF!$H62)*NtoN2O*kgtoGg=0,"NO",('Activity data'!H13*EF!$H44*EF!$H62)*NtoN2O*kgtoGg)</f>
        <v>1.9430751682320124E-2</v>
      </c>
      <c r="I44" s="28">
        <f>IF(('Activity data'!I13*EF!$H44*EF!$H62)*NtoN2O*kgtoGg=0,"NO",('Activity data'!I13*EF!$H44*EF!$H62)*NtoN2O*kgtoGg)</f>
        <v>1.7182276091107163E-2</v>
      </c>
      <c r="J44" s="28">
        <f>IF(('Activity data'!J13*EF!$H44*EF!$H62)*NtoN2O*kgtoGg=0,"NO",('Activity data'!J13*EF!$H44*EF!$H62)*NtoN2O*kgtoGg)</f>
        <v>1.6005503819070465E-2</v>
      </c>
      <c r="K44" s="28">
        <f>IF(('Activity data'!K13*EF!$H44*EF!$H62)*NtoN2O*kgtoGg=0,"NO",('Activity data'!K13*EF!$H44*EF!$H62)*NtoN2O*kgtoGg)</f>
        <v>1.5122924615042945E-2</v>
      </c>
      <c r="L44" s="28">
        <f>IF(('Activity data'!L13*EF!$H44*EF!$H62)*NtoN2O*kgtoGg=0,"NO",('Activity data'!L13*EF!$H44*EF!$H62)*NtoN2O*kgtoGg)</f>
        <v>1.6369742855653249E-2</v>
      </c>
      <c r="M44" s="28">
        <f>IF(('Activity data'!M13*EF!$H44*EF!$H62)*NtoN2O*kgtoGg=0,"NO",('Activity data'!M13*EF!$H44*EF!$H62)*NtoN2O*kgtoGg)</f>
        <v>1.6593889955088814E-2</v>
      </c>
      <c r="N44" s="28">
        <f>IF(('Activity data'!N13*EF!$H44*EF!$H62)*NtoN2O*kgtoGg=0,"NO",('Activity data'!N13*EF!$H44*EF!$H62)*NtoN2O*kgtoGg)</f>
        <v>1.6853060038811176E-2</v>
      </c>
      <c r="O44" s="28">
        <f>IF(('Activity data'!O13*EF!$H44*EF!$H62)*NtoN2O*kgtoGg=0,"NO",('Activity data'!O13*EF!$H44*EF!$H62)*NtoN2O*kgtoGg)</f>
        <v>1.6769004876522844E-2</v>
      </c>
      <c r="P44" s="28">
        <f>IF(('Activity data'!P13*EF!$H44*EF!$H62)*NtoN2O*kgtoGg=0,"NO",('Activity data'!P13*EF!$H44*EF!$H62)*NtoN2O*kgtoGg)</f>
        <v>1.6530848583372559E-2</v>
      </c>
      <c r="Q44" s="28">
        <f>IF(('Activity data'!Q13*EF!$H44*EF!$H62)*NtoN2O*kgtoGg=0,"NO",('Activity data'!Q13*EF!$H44*EF!$H62)*NtoN2O*kgtoGg)</f>
        <v>1.6285687693364925E-2</v>
      </c>
      <c r="R44" s="28">
        <f>IF(('Activity data'!R13*EF!$H44*EF!$H62)*NtoN2O*kgtoGg=0,"NO",('Activity data'!R13*EF!$H44*EF!$H62)*NtoN2O*kgtoGg)</f>
        <v>1.6495825599085752E-2</v>
      </c>
      <c r="S44" s="28">
        <f>IF(('Activity data'!S13*EF!$H44*EF!$H62)*NtoN2O*kgtoGg=0,"NO",('Activity data'!S13*EF!$H44*EF!$H62)*NtoN2O*kgtoGg)</f>
        <v>1.7000156572815769E-2</v>
      </c>
      <c r="T44" s="28">
        <f>IF(('Activity data'!T13*EF!$H44*EF!$H62)*NtoN2O*kgtoGg=0,"NO",('Activity data'!T13*EF!$H44*EF!$H62)*NtoN2O*kgtoGg)</f>
        <v>1.5522186635912547E-2</v>
      </c>
      <c r="U44" s="28">
        <f>IF(('Activity data'!U13*EF!$H44*EF!$H62)*NtoN2O*kgtoGg=0,"NO",('Activity data'!U13*EF!$H44*EF!$H62)*NtoN2O*kgtoGg)</f>
        <v>1.512992921190031E-2</v>
      </c>
      <c r="V44" s="28">
        <f>IF(('Activity data'!V13*EF!$H44*EF!$H62)*NtoN2O*kgtoGg=0,"NO",('Activity data'!V13*EF!$H44*EF!$H62)*NtoN2O*kgtoGg)</f>
        <v>1.5157947599329761E-2</v>
      </c>
      <c r="W44" s="28">
        <f>IF(('Activity data'!W13*EF!$H44*EF!$H62)*NtoN2O*kgtoGg=0,"NO",('Activity data'!W13*EF!$H44*EF!$H62)*NtoN2O*kgtoGg)</f>
        <v>1.4961818887323638E-2</v>
      </c>
      <c r="X44" s="28">
        <f>IF(('Activity data'!X13*EF!$H44*EF!$H62)*NtoN2O*kgtoGg=0,"NO",('Activity data'!X13*EF!$H44*EF!$H62)*NtoN2O*kgtoGg)</f>
        <v>1.5277025745904898E-2</v>
      </c>
      <c r="Y44" s="28">
        <f>IF(('Activity data'!Y13*EF!$H44*EF!$H62)*NtoN2O*kgtoGg=0,"NO",('Activity data'!Y13*EF!$H44*EF!$H62)*NtoN2O*kgtoGg)</f>
        <v>1.4821726950176417E-2</v>
      </c>
      <c r="Z44" s="28">
        <f>IF(('Activity data'!Z13*EF!$H44*EF!$H62)*NtoN2O*kgtoGg=0,"NO",('Activity data'!Z13*EF!$H44*EF!$H62)*NtoN2O*kgtoGg)</f>
        <v>1.4807717756461695E-2</v>
      </c>
      <c r="AA44" s="28">
        <f>IF(('Activity data'!AA13*EF!$H44*EF!$H62)*NtoN2O*kgtoGg=0,"NO",('Activity data'!AA13*EF!$H44*EF!$H62)*NtoN2O*kgtoGg)</f>
        <v>1.4548547672739326E-2</v>
      </c>
      <c r="AB44" s="28">
        <f>IF(('Activity data'!AB13*EF!$H44*EF!$H62)*NtoN2O*kgtoGg=0,"NO",('Activity data'!AB13*EF!$H44*EF!$H62)*NtoN2O*kgtoGg)</f>
        <v>1.4373432751305298E-2</v>
      </c>
      <c r="AC44" s="28">
        <f>IF(('Activity data'!AC13*EF!$H44*EF!$H62)*NtoN2O*kgtoGg=0,"NO",('Activity data'!AC13*EF!$H44*EF!$H62)*NtoN2O*kgtoGg)</f>
        <v>1.4240345411015433E-2</v>
      </c>
      <c r="AD44" s="28">
        <f>IF(('Activity data'!AD13*EF!$H44*EF!$H62)*NtoN2O*kgtoGg=0,"NO",('Activity data'!AD13*EF!$H44*EF!$H62)*NtoN2O*kgtoGg)</f>
        <v>1.4398679509428032E-2</v>
      </c>
      <c r="AE44" s="28">
        <f>IF(('Activity data'!AE13*EF!$H44*EF!$H62)*NtoN2O*kgtoGg=0,"NO",('Activity data'!AE13*EF!$H44*EF!$H62)*NtoN2O*kgtoGg)</f>
        <v>1.4346768185871829E-2</v>
      </c>
      <c r="AF44" s="28">
        <f>IF(('Activity data'!AF13*EF!$H44*EF!$H62)*NtoN2O*kgtoGg=0,"NO",('Activity data'!AF13*EF!$H44*EF!$H62)*NtoN2O*kgtoGg)</f>
        <v>1.4295448244171224E-2</v>
      </c>
      <c r="AG44" s="28">
        <f>IF(('Activity data'!AG13*EF!$H44*EF!$H62)*NtoN2O*kgtoGg=0,"NO",('Activity data'!AG13*EF!$H44*EF!$H62)*NtoN2O*kgtoGg)</f>
        <v>1.4244793824260594E-2</v>
      </c>
      <c r="AH44" s="28">
        <f>IF(('Activity data'!AH13*EF!$H44*EF!$H62)*NtoN2O*kgtoGg=0,"NO",('Activity data'!AH13*EF!$H44*EF!$H62)*NtoN2O*kgtoGg)</f>
        <v>1.4190701523182499E-2</v>
      </c>
      <c r="AI44" s="28">
        <f>IF(('Activity data'!AI13*EF!$H44*EF!H62)*NtoN2O*kgtoGg=0,"NO",('Activity data'!AI13*EF!$H44*EF!H62)*NtoN2O*kgtoGg)</f>
        <v>1.4135833622209952E-2</v>
      </c>
      <c r="AJ44" s="28">
        <f>IF(('Activity data'!AJ13*EF!$H44*EF!I62)*NtoN2O*kgtoGg=0,"NO",('Activity data'!AJ13*EF!$H44*EF!I62)*NtoN2O*kgtoGg)</f>
        <v>1.4081280347890447E-2</v>
      </c>
      <c r="AK44" s="28">
        <f>IF(('Activity data'!AK13*EF!$H44*EF!J62)*NtoN2O*kgtoGg=0,"NO",('Activity data'!AK13*EF!$H44*EF!J62)*NtoN2O*kgtoGg)</f>
        <v>1.402702248609021E-2</v>
      </c>
      <c r="AL44" s="28">
        <f>IF(('Activity data'!AL13*EF!$H44*EF!K62)*NtoN2O*kgtoGg=0,"NO",('Activity data'!AL13*EF!$H44*EF!K62)*NtoN2O*kgtoGg)</f>
        <v>1.3989197247291078E-2</v>
      </c>
      <c r="AM44" s="28">
        <f>IF(('Activity data'!AM13*EF!$H44*EF!L62)*NtoN2O*kgtoGg=0,"NO",('Activity data'!AM13*EF!$H44*EF!L62)*NtoN2O*kgtoGg)</f>
        <v>1.3931774687195267E-2</v>
      </c>
      <c r="AN44" s="28">
        <f>IF(('Activity data'!AN13*EF!$H44*EF!M62)*NtoN2O*kgtoGg=0,"NO",('Activity data'!AN13*EF!$H44*EF!M62)*NtoN2O*kgtoGg)</f>
        <v>1.3874519169760912E-2</v>
      </c>
      <c r="AO44" s="28">
        <f>IF(('Activity data'!AO13*EF!$H44*EF!N62)*NtoN2O*kgtoGg=0,"NO",('Activity data'!AO13*EF!$H44*EF!N62)*NtoN2O*kgtoGg)</f>
        <v>1.3817226156040245E-2</v>
      </c>
      <c r="AP44" s="28">
        <f>IF(('Activity data'!AP13*EF!$H44*EF!O62)*NtoN2O*kgtoGg=0,"NO",('Activity data'!AP13*EF!$H44*EF!O62)*NtoN2O*kgtoGg)</f>
        <v>1.3760076941918121E-2</v>
      </c>
      <c r="AQ44" s="28">
        <f>IF(('Activity data'!AQ13*EF!$H44*EF!P62)*NtoN2O*kgtoGg=0,"NO",('Activity data'!AQ13*EF!$H44*EF!P62)*NtoN2O*kgtoGg)</f>
        <v>1.3702760934088433E-2</v>
      </c>
      <c r="AR44" s="28">
        <f>IF(('Activity data'!AR13*EF!$H44*EF!Q62)*NtoN2O*kgtoGg=0,"NO",('Activity data'!AR13*EF!$H44*EF!Q62)*NtoN2O*kgtoGg)</f>
        <v>1.3640241947000715E-2</v>
      </c>
      <c r="AS44" s="28">
        <f>IF(('Activity data'!AS13*EF!$H44*EF!R62)*NtoN2O*kgtoGg=0,"NO",('Activity data'!AS13*EF!$H44*EF!R62)*NtoN2O*kgtoGg)</f>
        <v>1.3577767184337857E-2</v>
      </c>
      <c r="AT44" s="28">
        <f>IF(('Activity data'!AT13*EF!$H44*EF!S62)*NtoN2O*kgtoGg=0,"NO",('Activity data'!AT13*EF!$H44*EF!S62)*NtoN2O*kgtoGg)</f>
        <v>1.3515066652411391E-2</v>
      </c>
      <c r="AU44" s="28">
        <f>IF(('Activity data'!AU13*EF!$H44*EF!T62)*NtoN2O*kgtoGg=0,"NO",('Activity data'!AU13*EF!$H44*EF!T62)*NtoN2O*kgtoGg)</f>
        <v>1.3452198478763571E-2</v>
      </c>
      <c r="AV44" s="28">
        <f>IF(('Activity data'!AV13*EF!$H44*EF!U62)*NtoN2O*kgtoGg=0,"NO",('Activity data'!AV13*EF!$H44*EF!U62)*NtoN2O*kgtoGg)</f>
        <v>1.3389147362305136E-2</v>
      </c>
      <c r="AW44" s="28">
        <f>IF(('Activity data'!AW13*EF!$H44*EF!V62)*NtoN2O*kgtoGg=0,"NO",('Activity data'!AW13*EF!$H44*EF!V62)*NtoN2O*kgtoGg)</f>
        <v>1.3395765379797911E-2</v>
      </c>
      <c r="AX44" s="28">
        <f>IF(('Activity data'!AX13*EF!$H44*EF!W62)*NtoN2O*kgtoGg=0,"NO",('Activity data'!AX13*EF!$H44*EF!W62)*NtoN2O*kgtoGg)</f>
        <v>1.3399396099820653E-2</v>
      </c>
      <c r="AY44" s="28">
        <f>IF(('Activity data'!AY13*EF!$H44*EF!X62)*NtoN2O*kgtoGg=0,"NO",('Activity data'!AY13*EF!$H44*EF!X62)*NtoN2O*kgtoGg)</f>
        <v>1.3402047087440052E-2</v>
      </c>
      <c r="AZ44" s="28">
        <f>IF(('Activity data'!AZ13*EF!$H44*EF!Y62)*NtoN2O*kgtoGg=0,"NO",('Activity data'!AZ13*EF!$H44*EF!Y62)*NtoN2O*kgtoGg)</f>
        <v>1.3403268483302092E-2</v>
      </c>
      <c r="BA44" s="28">
        <f>IF(('Activity data'!BA13*EF!$H44*EF!Z62)*NtoN2O*kgtoGg=0,"NO",('Activity data'!BA13*EF!$H44*EF!Z62)*NtoN2O*kgtoGg)</f>
        <v>1.3403084366768696E-2</v>
      </c>
      <c r="BB44" s="28">
        <f>IF(('Activity data'!BB13*EF!$H44*EF!AA62)*NtoN2O*kgtoGg=0,"NO",('Activity data'!BB13*EF!$H44*EF!AA62)*NtoN2O*kgtoGg)</f>
        <v>1.3405260703442334E-2</v>
      </c>
      <c r="BC44" s="28">
        <f>IF(('Activity data'!BC13*EF!$H44*EF!AB62)*NtoN2O*kgtoGg=0,"NO",('Activity data'!BC13*EF!$H44*EF!AB62)*NtoN2O*kgtoGg)</f>
        <v>1.3405595791993919E-2</v>
      </c>
      <c r="BD44" s="28">
        <f>IF(('Activity data'!BD13*EF!$H44*EF!AC62)*NtoN2O*kgtoGg=0,"NO",('Activity data'!BD13*EF!$H44*EF!AC62)*NtoN2O*kgtoGg)</f>
        <v>1.3403651256929286E-2</v>
      </c>
      <c r="BE44" s="28">
        <f>IF(('Activity data'!BE13*EF!$H44*EF!AD62)*NtoN2O*kgtoGg=0,"NO",('Activity data'!BE13*EF!$H44*EF!AD62)*NtoN2O*kgtoGg)</f>
        <v>1.3399840607256979E-2</v>
      </c>
      <c r="BF44" s="28">
        <f>IF(('Activity data'!BF13*EF!$H44*EF!AE62)*NtoN2O*kgtoGg=0,"NO",('Activity data'!BF13*EF!$H44*EF!AE62)*NtoN2O*kgtoGg)</f>
        <v>1.3394512898652228E-2</v>
      </c>
      <c r="BG44" s="28">
        <f>IF(('Activity data'!BG13*EF!$H44*EF!AF62)*NtoN2O*kgtoGg=0,"NO",('Activity data'!BG13*EF!$H44*EF!AF62)*NtoN2O*kgtoGg)</f>
        <v>1.3436730710197319E-2</v>
      </c>
      <c r="BH44" s="28">
        <f>IF(('Activity data'!BH13*EF!$H44*EF!AG62)*NtoN2O*kgtoGg=0,"NO",('Activity data'!BH13*EF!$H44*EF!AG62)*NtoN2O*kgtoGg)</f>
        <v>1.3477556066653781E-2</v>
      </c>
      <c r="BI44" s="28">
        <f>IF(('Activity data'!BI13*EF!$H44*EF!AH62)*NtoN2O*kgtoGg=0,"NO",('Activity data'!BI13*EF!$H44*EF!AH62)*NtoN2O*kgtoGg)</f>
        <v>1.3516927170455249E-2</v>
      </c>
      <c r="BJ44" s="28">
        <f>IF(('Activity data'!BJ13*EF!$H44*EF!AI62)*NtoN2O*kgtoGg=0,"NO",('Activity data'!BJ13*EF!$H44*EF!AI62)*NtoN2O*kgtoGg)</f>
        <v>1.3554934926979649E-2</v>
      </c>
      <c r="BK44" s="28">
        <f>IF(('Activity data'!BK13*EF!$H44*EF!AJ62)*NtoN2O*kgtoGg=0,"NO",('Activity data'!BK13*EF!$H44*EF!AJ62)*NtoN2O*kgtoGg)</f>
        <v>1.3591983767870219E-2</v>
      </c>
      <c r="BL44" s="28">
        <f>IF(('Activity data'!BL13*EF!$H44*EF!AK62)*NtoN2O*kgtoGg=0,"NO",('Activity data'!BL13*EF!$H44*EF!AK62)*NtoN2O*kgtoGg)</f>
        <v>1.3623624475181426E-2</v>
      </c>
      <c r="BM44" s="28">
        <f>IF(('Activity data'!BM13*EF!$H44*EF!AL62)*NtoN2O*kgtoGg=0,"NO",('Activity data'!BM13*EF!$H44*EF!AL62)*NtoN2O*kgtoGg)</f>
        <v>1.3654148337109243E-2</v>
      </c>
      <c r="BN44" s="28">
        <f>IF(('Activity data'!BN13*EF!$H44*EF!AM62)*NtoN2O*kgtoGg=0,"NO",('Activity data'!BN13*EF!$H44*EF!AM62)*NtoN2O*kgtoGg)</f>
        <v>1.3682743515743414E-2</v>
      </c>
      <c r="BO44" s="28">
        <f>IF(('Activity data'!BO13*EF!$H44*EF!AN62)*NtoN2O*kgtoGg=0,"NO",('Activity data'!BO13*EF!$H44*EF!AN62)*NtoN2O*kgtoGg)</f>
        <v>1.3710278383133587E-2</v>
      </c>
      <c r="BP44" s="28">
        <f>IF(('Activity data'!BP13*EF!$H44*EF!AO62)*NtoN2O*kgtoGg=0,"NO",('Activity data'!BP13*EF!$H44*EF!AO62)*NtoN2O*kgtoGg)</f>
        <v>1.3736819447674133E-2</v>
      </c>
    </row>
    <row r="45" spans="1:68" x14ac:dyDescent="0.25">
      <c r="A45" t="str">
        <f t="shared" si="1"/>
        <v>3A Livestock</v>
      </c>
      <c r="B45" t="str">
        <f t="shared" si="11"/>
        <v>3A2 Manure management (N2O)</v>
      </c>
      <c r="C45" t="str">
        <f>EF!C63</f>
        <v>3A1d Goats</v>
      </c>
      <c r="D45" t="str">
        <f>EF!D63</f>
        <v>Subsistence</v>
      </c>
      <c r="E45" t="str">
        <f t="shared" si="9"/>
        <v>Manure management Emissions</v>
      </c>
      <c r="F45" t="s">
        <v>139</v>
      </c>
      <c r="G45" t="str">
        <f t="shared" si="10"/>
        <v>Gg N2O</v>
      </c>
      <c r="H45" s="28">
        <f>IF(('Activity data'!H14*EF!$H45*EF!$H63)*NtoN2O*kgtoGg=0,"NO",('Activity data'!H14*EF!$H45*EF!$H63)*NtoN2O*kgtoGg)</f>
        <v>0.15674707216898293</v>
      </c>
      <c r="I45" s="28">
        <f>IF(('Activity data'!I14*EF!$H45*EF!$H63)*NtoN2O*kgtoGg=0,"NO",('Activity data'!I14*EF!$H45*EF!$H63)*NtoN2O*kgtoGg)</f>
        <v>0.13860871233976757</v>
      </c>
      <c r="J45" s="28">
        <f>IF(('Activity data'!J14*EF!$H45*EF!$H63)*NtoN2O*kgtoGg=0,"NO",('Activity data'!J14*EF!$H45*EF!$H63)*NtoN2O*kgtoGg)</f>
        <v>0.12911573897120623</v>
      </c>
      <c r="K45" s="28">
        <f>IF(('Activity data'!K14*EF!$H45*EF!$H63)*NtoN2O*kgtoGg=0,"NO",('Activity data'!K14*EF!$H45*EF!$H63)*NtoN2O*kgtoGg)</f>
        <v>0.12199600894478523</v>
      </c>
      <c r="L45" s="28">
        <f>IF(('Activity data'!L14*EF!$H45*EF!$H63)*NtoN2O*kgtoGg=0,"NO",('Activity data'!L14*EF!$H45*EF!$H63)*NtoN2O*kgtoGg)</f>
        <v>0.13205404025195139</v>
      </c>
      <c r="M45" s="28">
        <f>IF(('Activity data'!M14*EF!$H45*EF!$H63)*NtoN2O*kgtoGg=0,"NO",('Activity data'!M14*EF!$H45*EF!$H63)*NtoN2O*kgtoGg)</f>
        <v>0.13386222565548689</v>
      </c>
      <c r="N45" s="28">
        <f>IF(('Activity data'!N14*EF!$H45*EF!$H63)*NtoN2O*kgtoGg=0,"NO",('Activity data'!N14*EF!$H45*EF!$H63)*NtoN2O*kgtoGg)</f>
        <v>0.13595294002832481</v>
      </c>
      <c r="O45" s="28">
        <f>IF(('Activity data'!O14*EF!$H45*EF!$H63)*NtoN2O*kgtoGg=0,"NO",('Activity data'!O14*EF!$H45*EF!$H63)*NtoN2O*kgtoGg)</f>
        <v>0.13527487050199902</v>
      </c>
      <c r="P45" s="28">
        <f>IF(('Activity data'!P14*EF!$H45*EF!$H63)*NtoN2O*kgtoGg=0,"NO",('Activity data'!P14*EF!$H45*EF!$H63)*NtoN2O*kgtoGg)</f>
        <v>0.13335367351074254</v>
      </c>
      <c r="Q45" s="28">
        <f>IF(('Activity data'!Q14*EF!$H45*EF!$H63)*NtoN2O*kgtoGg=0,"NO",('Activity data'!Q14*EF!$H45*EF!$H63)*NtoN2O*kgtoGg)</f>
        <v>0.1313759707256256</v>
      </c>
      <c r="R45" s="28">
        <f>IF(('Activity data'!R14*EF!$H45*EF!$H63)*NtoN2O*kgtoGg=0,"NO",('Activity data'!R14*EF!$H45*EF!$H63)*NtoN2O*kgtoGg)</f>
        <v>0.13307114454144012</v>
      </c>
      <c r="S45" s="28">
        <f>IF(('Activity data'!S14*EF!$H45*EF!$H63)*NtoN2O*kgtoGg=0,"NO",('Activity data'!S14*EF!$H45*EF!$H63)*NtoN2O*kgtoGg)</f>
        <v>0.13713956169939495</v>
      </c>
      <c r="T45" s="28">
        <f>IF(('Activity data'!T14*EF!$H45*EF!$H63)*NtoN2O*kgtoGg=0,"NO",('Activity data'!T14*EF!$H45*EF!$H63)*NtoN2O*kgtoGg)</f>
        <v>0.12521683919483284</v>
      </c>
      <c r="U45" s="28">
        <f>IF(('Activity data'!U14*EF!$H45*EF!$H63)*NtoN2O*kgtoGg=0,"NO",('Activity data'!U14*EF!$H45*EF!$H63)*NtoN2O*kgtoGg)</f>
        <v>0.12205251473864571</v>
      </c>
      <c r="V45" s="28">
        <f>IF(('Activity data'!V14*EF!$H45*EF!$H63)*NtoN2O*kgtoGg=0,"NO",('Activity data'!V14*EF!$H45*EF!$H63)*NtoN2O*kgtoGg)</f>
        <v>0.12227853791408765</v>
      </c>
      <c r="W45" s="28">
        <f>IF(('Activity data'!W14*EF!$H45*EF!$H63)*NtoN2O*kgtoGg=0,"NO",('Activity data'!W14*EF!$H45*EF!$H63)*NtoN2O*kgtoGg)</f>
        <v>0.12069637568599409</v>
      </c>
      <c r="X45" s="28">
        <f>IF(('Activity data'!X14*EF!$H45*EF!$H63)*NtoN2O*kgtoGg=0,"NO",('Activity data'!X14*EF!$H45*EF!$H63)*NtoN2O*kgtoGg)</f>
        <v>0.12323913640971589</v>
      </c>
      <c r="Y45" s="28">
        <f>IF(('Activity data'!Y14*EF!$H45*EF!$H63)*NtoN2O*kgtoGg=0,"NO",('Activity data'!Y14*EF!$H45*EF!$H63)*NtoN2O*kgtoGg)</f>
        <v>0.11956625980878442</v>
      </c>
      <c r="Z45" s="28">
        <f>IF(('Activity data'!Z14*EF!$H45*EF!$H63)*NtoN2O*kgtoGg=0,"NO",('Activity data'!Z14*EF!$H45*EF!$H63)*NtoN2O*kgtoGg)</f>
        <v>0.11945324822106343</v>
      </c>
      <c r="AA45" s="28">
        <f>IF(('Activity data'!AA14*EF!$H45*EF!$H63)*NtoN2O*kgtoGg=0,"NO",('Activity data'!AA14*EF!$H45*EF!$H63)*NtoN2O*kgtoGg)</f>
        <v>0.11736253384822554</v>
      </c>
      <c r="AB45" s="28">
        <f>IF(('Activity data'!AB14*EF!$H45*EF!$H63)*NtoN2O*kgtoGg=0,"NO",('Activity data'!AB14*EF!$H45*EF!$H63)*NtoN2O*kgtoGg)</f>
        <v>0.11594988900171342</v>
      </c>
      <c r="AC45" s="28">
        <f>IF(('Activity data'!AC14*EF!$H45*EF!$H63)*NtoN2O*kgtoGg=0,"NO",('Activity data'!AC14*EF!$H45*EF!$H63)*NtoN2O*kgtoGg)</f>
        <v>0.11487627891836423</v>
      </c>
      <c r="AD45" s="28">
        <f>IF(('Activity data'!AD14*EF!$H45*EF!$H63)*NtoN2O*kgtoGg=0,"NO",('Activity data'!AD14*EF!$H45*EF!$H63)*NtoN2O*kgtoGg)</f>
        <v>0.11614009426677165</v>
      </c>
      <c r="AE45" s="28">
        <f>IF(('Activity data'!AE14*EF!$H45*EF!$H63)*NtoN2O*kgtoGg=0,"NO",('Activity data'!AE14*EF!$H45*EF!$H63)*NtoN2O*kgtoGg)</f>
        <v>0.11572137628590523</v>
      </c>
      <c r="AF45" s="28">
        <f>IF(('Activity data'!AF14*EF!$H45*EF!$H63)*NtoN2O*kgtoGg=0,"NO",('Activity data'!AF14*EF!$H45*EF!$H63)*NtoN2O*kgtoGg)</f>
        <v>0.11530742840527002</v>
      </c>
      <c r="AG45" s="28">
        <f>IF(('Activity data'!AG14*EF!$H45*EF!$H63)*NtoN2O*kgtoGg=0,"NO",('Activity data'!AG14*EF!$H45*EF!$H63)*NtoN2O*kgtoGg)</f>
        <v>0.11489884863935484</v>
      </c>
      <c r="AH45" s="28">
        <f>IF(('Activity data'!AH14*EF!$H45*EF!$H63)*NtoN2O*kgtoGg=0,"NO",('Activity data'!AH14*EF!$H45*EF!$H63)*NtoN2O*kgtoGg)</f>
        <v>0.11446253884148741</v>
      </c>
      <c r="AI45" s="28">
        <f>IF(('Activity data'!AI14*EF!$H45*EF!H63)*NtoN2O*kgtoGg=0,"NO",('Activity data'!AI14*EF!$H45*EF!H63)*NtoN2O*kgtoGg)</f>
        <v>0.11401997303626905</v>
      </c>
      <c r="AJ45" s="28">
        <f>IF(('Activity data'!AJ14*EF!$H45*EF!I63)*NtoN2O*kgtoGg=0,"NO",('Activity data'!AJ14*EF!$H45*EF!I63)*NtoN2O*kgtoGg)</f>
        <v>0.11357994501718022</v>
      </c>
      <c r="AK45" s="28">
        <f>IF(('Activity data'!AK14*EF!$H45*EF!J63)*NtoN2O*kgtoGg=0,"NO",('Activity data'!AK14*EF!$H45*EF!J63)*NtoN2O*kgtoGg)</f>
        <v>0.11314229980255709</v>
      </c>
      <c r="AL45" s="28">
        <f>IF(('Activity data'!AL14*EF!$H45*EF!K63)*NtoN2O*kgtoGg=0,"NO",('Activity data'!AL14*EF!$H45*EF!K63)*NtoN2O*kgtoGg)</f>
        <v>0.11283720051918754</v>
      </c>
      <c r="AM45" s="28">
        <f>IF(('Activity data'!AM14*EF!$H45*EF!L63)*NtoN2O*kgtoGg=0,"NO",('Activity data'!AM14*EF!$H45*EF!L63)*NtoN2O*kgtoGg)</f>
        <v>0.11237402877220895</v>
      </c>
      <c r="AN45" s="28">
        <f>IF(('Activity data'!AN14*EF!$H45*EF!M63)*NtoN2O*kgtoGg=0,"NO",('Activity data'!AN14*EF!$H45*EF!M63)*NtoN2O*kgtoGg)</f>
        <v>0.11191220439534408</v>
      </c>
      <c r="AO45" s="28">
        <f>IF(('Activity data'!AO14*EF!$H45*EF!N63)*NtoN2O*kgtoGg=0,"NO",('Activity data'!AO14*EF!$H45*EF!N63)*NtoN2O*kgtoGg)</f>
        <v>0.11145007757253447</v>
      </c>
      <c r="AP45" s="28">
        <f>IF(('Activity data'!AP14*EF!$H45*EF!O63)*NtoN2O*kgtoGg=0,"NO",('Activity data'!AP14*EF!$H45*EF!O63)*NtoN2O*kgtoGg)</f>
        <v>0.11098911064073566</v>
      </c>
      <c r="AQ45" s="28">
        <f>IF(('Activity data'!AQ14*EF!$H45*EF!P63)*NtoN2O*kgtoGg=0,"NO",('Activity data'!AQ14*EF!$H45*EF!P63)*NtoN2O*kgtoGg)</f>
        <v>0.11052679834689116</v>
      </c>
      <c r="AR45" s="28">
        <f>IF(('Activity data'!AR14*EF!$H45*EF!Q63)*NtoN2O*kgtoGg=0,"NO",('Activity data'!AR14*EF!$H45*EF!Q63)*NtoN2O*kgtoGg)</f>
        <v>0.11002251869756111</v>
      </c>
      <c r="AS45" s="28">
        <f>IF(('Activity data'!AS14*EF!$H45*EF!R63)*NtoN2O*kgtoGg=0,"NO",('Activity data'!AS14*EF!$H45*EF!R63)*NtoN2O*kgtoGg)</f>
        <v>0.10951859576350265</v>
      </c>
      <c r="AT45" s="28">
        <f>IF(('Activity data'!AT14*EF!$H45*EF!S63)*NtoN2O*kgtoGg=0,"NO",('Activity data'!AT14*EF!$H45*EF!S63)*NtoN2O*kgtoGg)</f>
        <v>0.10901285176914897</v>
      </c>
      <c r="AU45" s="28">
        <f>IF(('Activity data'!AU14*EF!$H45*EF!T63)*NtoN2O*kgtoGg=0,"NO",('Activity data'!AU14*EF!$H45*EF!T63)*NtoN2O*kgtoGg)</f>
        <v>0.10850575557265005</v>
      </c>
      <c r="AV45" s="28">
        <f>IF(('Activity data'!AV14*EF!$H45*EF!U63)*NtoN2O*kgtoGg=0,"NO",('Activity data'!AV14*EF!$H45*EF!U63)*NtoN2O*kgtoGg)</f>
        <v>0.10850575557265005</v>
      </c>
      <c r="AW45" s="28">
        <f>IF(('Activity data'!AW14*EF!$H45*EF!V63)*NtoN2O*kgtoGg=0,"NO",('Activity data'!AW14*EF!$H45*EF!V63)*NtoN2O*kgtoGg)</f>
        <v>0.10850575557265005</v>
      </c>
      <c r="AX45" s="28">
        <f>IF(('Activity data'!AX14*EF!$H45*EF!W63)*NtoN2O*kgtoGg=0,"NO",('Activity data'!AX14*EF!$H45*EF!W63)*NtoN2O*kgtoGg)</f>
        <v>0.10850575557265005</v>
      </c>
      <c r="AY45" s="28">
        <f>IF(('Activity data'!AY14*EF!$H45*EF!X63)*NtoN2O*kgtoGg=0,"NO",('Activity data'!AY14*EF!$H45*EF!X63)*NtoN2O*kgtoGg)</f>
        <v>0.10850575557265005</v>
      </c>
      <c r="AZ45" s="28">
        <f>IF(('Activity data'!AZ14*EF!$H45*EF!Y63)*NtoN2O*kgtoGg=0,"NO",('Activity data'!AZ14*EF!$H45*EF!Y63)*NtoN2O*kgtoGg)</f>
        <v>0.10850575557265005</v>
      </c>
      <c r="BA45" s="28">
        <f>IF(('Activity data'!BA14*EF!$H45*EF!Z63)*NtoN2O*kgtoGg=0,"NO",('Activity data'!BA14*EF!$H45*EF!Z63)*NtoN2O*kgtoGg)</f>
        <v>0.10850575557265005</v>
      </c>
      <c r="BB45" s="28">
        <f>IF(('Activity data'!BB14*EF!$H45*EF!AA63)*NtoN2O*kgtoGg=0,"NO",('Activity data'!BB14*EF!$H45*EF!AA63)*NtoN2O*kgtoGg)</f>
        <v>0.10850575557265005</v>
      </c>
      <c r="BC45" s="28">
        <f>IF(('Activity data'!BC14*EF!$H45*EF!AB63)*NtoN2O*kgtoGg=0,"NO",('Activity data'!BC14*EF!$H45*EF!AB63)*NtoN2O*kgtoGg)</f>
        <v>0.10850575557265005</v>
      </c>
      <c r="BD45" s="28">
        <f>IF(('Activity data'!BD14*EF!$H45*EF!AC63)*NtoN2O*kgtoGg=0,"NO",('Activity data'!BD14*EF!$H45*EF!AC63)*NtoN2O*kgtoGg)</f>
        <v>0.10850575557265005</v>
      </c>
      <c r="BE45" s="28">
        <f>IF(('Activity data'!BE14*EF!$H45*EF!AD63)*NtoN2O*kgtoGg=0,"NO",('Activity data'!BE14*EF!$H45*EF!AD63)*NtoN2O*kgtoGg)</f>
        <v>0.10850575557265005</v>
      </c>
      <c r="BF45" s="28">
        <f>IF(('Activity data'!BF14*EF!$H45*EF!AE63)*NtoN2O*kgtoGg=0,"NO",('Activity data'!BF14*EF!$H45*EF!AE63)*NtoN2O*kgtoGg)</f>
        <v>0.10850575557265005</v>
      </c>
      <c r="BG45" s="28">
        <f>IF(('Activity data'!BG14*EF!$H45*EF!AF63)*NtoN2O*kgtoGg=0,"NO",('Activity data'!BG14*EF!$H45*EF!AF63)*NtoN2O*kgtoGg)</f>
        <v>0.10850575557265005</v>
      </c>
      <c r="BH45" s="28">
        <f>IF(('Activity data'!BH14*EF!$H45*EF!AG63)*NtoN2O*kgtoGg=0,"NO",('Activity data'!BH14*EF!$H45*EF!AG63)*NtoN2O*kgtoGg)</f>
        <v>0.10850575557265005</v>
      </c>
      <c r="BI45" s="28">
        <f>IF(('Activity data'!BI14*EF!$H45*EF!AH63)*NtoN2O*kgtoGg=0,"NO",('Activity data'!BI14*EF!$H45*EF!AH63)*NtoN2O*kgtoGg)</f>
        <v>0.10850575557265005</v>
      </c>
      <c r="BJ45" s="28">
        <f>IF(('Activity data'!BJ14*EF!$H45*EF!AI63)*NtoN2O*kgtoGg=0,"NO",('Activity data'!BJ14*EF!$H45*EF!AI63)*NtoN2O*kgtoGg)</f>
        <v>0.10850575557265005</v>
      </c>
      <c r="BK45" s="28">
        <f>IF(('Activity data'!BK14*EF!$H45*EF!AJ63)*NtoN2O*kgtoGg=0,"NO",('Activity data'!BK14*EF!$H45*EF!AJ63)*NtoN2O*kgtoGg)</f>
        <v>0.10850575557265005</v>
      </c>
      <c r="BL45" s="28">
        <f>IF(('Activity data'!BL14*EF!$H45*EF!AK63)*NtoN2O*kgtoGg=0,"NO",('Activity data'!BL14*EF!$H45*EF!AK63)*NtoN2O*kgtoGg)</f>
        <v>0.10850575557265005</v>
      </c>
      <c r="BM45" s="28">
        <f>IF(('Activity data'!BM14*EF!$H45*EF!AL63)*NtoN2O*kgtoGg=0,"NO",('Activity data'!BM14*EF!$H45*EF!AL63)*NtoN2O*kgtoGg)</f>
        <v>0.10850575557265005</v>
      </c>
      <c r="BN45" s="28">
        <f>IF(('Activity data'!BN14*EF!$H45*EF!AM63)*NtoN2O*kgtoGg=0,"NO",('Activity data'!BN14*EF!$H45*EF!AM63)*NtoN2O*kgtoGg)</f>
        <v>0.10850575557265005</v>
      </c>
      <c r="BO45" s="28">
        <f>IF(('Activity data'!BO14*EF!$H45*EF!AN63)*NtoN2O*kgtoGg=0,"NO",('Activity data'!BO14*EF!$H45*EF!AN63)*NtoN2O*kgtoGg)</f>
        <v>0.10850575557265005</v>
      </c>
      <c r="BP45" s="28">
        <f>IF(('Activity data'!BP14*EF!$H45*EF!AO63)*NtoN2O*kgtoGg=0,"NO",('Activity data'!BP14*EF!$H45*EF!AO63)*NtoN2O*kgtoGg)</f>
        <v>0.10850575557265005</v>
      </c>
    </row>
    <row r="46" spans="1:68" x14ac:dyDescent="0.25">
      <c r="A46" t="str">
        <f t="shared" si="1"/>
        <v>3A Livestock</v>
      </c>
      <c r="B46" t="str">
        <f t="shared" si="11"/>
        <v>3A2 Manure management (N2O)</v>
      </c>
      <c r="C46" t="str">
        <f>EF!C64</f>
        <v>3A1f Horses</v>
      </c>
      <c r="D46" t="str">
        <f>EF!D64</f>
        <v>Horses</v>
      </c>
      <c r="E46" t="str">
        <f t="shared" si="9"/>
        <v>Manure management Emissions</v>
      </c>
      <c r="F46" t="s">
        <v>139</v>
      </c>
      <c r="G46" t="str">
        <f t="shared" si="10"/>
        <v>Gg N2O</v>
      </c>
      <c r="H46" s="28" t="str">
        <f>IF(('Activity data'!H15*EF!$H46*EF!$H64)*NtoN2O*kgtoGg=0,"NO",('Activity data'!H15*EF!$H46*EF!$H64)*NtoN2O*kgtoGg)</f>
        <v>NO</v>
      </c>
      <c r="I46" s="28" t="str">
        <f>IF(('Activity data'!I15*EF!$H46*EF!$H64)*NtoN2O*kgtoGg=0,"NO",('Activity data'!I15*EF!$H46*EF!$H64)*NtoN2O*kgtoGg)</f>
        <v>NO</v>
      </c>
      <c r="J46" s="28" t="str">
        <f>IF(('Activity data'!J15*EF!$H46*EF!$H64)*NtoN2O*kgtoGg=0,"NO",('Activity data'!J15*EF!$H46*EF!$H64)*NtoN2O*kgtoGg)</f>
        <v>NO</v>
      </c>
      <c r="K46" s="28" t="str">
        <f>IF(('Activity data'!K15*EF!$H46*EF!$H64)*NtoN2O*kgtoGg=0,"NO",('Activity data'!K15*EF!$H46*EF!$H64)*NtoN2O*kgtoGg)</f>
        <v>NO</v>
      </c>
      <c r="L46" s="28" t="str">
        <f>IF(('Activity data'!L15*EF!$H46*EF!$H64)*NtoN2O*kgtoGg=0,"NO",('Activity data'!L15*EF!$H46*EF!$H64)*NtoN2O*kgtoGg)</f>
        <v>NO</v>
      </c>
      <c r="M46" s="28" t="str">
        <f>IF(('Activity data'!M15*EF!$H46*EF!$H64)*NtoN2O*kgtoGg=0,"NO",('Activity data'!M15*EF!$H46*EF!$H64)*NtoN2O*kgtoGg)</f>
        <v>NO</v>
      </c>
      <c r="N46" s="28" t="str">
        <f>IF(('Activity data'!N15*EF!$H46*EF!$H64)*NtoN2O*kgtoGg=0,"NO",('Activity data'!N15*EF!$H46*EF!$H64)*NtoN2O*kgtoGg)</f>
        <v>NO</v>
      </c>
      <c r="O46" s="28" t="str">
        <f>IF(('Activity data'!O15*EF!$H46*EF!$H64)*NtoN2O*kgtoGg=0,"NO",('Activity data'!O15*EF!$H46*EF!$H64)*NtoN2O*kgtoGg)</f>
        <v>NO</v>
      </c>
      <c r="P46" s="28" t="str">
        <f>IF(('Activity data'!P15*EF!$H46*EF!$H64)*NtoN2O*kgtoGg=0,"NO",('Activity data'!P15*EF!$H46*EF!$H64)*NtoN2O*kgtoGg)</f>
        <v>NO</v>
      </c>
      <c r="Q46" s="28" t="str">
        <f>IF(('Activity data'!Q15*EF!$H46*EF!$H64)*NtoN2O*kgtoGg=0,"NO",('Activity data'!Q15*EF!$H46*EF!$H64)*NtoN2O*kgtoGg)</f>
        <v>NO</v>
      </c>
      <c r="R46" s="28" t="str">
        <f>IF(('Activity data'!R15*EF!$H46*EF!$H64)*NtoN2O*kgtoGg=0,"NO",('Activity data'!R15*EF!$H46*EF!$H64)*NtoN2O*kgtoGg)</f>
        <v>NO</v>
      </c>
      <c r="S46" s="28" t="str">
        <f>IF(('Activity data'!S15*EF!$H46*EF!$H64)*NtoN2O*kgtoGg=0,"NO",('Activity data'!S15*EF!$H46*EF!$H64)*NtoN2O*kgtoGg)</f>
        <v>NO</v>
      </c>
      <c r="T46" s="28" t="str">
        <f>IF(('Activity data'!T15*EF!$H46*EF!$H64)*NtoN2O*kgtoGg=0,"NO",('Activity data'!T15*EF!$H46*EF!$H64)*NtoN2O*kgtoGg)</f>
        <v>NO</v>
      </c>
      <c r="U46" s="28" t="str">
        <f>IF(('Activity data'!U15*EF!$H46*EF!$H64)*NtoN2O*kgtoGg=0,"NO",('Activity data'!U15*EF!$H46*EF!$H64)*NtoN2O*kgtoGg)</f>
        <v>NO</v>
      </c>
      <c r="V46" s="28" t="str">
        <f>IF(('Activity data'!V15*EF!$H46*EF!$H64)*NtoN2O*kgtoGg=0,"NO",('Activity data'!V15*EF!$H46*EF!$H64)*NtoN2O*kgtoGg)</f>
        <v>NO</v>
      </c>
      <c r="W46" s="28" t="str">
        <f>IF(('Activity data'!W15*EF!$H46*EF!$H64)*NtoN2O*kgtoGg=0,"NO",('Activity data'!W15*EF!$H46*EF!$H64)*NtoN2O*kgtoGg)</f>
        <v>NO</v>
      </c>
      <c r="X46" s="28" t="str">
        <f>IF(('Activity data'!X15*EF!$H46*EF!$H64)*NtoN2O*kgtoGg=0,"NO",('Activity data'!X15*EF!$H46*EF!$H64)*NtoN2O*kgtoGg)</f>
        <v>NO</v>
      </c>
      <c r="Y46" s="28" t="str">
        <f>IF(('Activity data'!Y15*EF!$H46*EF!$H64)*NtoN2O*kgtoGg=0,"NO",('Activity data'!Y15*EF!$H46*EF!$H64)*NtoN2O*kgtoGg)</f>
        <v>NO</v>
      </c>
      <c r="Z46" s="28" t="str">
        <f>IF(('Activity data'!Z15*EF!$H46*EF!$H64)*NtoN2O*kgtoGg=0,"NO",('Activity data'!Z15*EF!$H46*EF!$H64)*NtoN2O*kgtoGg)</f>
        <v>NO</v>
      </c>
      <c r="AA46" s="28" t="str">
        <f>IF(('Activity data'!AA15*EF!$H46*EF!$H64)*NtoN2O*kgtoGg=0,"NO",('Activity data'!AA15*EF!$H46*EF!$H64)*NtoN2O*kgtoGg)</f>
        <v>NO</v>
      </c>
      <c r="AB46" s="28" t="str">
        <f>IF(('Activity data'!AB15*EF!$H46*EF!$H64)*NtoN2O*kgtoGg=0,"NO",('Activity data'!AB15*EF!$H46*EF!$H64)*NtoN2O*kgtoGg)</f>
        <v>NO</v>
      </c>
      <c r="AC46" s="28" t="str">
        <f>IF(('Activity data'!AC15*EF!$H46*EF!$H64)*NtoN2O*kgtoGg=0,"NO",('Activity data'!AC15*EF!$H46*EF!$H64)*NtoN2O*kgtoGg)</f>
        <v>NO</v>
      </c>
      <c r="AD46" s="28" t="str">
        <f>IF(('Activity data'!AD15*EF!$H46*EF!$H64)*NtoN2O*kgtoGg=0,"NO",('Activity data'!AD15*EF!$H46*EF!$H64)*NtoN2O*kgtoGg)</f>
        <v>NO</v>
      </c>
      <c r="AE46" s="28" t="str">
        <f>IF(('Activity data'!AE15*EF!$H46*EF!$H64)*NtoN2O*kgtoGg=0,"NO",('Activity data'!AE15*EF!$H46*EF!$H64)*NtoN2O*kgtoGg)</f>
        <v>NO</v>
      </c>
      <c r="AF46" s="28" t="str">
        <f>IF(('Activity data'!AF15*EF!$H46*EF!$H64)*NtoN2O*kgtoGg=0,"NO",('Activity data'!AF15*EF!$H46*EF!$H64)*NtoN2O*kgtoGg)</f>
        <v>NO</v>
      </c>
      <c r="AG46" s="28" t="str">
        <f>IF(('Activity data'!AG15*EF!$H46*EF!$H64)*NtoN2O*kgtoGg=0,"NO",('Activity data'!AG15*EF!$H46*EF!$H64)*NtoN2O*kgtoGg)</f>
        <v>NO</v>
      </c>
      <c r="AH46" s="28" t="str">
        <f>IF(('Activity data'!AH15*EF!$H46*EF!$H64)*NtoN2O*kgtoGg=0,"NO",('Activity data'!AH15*EF!$H46*EF!$H64)*NtoN2O*kgtoGg)</f>
        <v>NO</v>
      </c>
      <c r="AI46" s="28" t="str">
        <f>IF(('Activity data'!AI15*EF!$H46*EF!H64)*NtoN2O*kgtoGg=0,"NO",('Activity data'!AI15*EF!$H46*EF!H64)*NtoN2O*kgtoGg)</f>
        <v>NO</v>
      </c>
      <c r="AJ46" s="28" t="str">
        <f>IF(('Activity data'!AJ15*EF!$H46*EF!I64)*NtoN2O*kgtoGg=0,"NO",('Activity data'!AJ15*EF!$H46*EF!I64)*NtoN2O*kgtoGg)</f>
        <v>NO</v>
      </c>
      <c r="AK46" s="28" t="str">
        <f>IF(('Activity data'!AK15*EF!$H46*EF!J64)*NtoN2O*kgtoGg=0,"NO",('Activity data'!AK15*EF!$H46*EF!J64)*NtoN2O*kgtoGg)</f>
        <v>NO</v>
      </c>
      <c r="AL46" s="28" t="str">
        <f>IF(('Activity data'!AL15*EF!$H46*EF!K64)*NtoN2O*kgtoGg=0,"NO",('Activity data'!AL15*EF!$H46*EF!K64)*NtoN2O*kgtoGg)</f>
        <v>NO</v>
      </c>
      <c r="AM46" s="28" t="str">
        <f>IF(('Activity data'!AM15*EF!$H46*EF!L64)*NtoN2O*kgtoGg=0,"NO",('Activity data'!AM15*EF!$H46*EF!L64)*NtoN2O*kgtoGg)</f>
        <v>NO</v>
      </c>
      <c r="AN46" s="28" t="str">
        <f>IF(('Activity data'!AN15*EF!$H46*EF!M64)*NtoN2O*kgtoGg=0,"NO",('Activity data'!AN15*EF!$H46*EF!M64)*NtoN2O*kgtoGg)</f>
        <v>NO</v>
      </c>
      <c r="AO46" s="28" t="str">
        <f>IF(('Activity data'!AO15*EF!$H46*EF!N64)*NtoN2O*kgtoGg=0,"NO",('Activity data'!AO15*EF!$H46*EF!N64)*NtoN2O*kgtoGg)</f>
        <v>NO</v>
      </c>
      <c r="AP46" s="28" t="str">
        <f>IF(('Activity data'!AP15*EF!$H46*EF!O64)*NtoN2O*kgtoGg=0,"NO",('Activity data'!AP15*EF!$H46*EF!O64)*NtoN2O*kgtoGg)</f>
        <v>NO</v>
      </c>
      <c r="AQ46" s="28" t="str">
        <f>IF(('Activity data'!AQ15*EF!$H46*EF!P64)*NtoN2O*kgtoGg=0,"NO",('Activity data'!AQ15*EF!$H46*EF!P64)*NtoN2O*kgtoGg)</f>
        <v>NO</v>
      </c>
      <c r="AR46" s="28" t="str">
        <f>IF(('Activity data'!AR15*EF!$H46*EF!Q64)*NtoN2O*kgtoGg=0,"NO",('Activity data'!AR15*EF!$H46*EF!Q64)*NtoN2O*kgtoGg)</f>
        <v>NO</v>
      </c>
      <c r="AS46" s="28" t="str">
        <f>IF(('Activity data'!AS15*EF!$H46*EF!R64)*NtoN2O*kgtoGg=0,"NO",('Activity data'!AS15*EF!$H46*EF!R64)*NtoN2O*kgtoGg)</f>
        <v>NO</v>
      </c>
      <c r="AT46" s="28" t="str">
        <f>IF(('Activity data'!AT15*EF!$H46*EF!S64)*NtoN2O*kgtoGg=0,"NO",('Activity data'!AT15*EF!$H46*EF!S64)*NtoN2O*kgtoGg)</f>
        <v>NO</v>
      </c>
      <c r="AU46" s="28" t="str">
        <f>IF(('Activity data'!AU15*EF!$H46*EF!T64)*NtoN2O*kgtoGg=0,"NO",('Activity data'!AU15*EF!$H46*EF!T64)*NtoN2O*kgtoGg)</f>
        <v>NO</v>
      </c>
      <c r="AV46" s="28" t="str">
        <f>IF(('Activity data'!AV15*EF!$H46*EF!U64)*NtoN2O*kgtoGg=0,"NO",('Activity data'!AV15*EF!$H46*EF!U64)*NtoN2O*kgtoGg)</f>
        <v>NO</v>
      </c>
      <c r="AW46" s="28" t="str">
        <f>IF(('Activity data'!AW15*EF!$H46*EF!V64)*NtoN2O*kgtoGg=0,"NO",('Activity data'!AW15*EF!$H46*EF!V64)*NtoN2O*kgtoGg)</f>
        <v>NO</v>
      </c>
      <c r="AX46" s="28" t="str">
        <f>IF(('Activity data'!AX15*EF!$H46*EF!W64)*NtoN2O*kgtoGg=0,"NO",('Activity data'!AX15*EF!$H46*EF!W64)*NtoN2O*kgtoGg)</f>
        <v>NO</v>
      </c>
      <c r="AY46" s="28" t="str">
        <f>IF(('Activity data'!AY15*EF!$H46*EF!X64)*NtoN2O*kgtoGg=0,"NO",('Activity data'!AY15*EF!$H46*EF!X64)*NtoN2O*kgtoGg)</f>
        <v>NO</v>
      </c>
      <c r="AZ46" s="28" t="str">
        <f>IF(('Activity data'!AZ15*EF!$H46*EF!Y64)*NtoN2O*kgtoGg=0,"NO",('Activity data'!AZ15*EF!$H46*EF!Y64)*NtoN2O*kgtoGg)</f>
        <v>NO</v>
      </c>
      <c r="BA46" s="28" t="str">
        <f>IF(('Activity data'!BA15*EF!$H46*EF!Z64)*NtoN2O*kgtoGg=0,"NO",('Activity data'!BA15*EF!$H46*EF!Z64)*NtoN2O*kgtoGg)</f>
        <v>NO</v>
      </c>
      <c r="BB46" s="28" t="str">
        <f>IF(('Activity data'!BB15*EF!$H46*EF!AA64)*NtoN2O*kgtoGg=0,"NO",('Activity data'!BB15*EF!$H46*EF!AA64)*NtoN2O*kgtoGg)</f>
        <v>NO</v>
      </c>
      <c r="BC46" s="28" t="str">
        <f>IF(('Activity data'!BC15*EF!$H46*EF!AB64)*NtoN2O*kgtoGg=0,"NO",('Activity data'!BC15*EF!$H46*EF!AB64)*NtoN2O*kgtoGg)</f>
        <v>NO</v>
      </c>
      <c r="BD46" s="28" t="str">
        <f>IF(('Activity data'!BD15*EF!$H46*EF!AC64)*NtoN2O*kgtoGg=0,"NO",('Activity data'!BD15*EF!$H46*EF!AC64)*NtoN2O*kgtoGg)</f>
        <v>NO</v>
      </c>
      <c r="BE46" s="28" t="str">
        <f>IF(('Activity data'!BE15*EF!$H46*EF!AD64)*NtoN2O*kgtoGg=0,"NO",('Activity data'!BE15*EF!$H46*EF!AD64)*NtoN2O*kgtoGg)</f>
        <v>NO</v>
      </c>
      <c r="BF46" s="28" t="str">
        <f>IF(('Activity data'!BF15*EF!$H46*EF!AE64)*NtoN2O*kgtoGg=0,"NO",('Activity data'!BF15*EF!$H46*EF!AE64)*NtoN2O*kgtoGg)</f>
        <v>NO</v>
      </c>
      <c r="BG46" s="28" t="str">
        <f>IF(('Activity data'!BG15*EF!$H46*EF!AF64)*NtoN2O*kgtoGg=0,"NO",('Activity data'!BG15*EF!$H46*EF!AF64)*NtoN2O*kgtoGg)</f>
        <v>NO</v>
      </c>
      <c r="BH46" s="28" t="str">
        <f>IF(('Activity data'!BH15*EF!$H46*EF!AG64)*NtoN2O*kgtoGg=0,"NO",('Activity data'!BH15*EF!$H46*EF!AG64)*NtoN2O*kgtoGg)</f>
        <v>NO</v>
      </c>
      <c r="BI46" s="28" t="str">
        <f>IF(('Activity data'!BI15*EF!$H46*EF!AH64)*NtoN2O*kgtoGg=0,"NO",('Activity data'!BI15*EF!$H46*EF!AH64)*NtoN2O*kgtoGg)</f>
        <v>NO</v>
      </c>
      <c r="BJ46" s="28" t="str">
        <f>IF(('Activity data'!BJ15*EF!$H46*EF!AI64)*NtoN2O*kgtoGg=0,"NO",('Activity data'!BJ15*EF!$H46*EF!AI64)*NtoN2O*kgtoGg)</f>
        <v>NO</v>
      </c>
      <c r="BK46" s="28" t="str">
        <f>IF(('Activity data'!BK15*EF!$H46*EF!AJ64)*NtoN2O*kgtoGg=0,"NO",('Activity data'!BK15*EF!$H46*EF!AJ64)*NtoN2O*kgtoGg)</f>
        <v>NO</v>
      </c>
      <c r="BL46" s="28" t="str">
        <f>IF(('Activity data'!BL15*EF!$H46*EF!AK64)*NtoN2O*kgtoGg=0,"NO",('Activity data'!BL15*EF!$H46*EF!AK64)*NtoN2O*kgtoGg)</f>
        <v>NO</v>
      </c>
      <c r="BM46" s="28" t="str">
        <f>IF(('Activity data'!BM15*EF!$H46*EF!AL64)*NtoN2O*kgtoGg=0,"NO",('Activity data'!BM15*EF!$H46*EF!AL64)*NtoN2O*kgtoGg)</f>
        <v>NO</v>
      </c>
      <c r="BN46" s="28" t="str">
        <f>IF(('Activity data'!BN15*EF!$H46*EF!AM64)*NtoN2O*kgtoGg=0,"NO",('Activity data'!BN15*EF!$H46*EF!AM64)*NtoN2O*kgtoGg)</f>
        <v>NO</v>
      </c>
      <c r="BO46" s="28" t="str">
        <f>IF(('Activity data'!BO15*EF!$H46*EF!AN64)*NtoN2O*kgtoGg=0,"NO",('Activity data'!BO15*EF!$H46*EF!AN64)*NtoN2O*kgtoGg)</f>
        <v>NO</v>
      </c>
      <c r="BP46" s="28" t="str">
        <f>IF(('Activity data'!BP15*EF!$H46*EF!AO64)*NtoN2O*kgtoGg=0,"NO",('Activity data'!BP15*EF!$H46*EF!AO64)*NtoN2O*kgtoGg)</f>
        <v>NO</v>
      </c>
    </row>
    <row r="47" spans="1:68" x14ac:dyDescent="0.25">
      <c r="A47" t="str">
        <f t="shared" si="1"/>
        <v>3A Livestock</v>
      </c>
      <c r="B47" t="str">
        <f t="shared" si="11"/>
        <v>3A2 Manure management (N2O)</v>
      </c>
      <c r="C47" t="str">
        <f>EF!C65</f>
        <v>3A1g Mules &amp; asses</v>
      </c>
      <c r="D47" t="str">
        <f>EF!D65</f>
        <v>Mules &amp; Asses</v>
      </c>
      <c r="E47" t="str">
        <f t="shared" si="9"/>
        <v>Manure management Emissions</v>
      </c>
      <c r="F47" t="s">
        <v>139</v>
      </c>
      <c r="G47" t="str">
        <f t="shared" si="10"/>
        <v>Gg N2O</v>
      </c>
      <c r="H47" s="28" t="str">
        <f>IF(('Activity data'!H16*EF!$H47*EF!$H65)*NtoN2O*kgtoGg=0,"NO",('Activity data'!H16*EF!$H47*EF!$H65)*NtoN2O*kgtoGg)</f>
        <v>NO</v>
      </c>
      <c r="I47" s="28" t="str">
        <f>IF(('Activity data'!I16*EF!$H47*EF!$H65)*NtoN2O*kgtoGg=0,"NO",('Activity data'!I16*EF!$H47*EF!$H65)*NtoN2O*kgtoGg)</f>
        <v>NO</v>
      </c>
      <c r="J47" s="28" t="str">
        <f>IF(('Activity data'!J16*EF!$H47*EF!$H65)*NtoN2O*kgtoGg=0,"NO",('Activity data'!J16*EF!$H47*EF!$H65)*NtoN2O*kgtoGg)</f>
        <v>NO</v>
      </c>
      <c r="K47" s="28" t="str">
        <f>IF(('Activity data'!K16*EF!$H47*EF!$H65)*NtoN2O*kgtoGg=0,"NO",('Activity data'!K16*EF!$H47*EF!$H65)*NtoN2O*kgtoGg)</f>
        <v>NO</v>
      </c>
      <c r="L47" s="28" t="str">
        <f>IF(('Activity data'!L16*EF!$H47*EF!$H65)*NtoN2O*kgtoGg=0,"NO",('Activity data'!L16*EF!$H47*EF!$H65)*NtoN2O*kgtoGg)</f>
        <v>NO</v>
      </c>
      <c r="M47" s="28" t="str">
        <f>IF(('Activity data'!M16*EF!$H47*EF!$H65)*NtoN2O*kgtoGg=0,"NO",('Activity data'!M16*EF!$H47*EF!$H65)*NtoN2O*kgtoGg)</f>
        <v>NO</v>
      </c>
      <c r="N47" s="28" t="str">
        <f>IF(('Activity data'!N16*EF!$H47*EF!$H65)*NtoN2O*kgtoGg=0,"NO",('Activity data'!N16*EF!$H47*EF!$H65)*NtoN2O*kgtoGg)</f>
        <v>NO</v>
      </c>
      <c r="O47" s="28" t="str">
        <f>IF(('Activity data'!O16*EF!$H47*EF!$H65)*NtoN2O*kgtoGg=0,"NO",('Activity data'!O16*EF!$H47*EF!$H65)*NtoN2O*kgtoGg)</f>
        <v>NO</v>
      </c>
      <c r="P47" s="28" t="str">
        <f>IF(('Activity data'!P16*EF!$H47*EF!$H65)*NtoN2O*kgtoGg=0,"NO",('Activity data'!P16*EF!$H47*EF!$H65)*NtoN2O*kgtoGg)</f>
        <v>NO</v>
      </c>
      <c r="Q47" s="28" t="str">
        <f>IF(('Activity data'!Q16*EF!$H47*EF!$H65)*NtoN2O*kgtoGg=0,"NO",('Activity data'!Q16*EF!$H47*EF!$H65)*NtoN2O*kgtoGg)</f>
        <v>NO</v>
      </c>
      <c r="R47" s="28" t="str">
        <f>IF(('Activity data'!R16*EF!$H47*EF!$H65)*NtoN2O*kgtoGg=0,"NO",('Activity data'!R16*EF!$H47*EF!$H65)*NtoN2O*kgtoGg)</f>
        <v>NO</v>
      </c>
      <c r="S47" s="28" t="str">
        <f>IF(('Activity data'!S16*EF!$H47*EF!$H65)*NtoN2O*kgtoGg=0,"NO",('Activity data'!S16*EF!$H47*EF!$H65)*NtoN2O*kgtoGg)</f>
        <v>NO</v>
      </c>
      <c r="T47" s="28" t="str">
        <f>IF(('Activity data'!T16*EF!$H47*EF!$H65)*NtoN2O*kgtoGg=0,"NO",('Activity data'!T16*EF!$H47*EF!$H65)*NtoN2O*kgtoGg)</f>
        <v>NO</v>
      </c>
      <c r="U47" s="28" t="str">
        <f>IF(('Activity data'!U16*EF!$H47*EF!$H65)*NtoN2O*kgtoGg=0,"NO",('Activity data'!U16*EF!$H47*EF!$H65)*NtoN2O*kgtoGg)</f>
        <v>NO</v>
      </c>
      <c r="V47" s="28" t="str">
        <f>IF(('Activity data'!V16*EF!$H47*EF!$H65)*NtoN2O*kgtoGg=0,"NO",('Activity data'!V16*EF!$H47*EF!$H65)*NtoN2O*kgtoGg)</f>
        <v>NO</v>
      </c>
      <c r="W47" s="28" t="str">
        <f>IF(('Activity data'!W16*EF!$H47*EF!$H65)*NtoN2O*kgtoGg=0,"NO",('Activity data'!W16*EF!$H47*EF!$H65)*NtoN2O*kgtoGg)</f>
        <v>NO</v>
      </c>
      <c r="X47" s="28" t="str">
        <f>IF(('Activity data'!X16*EF!$H47*EF!$H65)*NtoN2O*kgtoGg=0,"NO",('Activity data'!X16*EF!$H47*EF!$H65)*NtoN2O*kgtoGg)</f>
        <v>NO</v>
      </c>
      <c r="Y47" s="28" t="str">
        <f>IF(('Activity data'!Y16*EF!$H47*EF!$H65)*NtoN2O*kgtoGg=0,"NO",('Activity data'!Y16*EF!$H47*EF!$H65)*NtoN2O*kgtoGg)</f>
        <v>NO</v>
      </c>
      <c r="Z47" s="28" t="str">
        <f>IF(('Activity data'!Z16*EF!$H47*EF!$H65)*NtoN2O*kgtoGg=0,"NO",('Activity data'!Z16*EF!$H47*EF!$H65)*NtoN2O*kgtoGg)</f>
        <v>NO</v>
      </c>
      <c r="AA47" s="28" t="str">
        <f>IF(('Activity data'!AA16*EF!$H47*EF!$H65)*NtoN2O*kgtoGg=0,"NO",('Activity data'!AA16*EF!$H47*EF!$H65)*NtoN2O*kgtoGg)</f>
        <v>NO</v>
      </c>
      <c r="AB47" s="28" t="str">
        <f>IF(('Activity data'!AB16*EF!$H47*EF!$H65)*NtoN2O*kgtoGg=0,"NO",('Activity data'!AB16*EF!$H47*EF!$H65)*NtoN2O*kgtoGg)</f>
        <v>NO</v>
      </c>
      <c r="AC47" s="28" t="str">
        <f>IF(('Activity data'!AC16*EF!$H47*EF!$H65)*NtoN2O*kgtoGg=0,"NO",('Activity data'!AC16*EF!$H47*EF!$H65)*NtoN2O*kgtoGg)</f>
        <v>NO</v>
      </c>
      <c r="AD47" s="28" t="str">
        <f>IF(('Activity data'!AD16*EF!$H47*EF!$H65)*NtoN2O*kgtoGg=0,"NO",('Activity data'!AD16*EF!$H47*EF!$H65)*NtoN2O*kgtoGg)</f>
        <v>NO</v>
      </c>
      <c r="AE47" s="28" t="str">
        <f>IF(('Activity data'!AE16*EF!$H47*EF!$H65)*NtoN2O*kgtoGg=0,"NO",('Activity data'!AE16*EF!$H47*EF!$H65)*NtoN2O*kgtoGg)</f>
        <v>NO</v>
      </c>
      <c r="AF47" s="28" t="str">
        <f>IF(('Activity data'!AF16*EF!$H47*EF!$H65)*NtoN2O*kgtoGg=0,"NO",('Activity data'!AF16*EF!$H47*EF!$H65)*NtoN2O*kgtoGg)</f>
        <v>NO</v>
      </c>
      <c r="AG47" s="28" t="str">
        <f>IF(('Activity data'!AG16*EF!$H47*EF!$H65)*NtoN2O*kgtoGg=0,"NO",('Activity data'!AG16*EF!$H47*EF!$H65)*NtoN2O*kgtoGg)</f>
        <v>NO</v>
      </c>
      <c r="AH47" s="28" t="str">
        <f>IF(('Activity data'!AH16*EF!$H47*EF!$H65)*NtoN2O*kgtoGg=0,"NO",('Activity data'!AH16*EF!$H47*EF!$H65)*NtoN2O*kgtoGg)</f>
        <v>NO</v>
      </c>
      <c r="AI47" s="28" t="str">
        <f>IF(('Activity data'!AI16*EF!$H47*EF!H65)*NtoN2O*kgtoGg=0,"NO",('Activity data'!AI16*EF!$H47*EF!H65)*NtoN2O*kgtoGg)</f>
        <v>NO</v>
      </c>
      <c r="AJ47" s="28" t="str">
        <f>IF(('Activity data'!AJ16*EF!$H47*EF!I65)*NtoN2O*kgtoGg=0,"NO",('Activity data'!AJ16*EF!$H47*EF!I65)*NtoN2O*kgtoGg)</f>
        <v>NO</v>
      </c>
      <c r="AK47" s="28" t="str">
        <f>IF(('Activity data'!AK16*EF!$H47*EF!J65)*NtoN2O*kgtoGg=0,"NO",('Activity data'!AK16*EF!$H47*EF!J65)*NtoN2O*kgtoGg)</f>
        <v>NO</v>
      </c>
      <c r="AL47" s="28" t="str">
        <f>IF(('Activity data'!AL16*EF!$H47*EF!K65)*NtoN2O*kgtoGg=0,"NO",('Activity data'!AL16*EF!$H47*EF!K65)*NtoN2O*kgtoGg)</f>
        <v>NO</v>
      </c>
      <c r="AM47" s="28" t="str">
        <f>IF(('Activity data'!AM16*EF!$H47*EF!L65)*NtoN2O*kgtoGg=0,"NO",('Activity data'!AM16*EF!$H47*EF!L65)*NtoN2O*kgtoGg)</f>
        <v>NO</v>
      </c>
      <c r="AN47" s="28" t="str">
        <f>IF(('Activity data'!AN16*EF!$H47*EF!M65)*NtoN2O*kgtoGg=0,"NO",('Activity data'!AN16*EF!$H47*EF!M65)*NtoN2O*kgtoGg)</f>
        <v>NO</v>
      </c>
      <c r="AO47" s="28" t="str">
        <f>IF(('Activity data'!AO16*EF!$H47*EF!N65)*NtoN2O*kgtoGg=0,"NO",('Activity data'!AO16*EF!$H47*EF!N65)*NtoN2O*kgtoGg)</f>
        <v>NO</v>
      </c>
      <c r="AP47" s="28" t="str">
        <f>IF(('Activity data'!AP16*EF!$H47*EF!O65)*NtoN2O*kgtoGg=0,"NO",('Activity data'!AP16*EF!$H47*EF!O65)*NtoN2O*kgtoGg)</f>
        <v>NO</v>
      </c>
      <c r="AQ47" s="28" t="str">
        <f>IF(('Activity data'!AQ16*EF!$H47*EF!P65)*NtoN2O*kgtoGg=0,"NO",('Activity data'!AQ16*EF!$H47*EF!P65)*NtoN2O*kgtoGg)</f>
        <v>NO</v>
      </c>
      <c r="AR47" s="28" t="str">
        <f>IF(('Activity data'!AR16*EF!$H47*EF!Q65)*NtoN2O*kgtoGg=0,"NO",('Activity data'!AR16*EF!$H47*EF!Q65)*NtoN2O*kgtoGg)</f>
        <v>NO</v>
      </c>
      <c r="AS47" s="28" t="str">
        <f>IF(('Activity data'!AS16*EF!$H47*EF!R65)*NtoN2O*kgtoGg=0,"NO",('Activity data'!AS16*EF!$H47*EF!R65)*NtoN2O*kgtoGg)</f>
        <v>NO</v>
      </c>
      <c r="AT47" s="28" t="str">
        <f>IF(('Activity data'!AT16*EF!$H47*EF!S65)*NtoN2O*kgtoGg=0,"NO",('Activity data'!AT16*EF!$H47*EF!S65)*NtoN2O*kgtoGg)</f>
        <v>NO</v>
      </c>
      <c r="AU47" s="28" t="str">
        <f>IF(('Activity data'!AU16*EF!$H47*EF!T65)*NtoN2O*kgtoGg=0,"NO",('Activity data'!AU16*EF!$H47*EF!T65)*NtoN2O*kgtoGg)</f>
        <v>NO</v>
      </c>
      <c r="AV47" s="28" t="str">
        <f>IF(('Activity data'!AV16*EF!$H47*EF!U65)*NtoN2O*kgtoGg=0,"NO",('Activity data'!AV16*EF!$H47*EF!U65)*NtoN2O*kgtoGg)</f>
        <v>NO</v>
      </c>
      <c r="AW47" s="28" t="str">
        <f>IF(('Activity data'!AW16*EF!$H47*EF!V65)*NtoN2O*kgtoGg=0,"NO",('Activity data'!AW16*EF!$H47*EF!V65)*NtoN2O*kgtoGg)</f>
        <v>NO</v>
      </c>
      <c r="AX47" s="28" t="str">
        <f>IF(('Activity data'!AX16*EF!$H47*EF!W65)*NtoN2O*kgtoGg=0,"NO",('Activity data'!AX16*EF!$H47*EF!W65)*NtoN2O*kgtoGg)</f>
        <v>NO</v>
      </c>
      <c r="AY47" s="28" t="str">
        <f>IF(('Activity data'!AY16*EF!$H47*EF!X65)*NtoN2O*kgtoGg=0,"NO",('Activity data'!AY16*EF!$H47*EF!X65)*NtoN2O*kgtoGg)</f>
        <v>NO</v>
      </c>
      <c r="AZ47" s="28" t="str">
        <f>IF(('Activity data'!AZ16*EF!$H47*EF!Y65)*NtoN2O*kgtoGg=0,"NO",('Activity data'!AZ16*EF!$H47*EF!Y65)*NtoN2O*kgtoGg)</f>
        <v>NO</v>
      </c>
      <c r="BA47" s="28" t="str">
        <f>IF(('Activity data'!BA16*EF!$H47*EF!Z65)*NtoN2O*kgtoGg=0,"NO",('Activity data'!BA16*EF!$H47*EF!Z65)*NtoN2O*kgtoGg)</f>
        <v>NO</v>
      </c>
      <c r="BB47" s="28" t="str">
        <f>IF(('Activity data'!BB16*EF!$H47*EF!AA65)*NtoN2O*kgtoGg=0,"NO",('Activity data'!BB16*EF!$H47*EF!AA65)*NtoN2O*kgtoGg)</f>
        <v>NO</v>
      </c>
      <c r="BC47" s="28" t="str">
        <f>IF(('Activity data'!BC16*EF!$H47*EF!AB65)*NtoN2O*kgtoGg=0,"NO",('Activity data'!BC16*EF!$H47*EF!AB65)*NtoN2O*kgtoGg)</f>
        <v>NO</v>
      </c>
      <c r="BD47" s="28" t="str">
        <f>IF(('Activity data'!BD16*EF!$H47*EF!AC65)*NtoN2O*kgtoGg=0,"NO",('Activity data'!BD16*EF!$H47*EF!AC65)*NtoN2O*kgtoGg)</f>
        <v>NO</v>
      </c>
      <c r="BE47" s="28" t="str">
        <f>IF(('Activity data'!BE16*EF!$H47*EF!AD65)*NtoN2O*kgtoGg=0,"NO",('Activity data'!BE16*EF!$H47*EF!AD65)*NtoN2O*kgtoGg)</f>
        <v>NO</v>
      </c>
      <c r="BF47" s="28" t="str">
        <f>IF(('Activity data'!BF16*EF!$H47*EF!AE65)*NtoN2O*kgtoGg=0,"NO",('Activity data'!BF16*EF!$H47*EF!AE65)*NtoN2O*kgtoGg)</f>
        <v>NO</v>
      </c>
      <c r="BG47" s="28" t="str">
        <f>IF(('Activity data'!BG16*EF!$H47*EF!AF65)*NtoN2O*kgtoGg=0,"NO",('Activity data'!BG16*EF!$H47*EF!AF65)*NtoN2O*kgtoGg)</f>
        <v>NO</v>
      </c>
      <c r="BH47" s="28" t="str">
        <f>IF(('Activity data'!BH16*EF!$H47*EF!AG65)*NtoN2O*kgtoGg=0,"NO",('Activity data'!BH16*EF!$H47*EF!AG65)*NtoN2O*kgtoGg)</f>
        <v>NO</v>
      </c>
      <c r="BI47" s="28" t="str">
        <f>IF(('Activity data'!BI16*EF!$H47*EF!AH65)*NtoN2O*kgtoGg=0,"NO",('Activity data'!BI16*EF!$H47*EF!AH65)*NtoN2O*kgtoGg)</f>
        <v>NO</v>
      </c>
      <c r="BJ47" s="28" t="str">
        <f>IF(('Activity data'!BJ16*EF!$H47*EF!AI65)*NtoN2O*kgtoGg=0,"NO",('Activity data'!BJ16*EF!$H47*EF!AI65)*NtoN2O*kgtoGg)</f>
        <v>NO</v>
      </c>
      <c r="BK47" s="28" t="str">
        <f>IF(('Activity data'!BK16*EF!$H47*EF!AJ65)*NtoN2O*kgtoGg=0,"NO",('Activity data'!BK16*EF!$H47*EF!AJ65)*NtoN2O*kgtoGg)</f>
        <v>NO</v>
      </c>
      <c r="BL47" s="28" t="str">
        <f>IF(('Activity data'!BL16*EF!$H47*EF!AK65)*NtoN2O*kgtoGg=0,"NO",('Activity data'!BL16*EF!$H47*EF!AK65)*NtoN2O*kgtoGg)</f>
        <v>NO</v>
      </c>
      <c r="BM47" s="28" t="str">
        <f>IF(('Activity data'!BM16*EF!$H47*EF!AL65)*NtoN2O*kgtoGg=0,"NO",('Activity data'!BM16*EF!$H47*EF!AL65)*NtoN2O*kgtoGg)</f>
        <v>NO</v>
      </c>
      <c r="BN47" s="28" t="str">
        <f>IF(('Activity data'!BN16*EF!$H47*EF!AM65)*NtoN2O*kgtoGg=0,"NO",('Activity data'!BN16*EF!$H47*EF!AM65)*NtoN2O*kgtoGg)</f>
        <v>NO</v>
      </c>
      <c r="BO47" s="28" t="str">
        <f>IF(('Activity data'!BO16*EF!$H47*EF!AN65)*NtoN2O*kgtoGg=0,"NO",('Activity data'!BO16*EF!$H47*EF!AN65)*NtoN2O*kgtoGg)</f>
        <v>NO</v>
      </c>
      <c r="BP47" s="28" t="str">
        <f>IF(('Activity data'!BP16*EF!$H47*EF!AO65)*NtoN2O*kgtoGg=0,"NO",('Activity data'!BP16*EF!$H47*EF!AO65)*NtoN2O*kgtoGg)</f>
        <v>NO</v>
      </c>
    </row>
    <row r="48" spans="1:68" x14ac:dyDescent="0.25">
      <c r="A48" t="str">
        <f t="shared" si="1"/>
        <v>3A Livestock</v>
      </c>
      <c r="B48" t="str">
        <f t="shared" si="11"/>
        <v>3A2 Manure management (N2O)</v>
      </c>
      <c r="C48" t="str">
        <f>EF!C66</f>
        <v>3A1h Swine</v>
      </c>
      <c r="D48" t="str">
        <f>EF!D66</f>
        <v>Commercial</v>
      </c>
      <c r="E48" t="str">
        <f t="shared" si="9"/>
        <v>Manure management Emissions</v>
      </c>
      <c r="F48" t="s">
        <v>139</v>
      </c>
      <c r="G48" t="str">
        <f t="shared" si="10"/>
        <v>Gg N2O</v>
      </c>
      <c r="H48" s="28">
        <f>IF(('Activity data'!H17*EF!$H48*EF!$H66)*NtoN2O*kgtoGg=0,"NO",('Activity data'!H17*EF!$H48*EF!$H66)*NtoN2O*kgtoGg)</f>
        <v>8.969533176685715E-2</v>
      </c>
      <c r="I48" s="28">
        <f>IF(('Activity data'!I17*EF!$H48*EF!$H66)*NtoN2O*kgtoGg=0,"NO",('Activity data'!I17*EF!$H48*EF!$H66)*NtoN2O*kgtoGg)</f>
        <v>9.7993915611428561E-2</v>
      </c>
      <c r="J48" s="28">
        <f>IF(('Activity data'!J17*EF!$H48*EF!$H66)*NtoN2O*kgtoGg=0,"NO",('Activity data'!J17*EF!$H48*EF!$H66)*NtoN2O*kgtoGg)</f>
        <v>9.7346508361142864E-2</v>
      </c>
      <c r="K48" s="28">
        <f>IF(('Activity data'!K17*EF!$H48*EF!$H66)*NtoN2O*kgtoGg=0,"NO",('Activity data'!K17*EF!$H48*EF!$H66)*NtoN2O*kgtoGg)</f>
        <v>9.7287653156571438E-2</v>
      </c>
      <c r="L48" s="28">
        <f>IF(('Activity data'!L17*EF!$H48*EF!$H66)*NtoN2O*kgtoGg=0,"NO",('Activity data'!L17*EF!$H48*EF!$H66)*NtoN2O*kgtoGg)</f>
        <v>9.2402671177142848E-2</v>
      </c>
      <c r="M48" s="28">
        <f>IF(('Activity data'!M17*EF!$H48*EF!$H66)*NtoN2O*kgtoGg=0,"NO",('Activity data'!M17*EF!$H48*EF!$H66)*NtoN2O*kgtoGg)</f>
        <v>9.328549924571429E-2</v>
      </c>
      <c r="N48" s="28">
        <f>IF(('Activity data'!N17*EF!$H48*EF!$H66)*NtoN2O*kgtoGg=0,"NO",('Activity data'!N17*EF!$H48*EF!$H66)*NtoN2O*kgtoGg)</f>
        <v>0.10046583420342857</v>
      </c>
      <c r="O48" s="28">
        <f>IF(('Activity data'!O17*EF!$H48*EF!$H66)*NtoN2O*kgtoGg=0,"NO",('Activity data'!O17*EF!$H48*EF!$H66)*NtoN2O*kgtoGg)</f>
        <v>9.9994992566857149E-2</v>
      </c>
      <c r="P48" s="28">
        <f>IF(('Activity data'!P17*EF!$H48*EF!$H66)*NtoN2O*kgtoGg=0,"NO",('Activity data'!P17*EF!$H48*EF!$H66)*NtoN2O*kgtoGg)</f>
        <v>0.102172635136</v>
      </c>
      <c r="Q48" s="28">
        <f>IF(('Activity data'!Q17*EF!$H48*EF!$H66)*NtoN2O*kgtoGg=0,"NO",('Activity data'!Q17*EF!$H48*EF!$H66)*NtoN2O*kgtoGg)</f>
        <v>0.10476226413714287</v>
      </c>
      <c r="R48" s="28">
        <f>IF(('Activity data'!R17*EF!$H48*EF!$H66)*NtoN2O*kgtoGg=0,"NO",('Activity data'!R17*EF!$H48*EF!$H66)*NtoN2O*kgtoGg)</f>
        <v>9.6934521929142842E-2</v>
      </c>
      <c r="S48" s="28">
        <f>IF(('Activity data'!S17*EF!$H48*EF!$H66)*NtoN2O*kgtoGg=0,"NO",('Activity data'!S17*EF!$H48*EF!$H66)*NtoN2O*kgtoGg)</f>
        <v>9.8759033270857152E-2</v>
      </c>
      <c r="T48" s="28">
        <f>IF(('Activity data'!T17*EF!$H48*EF!$H66)*NtoN2O*kgtoGg=0,"NO",('Activity data'!T17*EF!$H48*EF!$H66)*NtoN2O*kgtoGg)</f>
        <v>0.10064239981714285</v>
      </c>
      <c r="U48" s="28">
        <f>IF(('Activity data'!U17*EF!$H48*EF!$H66)*NtoN2O*kgtoGg=0,"NO",('Activity data'!U17*EF!$H48*EF!$H66)*NtoN2O*kgtoGg)</f>
        <v>9.7876205202285724E-2</v>
      </c>
      <c r="V48" s="28">
        <f>IF(('Activity data'!V17*EF!$H48*EF!$H66)*NtoN2O*kgtoGg=0,"NO",('Activity data'!V17*EF!$H48*EF!$H66)*NtoN2O*kgtoGg)</f>
        <v>9.7876205202285724E-2</v>
      </c>
      <c r="W48" s="28">
        <f>IF(('Activity data'!W17*EF!$H48*EF!$H66)*NtoN2O*kgtoGg=0,"NO",('Activity data'!W17*EF!$H48*EF!$H66)*NtoN2O*kgtoGg)</f>
        <v>9.7169942747428573E-2</v>
      </c>
      <c r="X48" s="28">
        <f>IF(('Activity data'!X17*EF!$H48*EF!$H66)*NtoN2O*kgtoGg=0,"NO",('Activity data'!X17*EF!$H48*EF!$H66)*NtoN2O*kgtoGg)</f>
        <v>9.5463141814857155E-2</v>
      </c>
      <c r="Y48" s="28">
        <f>IF(('Activity data'!Y17*EF!$H48*EF!$H66)*NtoN2O*kgtoGg=0,"NO",('Activity data'!Y17*EF!$H48*EF!$H66)*NtoN2O*kgtoGg)</f>
        <v>9.7169942747428573E-2</v>
      </c>
      <c r="Z48" s="28">
        <f>IF(('Activity data'!Z17*EF!$H48*EF!$H66)*NtoN2O*kgtoGg=0,"NO",('Activity data'!Z17*EF!$H48*EF!$H66)*NtoN2O*kgtoGg)</f>
        <v>9.5051155382857147E-2</v>
      </c>
      <c r="AA48" s="28">
        <f>IF(('Activity data'!AA17*EF!$H48*EF!$H66)*NtoN2O*kgtoGg=0,"NO",('Activity data'!AA17*EF!$H48*EF!$H66)*NtoN2O*kgtoGg)</f>
        <v>9.4933444973714295E-2</v>
      </c>
      <c r="AB48" s="28">
        <f>IF(('Activity data'!AB17*EF!$H48*EF!$H66)*NtoN2O*kgtoGg=0,"NO",('Activity data'!AB17*EF!$H48*EF!$H66)*NtoN2O*kgtoGg)</f>
        <v>9.381519608685715E-2</v>
      </c>
      <c r="AC48" s="28">
        <f>IF(('Activity data'!AC17*EF!$H48*EF!$H66)*NtoN2O*kgtoGg=0,"NO",('Activity data'!AC17*EF!$H48*EF!$H66)*NtoN2O*kgtoGg)</f>
        <v>9.3226644041142864E-2</v>
      </c>
      <c r="AD48" s="28">
        <f>IF(('Activity data'!AD17*EF!$H48*EF!$H66)*NtoN2O*kgtoGg=0,"NO",('Activity data'!AD17*EF!$H48*EF!$H66)*NtoN2O*kgtoGg)</f>
        <v>9.2257046377573287E-2</v>
      </c>
      <c r="AE48" s="28">
        <f>IF(('Activity data'!AE17*EF!$H48*EF!$H66)*NtoN2O*kgtoGg=0,"NO",('Activity data'!AE17*EF!$H48*EF!$H66)*NtoN2O*kgtoGg)</f>
        <v>9.1882895171653059E-2</v>
      </c>
      <c r="AF48" s="28">
        <f>IF(('Activity data'!AF17*EF!$H48*EF!$H66)*NtoN2O*kgtoGg=0,"NO",('Activity data'!AF17*EF!$H48*EF!$H66)*NtoN2O*kgtoGg)</f>
        <v>9.1614595212668432E-2</v>
      </c>
      <c r="AG48" s="28">
        <f>IF(('Activity data'!AG17*EF!$H48*EF!$H66)*NtoN2O*kgtoGg=0,"NO",('Activity data'!AG17*EF!$H48*EF!$H66)*NtoN2O*kgtoGg)</f>
        <v>9.1449541067925855E-2</v>
      </c>
      <c r="AH48" s="28">
        <f>IF(('Activity data'!AH17*EF!$H48*EF!$H66)*NtoN2O*kgtoGg=0,"NO",('Activity data'!AH17*EF!$H48*EF!$H66)*NtoN2O*kgtoGg)</f>
        <v>9.1368799409667176E-2</v>
      </c>
      <c r="AI48" s="28">
        <f>IF(('Activity data'!AI17*EF!$H48*EF!H66)*NtoN2O*kgtoGg=0,"NO",('Activity data'!AI17*EF!$H48*EF!H66)*NtoN2O*kgtoGg)</f>
        <v>9.1221798186457176E-2</v>
      </c>
      <c r="AJ48" s="28">
        <f>IF(('Activity data'!AJ17*EF!$H48*EF!I66)*NtoN2O*kgtoGg=0,"NO",('Activity data'!AJ17*EF!$H48*EF!I66)*NtoN2O*kgtoGg)</f>
        <v>9.1103300006120033E-2</v>
      </c>
      <c r="AK48" s="28">
        <f>IF(('Activity data'!AK17*EF!$H48*EF!J66)*NtoN2O*kgtoGg=0,"NO",('Activity data'!AK17*EF!$H48*EF!J66)*NtoN2O*kgtoGg)</f>
        <v>9.1010826068555248E-2</v>
      </c>
      <c r="AL48" s="28">
        <f>IF(('Activity data'!AL17*EF!$H48*EF!K66)*NtoN2O*kgtoGg=0,"NO",('Activity data'!AL17*EF!$H48*EF!K66)*NtoN2O*kgtoGg)</f>
        <v>9.2446635339585095E-2</v>
      </c>
      <c r="AM48" s="28">
        <f>IF(('Activity data'!AM17*EF!$H48*EF!L66)*NtoN2O*kgtoGg=0,"NO",('Activity data'!AM17*EF!$H48*EF!L66)*NtoN2O*kgtoGg)</f>
        <v>9.2098268557714594E-2</v>
      </c>
      <c r="AN48" s="28">
        <f>IF(('Activity data'!AN17*EF!$H48*EF!M66)*NtoN2O*kgtoGg=0,"NO",('Activity data'!AN17*EF!$H48*EF!M66)*NtoN2O*kgtoGg)</f>
        <v>9.1778406306438493E-2</v>
      </c>
      <c r="AO48" s="28">
        <f>IF(('Activity data'!AO17*EF!$H48*EF!N66)*NtoN2O*kgtoGg=0,"NO",('Activity data'!AO17*EF!$H48*EF!N66)*NtoN2O*kgtoGg)</f>
        <v>9.1465592353582481E-2</v>
      </c>
      <c r="AP48" s="28">
        <f>IF(('Activity data'!AP17*EF!$H48*EF!O66)*NtoN2O*kgtoGg=0,"NO",('Activity data'!AP17*EF!$H48*EF!O66)*NtoN2O*kgtoGg)</f>
        <v>9.1175610515156796E-2</v>
      </c>
      <c r="AQ48" s="28">
        <f>IF(('Activity data'!AQ17*EF!$H48*EF!P66)*NtoN2O*kgtoGg=0,"NO",('Activity data'!AQ17*EF!$H48*EF!P66)*NtoN2O*kgtoGg)</f>
        <v>9.087984586522968E-2</v>
      </c>
      <c r="AR48" s="28">
        <f>IF(('Activity data'!AR17*EF!$H48*EF!Q66)*NtoN2O*kgtoGg=0,"NO",('Activity data'!AR17*EF!$H48*EF!Q66)*NtoN2O*kgtoGg)</f>
        <v>9.0534586664177463E-2</v>
      </c>
      <c r="AS48" s="28">
        <f>IF(('Activity data'!AS17*EF!$H48*EF!R66)*NtoN2O*kgtoGg=0,"NO",('Activity data'!AS17*EF!$H48*EF!R66)*NtoN2O*kgtoGg)</f>
        <v>9.0205277334895029E-2</v>
      </c>
      <c r="AT48" s="28">
        <f>IF(('Activity data'!AT17*EF!$H48*EF!S66)*NtoN2O*kgtoGg=0,"NO",('Activity data'!AT17*EF!$H48*EF!S66)*NtoN2O*kgtoGg)</f>
        <v>8.9870083457762193E-2</v>
      </c>
      <c r="AU48" s="28">
        <f>IF(('Activity data'!AU17*EF!$H48*EF!T66)*NtoN2O*kgtoGg=0,"NO",('Activity data'!AU17*EF!$H48*EF!T66)*NtoN2O*kgtoGg)</f>
        <v>8.9534464630645641E-2</v>
      </c>
      <c r="AV48" s="28">
        <f>IF(('Activity data'!AV17*EF!$H48*EF!U66)*NtoN2O*kgtoGg=0,"NO",('Activity data'!AV17*EF!$H48*EF!U66)*NtoN2O*kgtoGg)</f>
        <v>8.9197954178997466E-2</v>
      </c>
      <c r="AW48" s="28">
        <f>IF(('Activity data'!AW17*EF!$H48*EF!V66)*NtoN2O*kgtoGg=0,"NO",('Activity data'!AW17*EF!$H48*EF!V66)*NtoN2O*kgtoGg)</f>
        <v>8.9875965484579365E-2</v>
      </c>
      <c r="AX48" s="28">
        <f>IF(('Activity data'!AX17*EF!$H48*EF!W66)*NtoN2O*kgtoGg=0,"NO",('Activity data'!AX17*EF!$H48*EF!W66)*NtoN2O*kgtoGg)</f>
        <v>9.0225855449560133E-2</v>
      </c>
      <c r="AY48" s="28">
        <f>IF(('Activity data'!AY17*EF!$H48*EF!X66)*NtoN2O*kgtoGg=0,"NO",('Activity data'!AY17*EF!$H48*EF!X66)*NtoN2O*kgtoGg)</f>
        <v>9.0714264535989755E-2</v>
      </c>
      <c r="AZ48" s="28">
        <f>IF(('Activity data'!AZ17*EF!$H48*EF!Y66)*NtoN2O*kgtoGg=0,"NO",('Activity data'!AZ17*EF!$H48*EF!Y66)*NtoN2O*kgtoGg)</f>
        <v>9.1216319250909242E-2</v>
      </c>
      <c r="BA48" s="28">
        <f>IF(('Activity data'!BA17*EF!$H48*EF!Z66)*NtoN2O*kgtoGg=0,"NO",('Activity data'!BA17*EF!$H48*EF!Z66)*NtoN2O*kgtoGg)</f>
        <v>9.1719482215995393E-2</v>
      </c>
      <c r="BB48" s="28">
        <f>IF(('Activity data'!BB17*EF!$H48*EF!AA66)*NtoN2O*kgtoGg=0,"NO",('Activity data'!BB17*EF!$H48*EF!AA66)*NtoN2O*kgtoGg)</f>
        <v>9.2088021997319566E-2</v>
      </c>
      <c r="BC48" s="28">
        <f>IF(('Activity data'!BC17*EF!$H48*EF!AB66)*NtoN2O*kgtoGg=0,"NO",('Activity data'!BC17*EF!$H48*EF!AB66)*NtoN2O*kgtoGg)</f>
        <v>9.2366344736489275E-2</v>
      </c>
      <c r="BD48" s="28">
        <f>IF(('Activity data'!BD17*EF!$H48*EF!AC66)*NtoN2O*kgtoGg=0,"NO",('Activity data'!BD17*EF!$H48*EF!AC66)*NtoN2O*kgtoGg)</f>
        <v>9.2465604456096986E-2</v>
      </c>
      <c r="BE48" s="28">
        <f>IF(('Activity data'!BE17*EF!$H48*EF!AD66)*NtoN2O*kgtoGg=0,"NO",('Activity data'!BE17*EF!$H48*EF!AD66)*NtoN2O*kgtoGg)</f>
        <v>9.2459301875681466E-2</v>
      </c>
      <c r="BF48" s="28">
        <f>IF(('Activity data'!BF17*EF!$H48*EF!AE66)*NtoN2O*kgtoGg=0,"NO",('Activity data'!BF17*EF!$H48*EF!AE66)*NtoN2O*kgtoGg)</f>
        <v>9.2397549782749222E-2</v>
      </c>
      <c r="BG48" s="28">
        <f>IF(('Activity data'!BG17*EF!$H48*EF!AF66)*NtoN2O*kgtoGg=0,"NO",('Activity data'!BG17*EF!$H48*EF!AF66)*NtoN2O*kgtoGg)</f>
        <v>9.2899499629877161E-2</v>
      </c>
      <c r="BH48" s="28">
        <f>IF(('Activity data'!BH17*EF!$H48*EF!AG66)*NtoN2O*kgtoGg=0,"NO",('Activity data'!BH17*EF!$H48*EF!AG66)*NtoN2O*kgtoGg)</f>
        <v>9.3325429982417649E-2</v>
      </c>
      <c r="BI48" s="28">
        <f>IF(('Activity data'!BI17*EF!$H48*EF!AH66)*NtoN2O*kgtoGg=0,"NO",('Activity data'!BI17*EF!$H48*EF!AH66)*NtoN2O*kgtoGg)</f>
        <v>9.3657810742586819E-2</v>
      </c>
      <c r="BJ48" s="28">
        <f>IF(('Activity data'!BJ17*EF!$H48*EF!AI66)*NtoN2O*kgtoGg=0,"NO",('Activity data'!BJ17*EF!$H48*EF!AI66)*NtoN2O*kgtoGg)</f>
        <v>9.3902503943764676E-2</v>
      </c>
      <c r="BK48" s="28">
        <f>IF(('Activity data'!BK17*EF!$H48*EF!AJ66)*NtoN2O*kgtoGg=0,"NO",('Activity data'!BK17*EF!$H48*EF!AJ66)*NtoN2O*kgtoGg)</f>
        <v>9.410575754357399E-2</v>
      </c>
      <c r="BL48" s="28">
        <f>IF(('Activity data'!BL17*EF!$H48*EF!AK66)*NtoN2O*kgtoGg=0,"NO",('Activity data'!BL17*EF!$H48*EF!AK66)*NtoN2O*kgtoGg)</f>
        <v>9.4222840045720749E-2</v>
      </c>
      <c r="BM48" s="28">
        <f>IF(('Activity data'!BM17*EF!$H48*EF!AL66)*NtoN2O*kgtoGg=0,"NO",('Activity data'!BM17*EF!$H48*EF!AL66)*NtoN2O*kgtoGg)</f>
        <v>9.4241526469283743E-2</v>
      </c>
      <c r="BN48" s="28">
        <f>IF(('Activity data'!BN17*EF!$H48*EF!AM66)*NtoN2O*kgtoGg=0,"NO",('Activity data'!BN17*EF!$H48*EF!AM66)*NtoN2O*kgtoGg)</f>
        <v>9.4056246681499173E-2</v>
      </c>
      <c r="BO48" s="28">
        <f>IF(('Activity data'!BO17*EF!$H48*EF!AN66)*NtoN2O*kgtoGg=0,"NO",('Activity data'!BO17*EF!$H48*EF!AN66)*NtoN2O*kgtoGg)</f>
        <v>9.3767649176450113E-2</v>
      </c>
      <c r="BP48" s="28">
        <f>IF(('Activity data'!BP17*EF!$H48*EF!AO66)*NtoN2O*kgtoGg=0,"NO",('Activity data'!BP17*EF!$H48*EF!AO66)*NtoN2O*kgtoGg)</f>
        <v>9.337185665746689E-2</v>
      </c>
    </row>
    <row r="49" spans="1:68" x14ac:dyDescent="0.25">
      <c r="A49" t="str">
        <f t="shared" si="1"/>
        <v>3A Livestock</v>
      </c>
      <c r="B49" t="str">
        <f t="shared" si="11"/>
        <v>3A2 Manure management (N2O)</v>
      </c>
      <c r="C49" t="str">
        <f>EF!C67</f>
        <v>3A1h Swine</v>
      </c>
      <c r="D49" t="str">
        <f>EF!D67</f>
        <v>Subsistence</v>
      </c>
      <c r="E49" t="str">
        <f t="shared" si="9"/>
        <v>Manure management Emissions</v>
      </c>
      <c r="F49" t="s">
        <v>139</v>
      </c>
      <c r="G49" t="str">
        <f t="shared" si="10"/>
        <v>Gg N2O</v>
      </c>
      <c r="H49" s="28">
        <f>IF(('Activity data'!H18*EF!$H49*EF!$H67)*NtoN2O*kgtoGg=0,"NO",('Activity data'!H18*EF!$H49*EF!$H67)*NtoN2O*kgtoGg)</f>
        <v>3.3603344466422339E-2</v>
      </c>
      <c r="I49" s="28">
        <f>IF(('Activity data'!I18*EF!$H49*EF!$H67)*NtoN2O*kgtoGg=0,"NO",('Activity data'!I18*EF!$H49*EF!$H67)*NtoN2O*kgtoGg)</f>
        <v>3.6712315312725202E-2</v>
      </c>
      <c r="J49" s="28">
        <f>IF(('Activity data'!J18*EF!$H49*EF!$H67)*NtoN2O*kgtoGg=0,"NO",('Activity data'!J18*EF!$H49*EF!$H67)*NtoN2O*kgtoGg)</f>
        <v>3.6469771487836318E-2</v>
      </c>
      <c r="K49" s="28">
        <f>IF(('Activity data'!K18*EF!$H49*EF!$H67)*NtoN2O*kgtoGg=0,"NO",('Activity data'!K18*EF!$H49*EF!$H67)*NtoN2O*kgtoGg)</f>
        <v>3.6447722049210061E-2</v>
      </c>
      <c r="L49" s="28">
        <f>IF(('Activity data'!L18*EF!$H49*EF!$H67)*NtoN2O*kgtoGg=0,"NO",('Activity data'!L18*EF!$H49*EF!$H67)*NtoN2O*kgtoGg)</f>
        <v>3.4617618643230354E-2</v>
      </c>
      <c r="M49" s="28">
        <f>IF(('Activity data'!M18*EF!$H49*EF!$H67)*NtoN2O*kgtoGg=0,"NO",('Activity data'!M18*EF!$H49*EF!$H67)*NtoN2O*kgtoGg)</f>
        <v>3.4948360222624285E-2</v>
      </c>
      <c r="N49" s="28">
        <f>IF(('Activity data'!N18*EF!$H49*EF!$H67)*NtoN2O*kgtoGg=0,"NO",('Activity data'!N18*EF!$H49*EF!$H67)*NtoN2O*kgtoGg)</f>
        <v>3.763839173502817E-2</v>
      </c>
      <c r="O49" s="28">
        <f>IF(('Activity data'!O18*EF!$H49*EF!$H67)*NtoN2O*kgtoGg=0,"NO",('Activity data'!O18*EF!$H49*EF!$H67)*NtoN2O*kgtoGg)</f>
        <v>3.7461996226018084E-2</v>
      </c>
      <c r="P49" s="28">
        <f>IF(('Activity data'!P18*EF!$H49*EF!$H67)*NtoN2O*kgtoGg=0,"NO",('Activity data'!P18*EF!$H49*EF!$H67)*NtoN2O*kgtoGg)</f>
        <v>3.8277825455189748E-2</v>
      </c>
      <c r="Q49" s="28">
        <f>IF(('Activity data'!Q18*EF!$H49*EF!$H67)*NtoN2O*kgtoGg=0,"NO",('Activity data'!Q18*EF!$H49*EF!$H67)*NtoN2O*kgtoGg)</f>
        <v>3.9248000754745251E-2</v>
      </c>
      <c r="R49" s="28">
        <f>IF(('Activity data'!R18*EF!$H49*EF!$H67)*NtoN2O*kgtoGg=0,"NO",('Activity data'!R18*EF!$H49*EF!$H67)*NtoN2O*kgtoGg)</f>
        <v>3.6315425417452488E-2</v>
      </c>
      <c r="S49" s="28">
        <f>IF(('Activity data'!S18*EF!$H49*EF!$H67)*NtoN2O*kgtoGg=0,"NO",('Activity data'!S18*EF!$H49*EF!$H67)*NtoN2O*kgtoGg)</f>
        <v>3.6998958014866593E-2</v>
      </c>
      <c r="T49" s="28">
        <f>IF(('Activity data'!T18*EF!$H49*EF!$H67)*NtoN2O*kgtoGg=0,"NO",('Activity data'!T18*EF!$H49*EF!$H67)*NtoN2O*kgtoGg)</f>
        <v>3.7704540050906954E-2</v>
      </c>
      <c r="U49" s="28">
        <f>IF(('Activity data'!U18*EF!$H49*EF!$H67)*NtoN2O*kgtoGg=0,"NO",('Activity data'!U18*EF!$H49*EF!$H67)*NtoN2O*kgtoGg)</f>
        <v>3.6668216435472668E-2</v>
      </c>
      <c r="V49" s="28">
        <f>IF(('Activity data'!V18*EF!$H49*EF!$H67)*NtoN2O*kgtoGg=0,"NO",('Activity data'!V18*EF!$H49*EF!$H67)*NtoN2O*kgtoGg)</f>
        <v>3.6668216435472668E-2</v>
      </c>
      <c r="W49" s="28">
        <f>IF(('Activity data'!W18*EF!$H49*EF!$H67)*NtoN2O*kgtoGg=0,"NO",('Activity data'!W18*EF!$H49*EF!$H67)*NtoN2O*kgtoGg)</f>
        <v>3.6403623171957535E-2</v>
      </c>
      <c r="X49" s="28">
        <f>IF(('Activity data'!X18*EF!$H49*EF!$H67)*NtoN2O*kgtoGg=0,"NO",('Activity data'!X18*EF!$H49*EF!$H67)*NtoN2O*kgtoGg)</f>
        <v>3.576418945179595E-2</v>
      </c>
      <c r="Y49" s="28">
        <f>IF(('Activity data'!Y18*EF!$H49*EF!$H67)*NtoN2O*kgtoGg=0,"NO",('Activity data'!Y18*EF!$H49*EF!$H67)*NtoN2O*kgtoGg)</f>
        <v>3.6403623171957535E-2</v>
      </c>
      <c r="Z49" s="28">
        <f>IF(('Activity data'!Z18*EF!$H49*EF!$H67)*NtoN2O*kgtoGg=0,"NO",('Activity data'!Z18*EF!$H49*EF!$H67)*NtoN2O*kgtoGg)</f>
        <v>3.5609843381412126E-2</v>
      </c>
      <c r="AA49" s="28">
        <f>IF(('Activity data'!AA18*EF!$H49*EF!$H67)*NtoN2O*kgtoGg=0,"NO",('Activity data'!AA18*EF!$H49*EF!$H67)*NtoN2O*kgtoGg)</f>
        <v>3.5565744504159599E-2</v>
      </c>
      <c r="AB49" s="28">
        <f>IF(('Activity data'!AB18*EF!$H49*EF!$H67)*NtoN2O*kgtoGg=0,"NO",('Activity data'!AB18*EF!$H49*EF!$H67)*NtoN2O*kgtoGg)</f>
        <v>3.5146805170260635E-2</v>
      </c>
      <c r="AC49" s="28">
        <f>IF(('Activity data'!AC18*EF!$H49*EF!$H67)*NtoN2O*kgtoGg=0,"NO",('Activity data'!AC18*EF!$H49*EF!$H67)*NtoN2O*kgtoGg)</f>
        <v>3.4926310783998021E-2</v>
      </c>
      <c r="AD49" s="28">
        <f>IF(('Activity data'!AD18*EF!$H49*EF!$H67)*NtoN2O*kgtoGg=0,"NO",('Activity data'!AD18*EF!$H49*EF!$H67)*NtoN2O*kgtoGg)</f>
        <v>3.4673173356588607E-2</v>
      </c>
      <c r="AE49" s="28">
        <f>IF(('Activity data'!AE18*EF!$H49*EF!$H67)*NtoN2O*kgtoGg=0,"NO",('Activity data'!AE18*EF!$H49*EF!$H67)*NtoN2O*kgtoGg)</f>
        <v>3.4532555266872669E-2</v>
      </c>
      <c r="AF49" s="28">
        <f>IF(('Activity data'!AF18*EF!$H49*EF!$H67)*NtoN2O*kgtoGg=0,"NO",('Activity data'!AF18*EF!$H49*EF!$H67)*NtoN2O*kgtoGg)</f>
        <v>3.4431719489501633E-2</v>
      </c>
      <c r="AG49" s="28">
        <f>IF(('Activity data'!AG18*EF!$H49*EF!$H67)*NtoN2O*kgtoGg=0,"NO",('Activity data'!AG18*EF!$H49*EF!$H67)*NtoN2O*kgtoGg)</f>
        <v>3.4369686818842934E-2</v>
      </c>
      <c r="AH49" s="28">
        <f>IF(('Activity data'!AH18*EF!$H49*EF!$H67)*NtoN2O*kgtoGg=0,"NO",('Activity data'!AH18*EF!$H49*EF!$H67)*NtoN2O*kgtoGg)</f>
        <v>3.4339341499717471E-2</v>
      </c>
      <c r="AI49" s="28">
        <f>IF(('Activity data'!AI18*EF!$H49*EF!H67)*NtoN2O*kgtoGg=0,"NO",('Activity data'!AI18*EF!$H49*EF!H67)*NtoN2O*kgtoGg)</f>
        <v>3.4284093699184899E-2</v>
      </c>
      <c r="AJ49" s="28">
        <f>IF(('Activity data'!AJ18*EF!$H49*EF!I67)*NtoN2O*kgtoGg=0,"NO",('Activity data'!AJ18*EF!$H49*EF!I67)*NtoN2O*kgtoGg)</f>
        <v>3.4239558261398892E-2</v>
      </c>
      <c r="AK49" s="28">
        <f>IF(('Activity data'!AK18*EF!$H49*EF!J67)*NtoN2O*kgtoGg=0,"NO",('Activity data'!AK18*EF!$H49*EF!J67)*NtoN2O*kgtoGg)</f>
        <v>3.4204803573339326E-2</v>
      </c>
      <c r="AL49" s="28">
        <f>IF(('Activity data'!AL18*EF!$H49*EF!K67)*NtoN2O*kgtoGg=0,"NO",('Activity data'!AL18*EF!$H49*EF!K67)*NtoN2O*kgtoGg)</f>
        <v>3.4744427002835074E-2</v>
      </c>
      <c r="AM49" s="28">
        <f>IF(('Activity data'!AM18*EF!$H49*EF!L67)*NtoN2O*kgtoGg=0,"NO",('Activity data'!AM18*EF!$H49*EF!L67)*NtoN2O*kgtoGg)</f>
        <v>3.461349953123536E-2</v>
      </c>
      <c r="AN49" s="28">
        <f>IF(('Activity data'!AN18*EF!$H49*EF!M67)*NtoN2O*kgtoGg=0,"NO",('Activity data'!AN18*EF!$H49*EF!M67)*NtoN2O*kgtoGg)</f>
        <v>3.4493284981515923E-2</v>
      </c>
      <c r="AO49" s="28">
        <f>IF(('Activity data'!AO18*EF!$H49*EF!N67)*NtoN2O*kgtoGg=0,"NO",('Activity data'!AO18*EF!$H49*EF!N67)*NtoN2O*kgtoGg)</f>
        <v>3.4375719409653303E-2</v>
      </c>
      <c r="AP49" s="28">
        <f>IF(('Activity data'!AP18*EF!$H49*EF!O67)*NtoN2O*kgtoGg=0,"NO",('Activity data'!AP18*EF!$H49*EF!O67)*NtoN2O*kgtoGg)</f>
        <v>3.4266734882738722E-2</v>
      </c>
      <c r="AQ49" s="28">
        <f>IF(('Activity data'!AQ18*EF!$H49*EF!P67)*NtoN2O*kgtoGg=0,"NO",('Activity data'!AQ18*EF!$H49*EF!P67)*NtoN2O*kgtoGg)</f>
        <v>3.4155576988763842E-2</v>
      </c>
      <c r="AR49" s="28">
        <f>IF(('Activity data'!AR18*EF!$H49*EF!Q67)*NtoN2O*kgtoGg=0,"NO",('Activity data'!AR18*EF!$H49*EF!Q67)*NtoN2O*kgtoGg)</f>
        <v>3.4025817446256421E-2</v>
      </c>
      <c r="AS49" s="28">
        <f>IF(('Activity data'!AS18*EF!$H49*EF!R67)*NtoN2O*kgtoGg=0,"NO",('Activity data'!AS18*EF!$H49*EF!R67)*NtoN2O*kgtoGg)</f>
        <v>3.3902052379950018E-2</v>
      </c>
      <c r="AT49" s="28">
        <f>IF(('Activity data'!AT18*EF!$H49*EF!S67)*NtoN2O*kgtoGg=0,"NO",('Activity data'!AT18*EF!$H49*EF!S67)*NtoN2O*kgtoGg)</f>
        <v>3.3776075710782359E-2</v>
      </c>
      <c r="AU49" s="28">
        <f>IF(('Activity data'!AU18*EF!$H49*EF!T67)*NtoN2O*kgtoGg=0,"NO",('Activity data'!AU18*EF!$H49*EF!T67)*NtoN2O*kgtoGg)</f>
        <v>3.3649939331705993E-2</v>
      </c>
      <c r="AV49" s="28">
        <f>IF(('Activity data'!AV18*EF!$H49*EF!U67)*NtoN2O*kgtoGg=0,"NO",('Activity data'!AV18*EF!$H49*EF!U67)*NtoN2O*kgtoGg)</f>
        <v>3.3523467851375395E-2</v>
      </c>
      <c r="AW49" s="28">
        <f>IF(('Activity data'!AW18*EF!$H49*EF!V67)*NtoN2O*kgtoGg=0,"NO",('Activity data'!AW18*EF!$H49*EF!V67)*NtoN2O*kgtoGg)</f>
        <v>3.3778286366158046E-2</v>
      </c>
      <c r="AX49" s="28">
        <f>IF(('Activity data'!AX18*EF!$H49*EF!W67)*NtoN2O*kgtoGg=0,"NO",('Activity data'!AX18*EF!$H49*EF!W67)*NtoN2O*kgtoGg)</f>
        <v>3.3909786299093872E-2</v>
      </c>
      <c r="AY49" s="28">
        <f>IF(('Activity data'!AY18*EF!$H49*EF!X67)*NtoN2O*kgtoGg=0,"NO",('Activity data'!AY18*EF!$H49*EF!X67)*NtoN2O*kgtoGg)</f>
        <v>3.4093346185169147E-2</v>
      </c>
      <c r="AZ49" s="28">
        <f>IF(('Activity data'!AZ18*EF!$H49*EF!Y67)*NtoN2O*kgtoGg=0,"NO",('Activity data'!AZ18*EF!$H49*EF!Y67)*NtoN2O*kgtoGg)</f>
        <v>3.4282034538508054E-2</v>
      </c>
      <c r="BA49" s="28">
        <f>IF(('Activity data'!BA18*EF!$H49*EF!Z67)*NtoN2O*kgtoGg=0,"NO",('Activity data'!BA18*EF!$H49*EF!Z67)*NtoN2O*kgtoGg)</f>
        <v>3.4471139408001131E-2</v>
      </c>
      <c r="BB49" s="28">
        <f>IF(('Activity data'!BB18*EF!$H49*EF!AA67)*NtoN2O*kgtoGg=0,"NO",('Activity data'!BB18*EF!$H49*EF!AA67)*NtoN2O*kgtoGg)</f>
        <v>3.4609648543383095E-2</v>
      </c>
      <c r="BC49" s="28">
        <f>IF(('Activity data'!BC18*EF!$H49*EF!AB67)*NtoN2O*kgtoGg=0,"NO",('Activity data'!BC18*EF!$H49*EF!AB67)*NtoN2O*kgtoGg)</f>
        <v>3.4714251204786516E-2</v>
      </c>
      <c r="BD49" s="28">
        <f>IF(('Activity data'!BD18*EF!$H49*EF!AC67)*NtoN2O*kgtoGg=0,"NO",('Activity data'!BD18*EF!$H49*EF!AC67)*NtoN2O*kgtoGg)</f>
        <v>3.4751556208582099E-2</v>
      </c>
      <c r="BE49" s="28">
        <f>IF(('Activity data'!BE18*EF!$H49*EF!AD67)*NtoN2O*kgtoGg=0,"NO",('Activity data'!BE18*EF!$H49*EF!AD67)*NtoN2O*kgtoGg)</f>
        <v>3.4749187495601117E-2</v>
      </c>
      <c r="BF49" s="28">
        <f>IF(('Activity data'!BF18*EF!$H49*EF!AE67)*NtoN2O*kgtoGg=0,"NO",('Activity data'!BF18*EF!$H49*EF!AE67)*NtoN2O*kgtoGg)</f>
        <v>3.4725979067546632E-2</v>
      </c>
      <c r="BG49" s="28">
        <f>IF(('Activity data'!BG18*EF!$H49*EF!AF67)*NtoN2O*kgtoGg=0,"NO",('Activity data'!BG18*EF!$H49*EF!AF67)*NtoN2O*kgtoGg)</f>
        <v>3.4914628008187461E-2</v>
      </c>
      <c r="BH49" s="28">
        <f>IF(('Activity data'!BH18*EF!$H49*EF!AG67)*NtoN2O*kgtoGg=0,"NO",('Activity data'!BH18*EF!$H49*EF!AG67)*NtoN2O*kgtoGg)</f>
        <v>3.5074706371102181E-2</v>
      </c>
      <c r="BI49" s="28">
        <f>IF(('Activity data'!BI18*EF!$H49*EF!AH67)*NtoN2O*kgtoGg=0,"NO",('Activity data'!BI18*EF!$H49*EF!AH67)*NtoN2O*kgtoGg)</f>
        <v>3.5199625780190723E-2</v>
      </c>
      <c r="BJ49" s="28">
        <f>IF(('Activity data'!BJ18*EF!$H49*EF!AI67)*NtoN2O*kgtoGg=0,"NO",('Activity data'!BJ18*EF!$H49*EF!AI67)*NtoN2O*kgtoGg)</f>
        <v>3.5291589376650286E-2</v>
      </c>
      <c r="BK49" s="28">
        <f>IF(('Activity data'!BK18*EF!$H49*EF!AJ67)*NtoN2O*kgtoGg=0,"NO",('Activity data'!BK18*EF!$H49*EF!AJ67)*NtoN2O*kgtoGg)</f>
        <v>3.5367978634471275E-2</v>
      </c>
      <c r="BL49" s="28">
        <f>IF(('Activity data'!BL18*EF!$H49*EF!AK67)*NtoN2O*kgtoGg=0,"NO",('Activity data'!BL18*EF!$H49*EF!AK67)*NtoN2O*kgtoGg)</f>
        <v>3.5411982014737137E-2</v>
      </c>
      <c r="BM49" s="28">
        <f>IF(('Activity data'!BM18*EF!$H49*EF!AL67)*NtoN2O*kgtoGg=0,"NO",('Activity data'!BM18*EF!$H49*EF!AL67)*NtoN2O*kgtoGg)</f>
        <v>3.5419004975356987E-2</v>
      </c>
      <c r="BN49" s="28">
        <f>IF(('Activity data'!BN18*EF!$H49*EF!AM67)*NtoN2O*kgtoGg=0,"NO",('Activity data'!BN18*EF!$H49*EF!AM67)*NtoN2O*kgtoGg)</f>
        <v>3.5349370855757782E-2</v>
      </c>
      <c r="BO49" s="28">
        <f>IF(('Activity data'!BO18*EF!$H49*EF!AN67)*NtoN2O*kgtoGg=0,"NO",('Activity data'!BO18*EF!$H49*EF!AN67)*NtoN2O*kgtoGg)</f>
        <v>3.5240906605971456E-2</v>
      </c>
      <c r="BP49" s="28">
        <f>IF(('Activity data'!BP18*EF!$H49*EF!AO67)*NtoN2O*kgtoGg=0,"NO",('Activity data'!BP18*EF!$H49*EF!AO67)*NtoN2O*kgtoGg)</f>
        <v>3.5092155012865153E-2</v>
      </c>
    </row>
    <row r="50" spans="1:68" x14ac:dyDescent="0.25">
      <c r="A50" t="str">
        <f t="shared" si="1"/>
        <v>3A Livestock</v>
      </c>
      <c r="B50" t="str">
        <f t="shared" si="11"/>
        <v>3A2 Manure management (N2O)</v>
      </c>
      <c r="C50" t="str">
        <f>EF!C68</f>
        <v>3A2i Poultry</v>
      </c>
      <c r="D50" t="str">
        <f>EF!D68</f>
        <v>Commercial layers</v>
      </c>
      <c r="E50" t="str">
        <f t="shared" si="9"/>
        <v>Manure management Emissions</v>
      </c>
      <c r="F50" t="s">
        <v>139</v>
      </c>
      <c r="G50" t="str">
        <f t="shared" si="10"/>
        <v>Gg N2O</v>
      </c>
      <c r="H50" s="28">
        <f>IF(('Activity data'!H19*EF!$H50*EF!$H68)*NtoN2O*kgtoGg=0,"NO",('Activity data'!H19*EF!$H50*EF!$H68)*NtoN2O*kgtoGg)</f>
        <v>0.20296133454737286</v>
      </c>
      <c r="I50" s="28">
        <f>IF(('Activity data'!I19*EF!$H50*EF!$H68)*NtoN2O*kgtoGg=0,"NO",('Activity data'!I19*EF!$H50*EF!$H68)*NtoN2O*kgtoGg)</f>
        <v>0.19717389585886808</v>
      </c>
      <c r="J50" s="28">
        <f>IF(('Activity data'!J19*EF!$H50*EF!$H68)*NtoN2O*kgtoGg=0,"NO",('Activity data'!J19*EF!$H50*EF!$H68)*NtoN2O*kgtoGg)</f>
        <v>0.18700572466593463</v>
      </c>
      <c r="K50" s="28">
        <f>IF(('Activity data'!K19*EF!$H50*EF!$H68)*NtoN2O*kgtoGg=0,"NO",('Activity data'!K19*EF!$H50*EF!$H68)*NtoN2O*kgtoGg)</f>
        <v>0.1840653888057816</v>
      </c>
      <c r="L50" s="28">
        <f>IF(('Activity data'!L19*EF!$H50*EF!$H68)*NtoN2O*kgtoGg=0,"NO",('Activity data'!L19*EF!$H50*EF!$H68)*NtoN2O*kgtoGg)</f>
        <v>0.17605920711970463</v>
      </c>
      <c r="M50" s="28">
        <f>IF(('Activity data'!M19*EF!$H50*EF!$H68)*NtoN2O*kgtoGg=0,"NO",('Activity data'!M19*EF!$H50*EF!$H68)*NtoN2O*kgtoGg)</f>
        <v>0.19210250795483447</v>
      </c>
      <c r="N50" s="28">
        <f>IF(('Activity data'!N19*EF!$H50*EF!$H68)*NtoN2O*kgtoGg=0,"NO",('Activity data'!N19*EF!$H50*EF!$H68)*NtoN2O*kgtoGg)</f>
        <v>0.20291887626044761</v>
      </c>
      <c r="O50" s="28">
        <f>IF(('Activity data'!O19*EF!$H50*EF!$H68)*NtoN2O*kgtoGg=0,"NO",('Activity data'!O19*EF!$H50*EF!$H68)*NtoN2O*kgtoGg)</f>
        <v>0.20358614843156064</v>
      </c>
      <c r="P50" s="28">
        <f>IF(('Activity data'!P19*EF!$H50*EF!$H68)*NtoN2O*kgtoGg=0,"NO",('Activity data'!P19*EF!$H50*EF!$H68)*NtoN2O*kgtoGg)</f>
        <v>0.22922082424272011</v>
      </c>
      <c r="Q50" s="28">
        <f>IF(('Activity data'!Q19*EF!$H50*EF!$H68)*NtoN2O*kgtoGg=0,"NO",('Activity data'!Q19*EF!$H50*EF!$H68)*NtoN2O*kgtoGg)</f>
        <v>0.24574772569354431</v>
      </c>
      <c r="R50" s="28">
        <f>IF(('Activity data'!R19*EF!$H50*EF!$H68)*NtoN2O*kgtoGg=0,"NO",('Activity data'!R19*EF!$H50*EF!$H68)*NtoN2O*kgtoGg)</f>
        <v>0.24054072570239549</v>
      </c>
      <c r="S50" s="28">
        <f>IF(('Activity data'!S19*EF!$H50*EF!$H68)*NtoN2O*kgtoGg=0,"NO",('Activity data'!S19*EF!$H50*EF!$H68)*NtoN2O*kgtoGg)</f>
        <v>0.24695749420493165</v>
      </c>
      <c r="T50" s="28">
        <f>IF(('Activity data'!T19*EF!$H50*EF!$H68)*NtoN2O*kgtoGg=0,"NO",('Activity data'!T19*EF!$H50*EF!$H68)*NtoN2O*kgtoGg)</f>
        <v>0.24501923229562322</v>
      </c>
      <c r="U50" s="28">
        <f>IF(('Activity data'!U19*EF!$H50*EF!$H68)*NtoN2O*kgtoGg=0,"NO",('Activity data'!U19*EF!$H50*EF!$H68)*NtoN2O*kgtoGg)</f>
        <v>0.23523745158495141</v>
      </c>
      <c r="V50" s="28">
        <f>IF(('Activity data'!V19*EF!$H50*EF!$H68)*NtoN2O*kgtoGg=0,"NO",('Activity data'!V19*EF!$H50*EF!$H68)*NtoN2O*kgtoGg)</f>
        <v>0.24376740544300249</v>
      </c>
      <c r="W50" s="28">
        <f>IF(('Activity data'!W19*EF!$H50*EF!$H68)*NtoN2O*kgtoGg=0,"NO",('Activity data'!W19*EF!$H50*EF!$H68)*NtoN2O*kgtoGg)</f>
        <v>0.25846670786599002</v>
      </c>
      <c r="X50" s="28">
        <f>IF(('Activity data'!X19*EF!$H50*EF!$H68)*NtoN2O*kgtoGg=0,"NO",('Activity data'!X19*EF!$H50*EF!$H68)*NtoN2O*kgtoGg)</f>
        <v>0.28524838842815914</v>
      </c>
      <c r="Y50" s="28">
        <f>IF(('Activity data'!Y19*EF!$H50*EF!$H68)*NtoN2O*kgtoGg=0,"NO",('Activity data'!Y19*EF!$H50*EF!$H68)*NtoN2O*kgtoGg)</f>
        <v>0.3156764917693638</v>
      </c>
      <c r="Z50" s="28">
        <f>IF(('Activity data'!Z19*EF!$H50*EF!$H68)*NtoN2O*kgtoGg=0,"NO",('Activity data'!Z19*EF!$H50*EF!$H68)*NtoN2O*kgtoGg)</f>
        <v>0.31983391250576138</v>
      </c>
      <c r="AA50" s="28">
        <f>IF(('Activity data'!AA19*EF!$H50*EF!$H68)*NtoN2O*kgtoGg=0,"NO",('Activity data'!AA19*EF!$H50*EF!$H68)*NtoN2O*kgtoGg)</f>
        <v>0.30804277788191292</v>
      </c>
      <c r="AB50" s="28">
        <f>IF(('Activity data'!AB19*EF!$H50*EF!$H68)*NtoN2O*kgtoGg=0,"NO",('Activity data'!AB19*EF!$H50*EF!$H68)*NtoN2O*kgtoGg)</f>
        <v>0.32004210844863845</v>
      </c>
      <c r="AC50" s="28">
        <f>IF(('Activity data'!AC19*EF!$H50*EF!$H68)*NtoN2O*kgtoGg=0,"NO",('Activity data'!AC19*EF!$H50*EF!$H68)*NtoN2O*kgtoGg)</f>
        <v>0.33481439404248187</v>
      </c>
      <c r="AD50" s="28">
        <f>IF(('Activity data'!AD19*EF!$H50*EF!$H68)*NtoN2O*kgtoGg=0,"NO",('Activity data'!AD19*EF!$H50*EF!$H68)*NtoN2O*kgtoGg)</f>
        <v>0.33694264908153349</v>
      </c>
      <c r="AE50" s="28">
        <f>IF(('Activity data'!AE19*EF!$H50*EF!$H68)*NtoN2O*kgtoGg=0,"NO",('Activity data'!AE19*EF!$H50*EF!$H68)*NtoN2O*kgtoGg)</f>
        <v>0.34466784867287026</v>
      </c>
      <c r="AF50" s="28">
        <f>IF(('Activity data'!AF19*EF!$H50*EF!$H68)*NtoN2O*kgtoGg=0,"NO",('Activity data'!AF19*EF!$H50*EF!$H68)*NtoN2O*kgtoGg)</f>
        <v>0.35075724056836788</v>
      </c>
      <c r="AG50" s="28">
        <f>IF(('Activity data'!AG19*EF!$H50*EF!$H68)*NtoN2O*kgtoGg=0,"NO",('Activity data'!AG19*EF!$H50*EF!$H68)*NtoN2O*kgtoGg)</f>
        <v>0.35513864520975114</v>
      </c>
      <c r="AH50" s="28">
        <f>IF(('Activity data'!AH19*EF!$H50*EF!$H68)*NtoN2O*kgtoGg=0,"NO",('Activity data'!AH19*EF!$H50*EF!$H68)*NtoN2O*kgtoGg)</f>
        <v>0.35819524414771198</v>
      </c>
      <c r="AI50" s="28">
        <f>IF(('Activity data'!AI19*EF!$H50*EF!H68)*NtoN2O*kgtoGg=0,"NO",('Activity data'!AI19*EF!$H50*EF!H68)*NtoN2O*kgtoGg)</f>
        <v>0.36244638189892536</v>
      </c>
      <c r="AJ50" s="28">
        <f>IF(('Activity data'!AJ19*EF!$H50*EF!I68)*NtoN2O*kgtoGg=0,"NO",('Activity data'!AJ19*EF!$H50*EF!I68)*NtoN2O*kgtoGg)</f>
        <v>0.36621276635357042</v>
      </c>
      <c r="AK50" s="28">
        <f>IF(('Activity data'!AK19*EF!$H50*EF!J68)*NtoN2O*kgtoGg=0,"NO",('Activity data'!AK19*EF!$H50*EF!J68)*NtoN2O*kgtoGg)</f>
        <v>0.36952475486241376</v>
      </c>
      <c r="AL50" s="28">
        <f>IF(('Activity data'!AL19*EF!$H50*EF!K68)*NtoN2O*kgtoGg=0,"NO",('Activity data'!AL19*EF!$H50*EF!K68)*NtoN2O*kgtoGg)</f>
        <v>0.34644935548304123</v>
      </c>
      <c r="AM50" s="28">
        <f>IF(('Activity data'!AM19*EF!$H50*EF!L68)*NtoN2O*kgtoGg=0,"NO",('Activity data'!AM19*EF!$H50*EF!L68)*NtoN2O*kgtoGg)</f>
        <v>0.35383025071484031</v>
      </c>
      <c r="AN50" s="28">
        <f>IF(('Activity data'!AN19*EF!$H50*EF!M68)*NtoN2O*kgtoGg=0,"NO",('Activity data'!AN19*EF!$H50*EF!M68)*NtoN2O*kgtoGg)</f>
        <v>0.36088972789958168</v>
      </c>
      <c r="AO50" s="28">
        <f>IF(('Activity data'!AO19*EF!$H50*EF!N68)*NtoN2O*kgtoGg=0,"NO",('Activity data'!AO19*EF!$H50*EF!N68)*NtoN2O*kgtoGg)</f>
        <v>0.36797015144907119</v>
      </c>
      <c r="AP50" s="28">
        <f>IF(('Activity data'!AP19*EF!$H50*EF!O68)*NtoN2O*kgtoGg=0,"NO",('Activity data'!AP19*EF!$H50*EF!O68)*NtoN2O*kgtoGg)</f>
        <v>0.37478134369295429</v>
      </c>
      <c r="AQ50" s="28">
        <f>IF(('Activity data'!AQ19*EF!$H50*EF!P68)*NtoN2O*kgtoGg=0,"NO",('Activity data'!AQ19*EF!$H50*EF!P68)*NtoN2O*kgtoGg)</f>
        <v>0.38182432740350591</v>
      </c>
      <c r="AR50" s="28">
        <f>IF(('Activity data'!AR19*EF!$H50*EF!Q68)*NtoN2O*kgtoGg=0,"NO",('Activity data'!AR19*EF!$H50*EF!Q68)*NtoN2O*kgtoGg)</f>
        <v>0.39007612388159923</v>
      </c>
      <c r="AS50" s="28">
        <f>IF(('Activity data'!AS19*EF!$H50*EF!R68)*NtoN2O*kgtoGg=0,"NO",('Activity data'!AS19*EF!$H50*EF!R68)*NtoN2O*kgtoGg)</f>
        <v>0.39820366443337207</v>
      </c>
      <c r="AT50" s="28">
        <f>IF(('Activity data'!AT19*EF!$H50*EF!S68)*NtoN2O*kgtoGg=0,"NO",('Activity data'!AT19*EF!$H50*EF!S68)*NtoN2O*kgtoGg)</f>
        <v>0.40662404563679139</v>
      </c>
      <c r="AU50" s="28">
        <f>IF(('Activity data'!AU19*EF!$H50*EF!T68)*NtoN2O*kgtoGg=0,"NO",('Activity data'!AU19*EF!$H50*EF!T68)*NtoN2O*kgtoGg)</f>
        <v>0.41523944944421121</v>
      </c>
      <c r="AV50" s="28">
        <f>IF(('Activity data'!AV19*EF!$H50*EF!U68)*NtoN2O*kgtoGg=0,"NO",('Activity data'!AV19*EF!$H50*EF!U68)*NtoN2O*kgtoGg)</f>
        <v>0.4240657412888385</v>
      </c>
      <c r="AW50" s="28">
        <f>IF(('Activity data'!AW19*EF!$H50*EF!V68)*NtoN2O*kgtoGg=0,"NO",('Activity data'!AW19*EF!$H50*EF!V68)*NtoN2O*kgtoGg)</f>
        <v>0.4343654533144119</v>
      </c>
      <c r="AX50" s="28">
        <f>IF(('Activity data'!AX19*EF!$H50*EF!W68)*NtoN2O*kgtoGg=0,"NO",('Activity data'!AX19*EF!$H50*EF!W68)*NtoN2O*kgtoGg)</f>
        <v>0.4441228722328136</v>
      </c>
      <c r="AY50" s="28">
        <f>IF(('Activity data'!AY19*EF!$H50*EF!X68)*NtoN2O*kgtoGg=0,"NO",('Activity data'!AY19*EF!$H50*EF!X68)*NtoN2O*kgtoGg)</f>
        <v>0.45474434493041554</v>
      </c>
      <c r="AZ50" s="28">
        <f>IF(('Activity data'!AZ19*EF!$H50*EF!Y68)*NtoN2O*kgtoGg=0,"NO",('Activity data'!AZ19*EF!$H50*EF!Y68)*NtoN2O*kgtoGg)</f>
        <v>0.46590294679047717</v>
      </c>
      <c r="BA50" s="28">
        <f>IF(('Activity data'!BA19*EF!$H50*EF!Z68)*NtoN2O*kgtoGg=0,"NO",('Activity data'!BA19*EF!$H50*EF!Z68)*NtoN2O*kgtoGg)</f>
        <v>0.47760348747244052</v>
      </c>
      <c r="BB50" s="28">
        <f>IF(('Activity data'!BB19*EF!$H50*EF!AA68)*NtoN2O*kgtoGg=0,"NO",('Activity data'!BB19*EF!$H50*EF!AA68)*NtoN2O*kgtoGg)</f>
        <v>0.48950273234598146</v>
      </c>
      <c r="BC50" s="28">
        <f>IF(('Activity data'!BC19*EF!$H50*EF!AB68)*NtoN2O*kgtoGg=0,"NO",('Activity data'!BC19*EF!$H50*EF!AB68)*NtoN2O*kgtoGg)</f>
        <v>0.50169925417381356</v>
      </c>
      <c r="BD50" s="28">
        <f>IF(('Activity data'!BD19*EF!$H50*EF!AC68)*NtoN2O*kgtoGg=0,"NO",('Activity data'!BD19*EF!$H50*EF!AC68)*NtoN2O*kgtoGg)</f>
        <v>0.51390166656526193</v>
      </c>
      <c r="BE50" s="28">
        <f>IF(('Activity data'!BE19*EF!$H50*EF!AD68)*NtoN2O*kgtoGg=0,"NO",('Activity data'!BE19*EF!$H50*EF!AD68)*NtoN2O*kgtoGg)</f>
        <v>0.52638314270957143</v>
      </c>
      <c r="BF50" s="28">
        <f>IF(('Activity data'!BF19*EF!$H50*EF!AE68)*NtoN2O*kgtoGg=0,"NO",('Activity data'!BF19*EF!$H50*EF!AE68)*NtoN2O*kgtoGg)</f>
        <v>0.53936361069527239</v>
      </c>
      <c r="BG50" s="28">
        <f>IF(('Activity data'!BG19*EF!$H50*EF!AF68)*NtoN2O*kgtoGg=0,"NO",('Activity data'!BG19*EF!$H50*EF!AF68)*NtoN2O*kgtoGg)</f>
        <v>0.55284932336423276</v>
      </c>
      <c r="BH50" s="28">
        <f>IF(('Activity data'!BH19*EF!$H50*EF!AG68)*NtoN2O*kgtoGg=0,"NO",('Activity data'!BH19*EF!$H50*EF!AG68)*NtoN2O*kgtoGg)</f>
        <v>0.56665522584432171</v>
      </c>
      <c r="BI50" s="28">
        <f>IF(('Activity data'!BI19*EF!$H50*EF!AH68)*NtoN2O*kgtoGg=0,"NO",('Activity data'!BI19*EF!$H50*EF!AH68)*NtoN2O*kgtoGg)</f>
        <v>0.58073555422701995</v>
      </c>
      <c r="BJ50" s="28">
        <f>IF(('Activity data'!BJ19*EF!$H50*EF!AI68)*NtoN2O*kgtoGg=0,"NO",('Activity data'!BJ19*EF!$H50*EF!AI68)*NtoN2O*kgtoGg)</f>
        <v>0.5951392884370279</v>
      </c>
      <c r="BK50" s="28">
        <f>IF(('Activity data'!BK19*EF!$H50*EF!AJ68)*NtoN2O*kgtoGg=0,"NO",('Activity data'!BK19*EF!$H50*EF!AJ68)*NtoN2O*kgtoGg)</f>
        <v>0.61009918329342716</v>
      </c>
      <c r="BL50" s="28">
        <f>IF(('Activity data'!BL19*EF!$H50*EF!AK68)*NtoN2O*kgtoGg=0,"NO",('Activity data'!BL19*EF!$H50*EF!AK68)*NtoN2O*kgtoGg)</f>
        <v>0.6253910914300449</v>
      </c>
      <c r="BM50" s="28">
        <f>IF(('Activity data'!BM19*EF!$H50*EF!AL68)*NtoN2O*kgtoGg=0,"NO",('Activity data'!BM19*EF!$H50*EF!AL68)*NtoN2O*kgtoGg)</f>
        <v>0.64106877241844218</v>
      </c>
      <c r="BN50" s="28">
        <f>IF(('Activity data'!BN19*EF!$H50*EF!AM68)*NtoN2O*kgtoGg=0,"NO",('Activity data'!BN19*EF!$H50*EF!AM68)*NtoN2O*kgtoGg)</f>
        <v>0.65665933226010009</v>
      </c>
      <c r="BO50" s="28">
        <f>IF(('Activity data'!BO19*EF!$H50*EF!AN68)*NtoN2O*kgtoGg=0,"NO",('Activity data'!BO19*EF!$H50*EF!AN68)*NtoN2O*kgtoGg)</f>
        <v>0.67265753470430811</v>
      </c>
      <c r="BP50" s="28">
        <f>IF(('Activity data'!BP19*EF!$H50*EF!AO68)*NtoN2O*kgtoGg=0,"NO",('Activity data'!BP19*EF!$H50*EF!AO68)*NtoN2O*kgtoGg)</f>
        <v>0.68908629718635661</v>
      </c>
    </row>
    <row r="51" spans="1:68" x14ac:dyDescent="0.25">
      <c r="A51" t="str">
        <f t="shared" si="1"/>
        <v>3A Livestock</v>
      </c>
      <c r="B51" t="str">
        <f t="shared" si="11"/>
        <v>3A2 Manure management (N2O)</v>
      </c>
      <c r="C51" t="str">
        <f>EF!C69</f>
        <v>3A2i Poultry</v>
      </c>
      <c r="D51" t="str">
        <f>EF!D69</f>
        <v>Commercial broilers</v>
      </c>
      <c r="E51" t="str">
        <f t="shared" si="9"/>
        <v>Manure management Emissions</v>
      </c>
      <c r="F51" t="s">
        <v>139</v>
      </c>
      <c r="G51" t="str">
        <f t="shared" si="10"/>
        <v>Gg N2O</v>
      </c>
      <c r="H51" s="28">
        <f>IF(('Activity data'!H20*EF!$H51*EF!$H69)*NtoN2O*kgtoGg=0,"NO",('Activity data'!H20*EF!$H51*EF!$H69)*NtoN2O*kgtoGg)</f>
        <v>0.72930971263591093</v>
      </c>
      <c r="I51" s="28">
        <f>IF(('Activity data'!I20*EF!$H51*EF!$H69)*NtoN2O*kgtoGg=0,"NO",('Activity data'!I20*EF!$H51*EF!$H69)*NtoN2O*kgtoGg)</f>
        <v>0.68555113076259577</v>
      </c>
      <c r="J51" s="28">
        <f>IF(('Activity data'!J20*EF!$H51*EF!$H69)*NtoN2O*kgtoGg=0,"NO",('Activity data'!J20*EF!$H51*EF!$H69)*NtoN2O*kgtoGg)</f>
        <v>0.64789485942199276</v>
      </c>
      <c r="K51" s="28">
        <f>IF(('Activity data'!K20*EF!$H51*EF!$H69)*NtoN2O*kgtoGg=0,"NO",('Activity data'!K20*EF!$H51*EF!$H69)*NtoN2O*kgtoGg)</f>
        <v>0.72865140284093732</v>
      </c>
      <c r="L51" s="28">
        <f>IF(('Activity data'!L20*EF!$H51*EF!$H69)*NtoN2O*kgtoGg=0,"NO",('Activity data'!L20*EF!$H51*EF!$H69)*NtoN2O*kgtoGg)</f>
        <v>0.72181757150319903</v>
      </c>
      <c r="M51" s="28">
        <f>IF(('Activity data'!M20*EF!$H51*EF!$H69)*NtoN2O*kgtoGg=0,"NO",('Activity data'!M20*EF!$H51*EF!$H69)*NtoN2O*kgtoGg)</f>
        <v>0.82622573049281356</v>
      </c>
      <c r="N51" s="28">
        <f>IF(('Activity data'!N20*EF!$H51*EF!$H69)*NtoN2O*kgtoGg=0,"NO",('Activity data'!N20*EF!$H51*EF!$H69)*NtoN2O*kgtoGg)</f>
        <v>0.96068755914648207</v>
      </c>
      <c r="O51" s="28">
        <f>IF(('Activity data'!O20*EF!$H51*EF!$H69)*NtoN2O*kgtoGg=0,"NO",('Activity data'!O20*EF!$H51*EF!$H69)*NtoN2O*kgtoGg)</f>
        <v>0.97787012142542185</v>
      </c>
      <c r="P51" s="28">
        <f>IF(('Activity data'!P20*EF!$H51*EF!$H69)*NtoN2O*kgtoGg=0,"NO",('Activity data'!P20*EF!$H51*EF!$H69)*NtoN2O*kgtoGg)</f>
        <v>1.071484472052648</v>
      </c>
      <c r="Q51" s="28">
        <f>IF(('Activity data'!Q20*EF!$H51*EF!$H69)*NtoN2O*kgtoGg=0,"NO",('Activity data'!Q20*EF!$H51*EF!$H69)*NtoN2O*kgtoGg)</f>
        <v>1.1186177697218391</v>
      </c>
      <c r="R51" s="28">
        <f>IF(('Activity data'!R20*EF!$H51*EF!$H69)*NtoN2O*kgtoGg=0,"NO",('Activity data'!R20*EF!$H51*EF!$H69)*NtoN2O*kgtoGg)</f>
        <v>1.2035502905081028</v>
      </c>
      <c r="S51" s="28">
        <f>IF(('Activity data'!S20*EF!$H51*EF!$H69)*NtoN2O*kgtoGg=0,"NO",('Activity data'!S20*EF!$H51*EF!$H69)*NtoN2O*kgtoGg)</f>
        <v>1.1621542696380114</v>
      </c>
      <c r="T51" s="28">
        <f>IF(('Activity data'!T20*EF!$H51*EF!$H69)*NtoN2O*kgtoGg=0,"NO",('Activity data'!T20*EF!$H51*EF!$H69)*NtoN2O*kgtoGg)</f>
        <v>1.2880438918534249</v>
      </c>
      <c r="U51" s="28">
        <f>IF(('Activity data'!U20*EF!$H51*EF!$H69)*NtoN2O*kgtoGg=0,"NO",('Activity data'!U20*EF!$H51*EF!$H69)*NtoN2O*kgtoGg)</f>
        <v>1.225124187011174</v>
      </c>
      <c r="V51" s="28">
        <f>IF(('Activity data'!V20*EF!$H51*EF!$H69)*NtoN2O*kgtoGg=0,"NO",('Activity data'!V20*EF!$H51*EF!$H69)*NtoN2O*kgtoGg)</f>
        <v>1.2546997536257585</v>
      </c>
      <c r="W51" s="28">
        <f>IF(('Activity data'!W20*EF!$H51*EF!$H69)*NtoN2O*kgtoGg=0,"NO",('Activity data'!W20*EF!$H51*EF!$H69)*NtoN2O*kgtoGg)</f>
        <v>1.3882935327729005</v>
      </c>
      <c r="X51" s="28">
        <f>IF(('Activity data'!X20*EF!$H51*EF!$H69)*NtoN2O*kgtoGg=0,"NO",('Activity data'!X20*EF!$H51*EF!$H69)*NtoN2O*kgtoGg)</f>
        <v>1.4849096879687185</v>
      </c>
      <c r="Y51" s="28">
        <f>IF(('Activity data'!Y20*EF!$H51*EF!$H69)*NtoN2O*kgtoGg=0,"NO",('Activity data'!Y20*EF!$H51*EF!$H69)*NtoN2O*kgtoGg)</f>
        <v>1.5536225594206139</v>
      </c>
      <c r="Z51" s="28">
        <f>IF(('Activity data'!Z20*EF!$H51*EF!$H69)*NtoN2O*kgtoGg=0,"NO",('Activity data'!Z20*EF!$H51*EF!$H69)*NtoN2O*kgtoGg)</f>
        <v>1.6541861721500675</v>
      </c>
      <c r="AA51" s="28">
        <f>IF(('Activity data'!AA20*EF!$H51*EF!$H69)*NtoN2O*kgtoGg=0,"NO",('Activity data'!AA20*EF!$H51*EF!$H69)*NtoN2O*kgtoGg)</f>
        <v>1.5609057472739727</v>
      </c>
      <c r="AB51" s="28">
        <f>IF(('Activity data'!AB20*EF!$H51*EF!$H69)*NtoN2O*kgtoGg=0,"NO",('Activity data'!AB20*EF!$H51*EF!$H69)*NtoN2O*kgtoGg)</f>
        <v>1.6001637714485282</v>
      </c>
      <c r="AC51" s="28">
        <f>IF(('Activity data'!AC20*EF!$H51*EF!$H69)*NtoN2O*kgtoGg=0,"NO",('Activity data'!AC20*EF!$H51*EF!$H69)*NtoN2O*kgtoGg)</f>
        <v>1.6549888552911012</v>
      </c>
      <c r="AD51" s="28">
        <f>IF(('Activity data'!AD20*EF!$H51*EF!$H69)*NtoN2O*kgtoGg=0,"NO",('Activity data'!AD20*EF!$H51*EF!$H69)*NtoN2O*kgtoGg)</f>
        <v>1.6335742144754313</v>
      </c>
      <c r="AE51" s="28">
        <f>IF(('Activity data'!AE20*EF!$H51*EF!$H69)*NtoN2O*kgtoGg=0,"NO",('Activity data'!AE20*EF!$H51*EF!$H69)*NtoN2O*kgtoGg)</f>
        <v>1.6622624557577115</v>
      </c>
      <c r="AF51" s="28">
        <f>IF(('Activity data'!AF20*EF!$H51*EF!$H69)*NtoN2O*kgtoGg=0,"NO",('Activity data'!AF20*EF!$H51*EF!$H69)*NtoN2O*kgtoGg)</f>
        <v>1.6832916257160662</v>
      </c>
      <c r="AG51" s="28">
        <f>IF(('Activity data'!AG20*EF!$H51*EF!$H69)*NtoN2O*kgtoGg=0,"NO",('Activity data'!AG20*EF!$H51*EF!$H69)*NtoN2O*kgtoGg)</f>
        <v>1.6963260532242719</v>
      </c>
      <c r="AH51" s="28">
        <f>IF(('Activity data'!AH20*EF!$H51*EF!$H69)*NtoN2O*kgtoGg=0,"NO",('Activity data'!AH20*EF!$H51*EF!$H69)*NtoN2O*kgtoGg)</f>
        <v>1.7025537025737625</v>
      </c>
      <c r="AI51" s="28">
        <f>IF(('Activity data'!AI20*EF!$H51*EF!H69)*NtoN2O*kgtoGg=0,"NO",('Activity data'!AI20*EF!$H51*EF!H69)*NtoN2O*kgtoGg)</f>
        <v>1.71432676351744</v>
      </c>
      <c r="AJ51" s="28">
        <f>IF(('Activity data'!AJ20*EF!$H51*EF!I69)*NtoN2O*kgtoGg=0,"NO",('Activity data'!AJ20*EF!$H51*EF!I69)*NtoN2O*kgtoGg)</f>
        <v>1.7238494525842998</v>
      </c>
      <c r="AK51" s="28">
        <f>IF(('Activity data'!AK20*EF!$H51*EF!J69)*NtoN2O*kgtoGg=0,"NO",('Activity data'!AK20*EF!$H51*EF!J69)*NtoN2O*kgtoGg)</f>
        <v>1.7312626978070218</v>
      </c>
      <c r="AL51" s="28">
        <f>IF(('Activity data'!AL20*EF!$H51*EF!K69)*NtoN2O*kgtoGg=0,"NO",('Activity data'!AL20*EF!$H51*EF!K69)*NtoN2O*kgtoGg)</f>
        <v>1.6161776825193483</v>
      </c>
      <c r="AM51" s="28">
        <f>IF(('Activity data'!AM20*EF!$H51*EF!L69)*NtoN2O*kgtoGg=0,"NO",('Activity data'!AM20*EF!$H51*EF!L69)*NtoN2O*kgtoGg)</f>
        <v>1.6423716810052391</v>
      </c>
      <c r="AN51" s="28">
        <f>IF(('Activity data'!AN20*EF!$H51*EF!M69)*NtoN2O*kgtoGg=0,"NO",('Activity data'!AN20*EF!$H51*EF!M69)*NtoN2O*kgtoGg)</f>
        <v>1.6670735595474169</v>
      </c>
      <c r="AO51" s="28">
        <f>IF(('Activity data'!AO20*EF!$H51*EF!N69)*NtoN2O*kgtoGg=0,"NO",('Activity data'!AO20*EF!$H51*EF!N69)*NtoN2O*kgtoGg)</f>
        <v>1.6918726774698836</v>
      </c>
      <c r="AP51" s="28">
        <f>IF(('Activity data'!AP20*EF!$H51*EF!O69)*NtoN2O*kgtoGg=0,"NO",('Activity data'!AP20*EF!$H51*EF!O69)*NtoN2O*kgtoGg)</f>
        <v>1.715421941986953</v>
      </c>
      <c r="AQ51" s="28">
        <f>IF(('Activity data'!AQ20*EF!$H51*EF!P69)*NtoN2O*kgtoGg=0,"NO",('Activity data'!AQ20*EF!$H51*EF!P69)*NtoN2O*kgtoGg)</f>
        <v>1.7400472526688568</v>
      </c>
      <c r="AR51" s="28">
        <f>IF(('Activity data'!AR20*EF!$H51*EF!Q69)*NtoN2O*kgtoGg=0,"NO",('Activity data'!AR20*EF!$H51*EF!Q69)*NtoN2O*kgtoGg)</f>
        <v>1.7696112300855253</v>
      </c>
      <c r="AS51" s="28">
        <f>IF(('Activity data'!AS20*EF!$H51*EF!R69)*NtoN2O*kgtoGg=0,"NO",('Activity data'!AS20*EF!$H51*EF!R69)*NtoN2O*kgtoGg)</f>
        <v>1.7985983737929714</v>
      </c>
      <c r="AT51" s="28">
        <f>IF(('Activity data'!AT20*EF!$H51*EF!S69)*NtoN2O*kgtoGg=0,"NO",('Activity data'!AT20*EF!$H51*EF!S69)*NtoN2O*kgtoGg)</f>
        <v>1.8289449726532074</v>
      </c>
      <c r="AU51" s="28">
        <f>IF(('Activity data'!AU20*EF!$H51*EF!T69)*NtoN2O*kgtoGg=0,"NO",('Activity data'!AU20*EF!$H51*EF!T69)*NtoN2O*kgtoGg)</f>
        <v>1.8601969256110722</v>
      </c>
      <c r="AV51" s="28">
        <f>IF(('Activity data'!AV20*EF!$H51*EF!U69)*NtoN2O*kgtoGg=0,"NO",('Activity data'!AV20*EF!$H51*EF!U69)*NtoN2O*kgtoGg)</f>
        <v>1.8924278848210832</v>
      </c>
      <c r="AW51" s="28">
        <f>IF(('Activity data'!AW20*EF!$H51*EF!V69)*NtoN2O*kgtoGg=0,"NO",('Activity data'!AW20*EF!$H51*EF!V69)*NtoN2O*kgtoGg)</f>
        <v>1.9317957459928208</v>
      </c>
      <c r="AX51" s="28">
        <f>IF(('Activity data'!AX20*EF!$H51*EF!W69)*NtoN2O*kgtoGg=0,"NO",('Activity data'!AX20*EF!$H51*EF!W69)*NtoN2O*kgtoGg)</f>
        <v>1.9686461181783157</v>
      </c>
      <c r="AY51" s="28">
        <f>IF(('Activity data'!AY20*EF!$H51*EF!X69)*NtoN2O*kgtoGg=0,"NO",('Activity data'!AY20*EF!$H51*EF!X69)*NtoN2O*kgtoGg)</f>
        <v>2.0095076900117941</v>
      </c>
      <c r="AZ51" s="28">
        <f>IF(('Activity data'!AZ20*EF!$H51*EF!Y69)*NtoN2O*kgtoGg=0,"NO",('Activity data'!AZ20*EF!$H51*EF!Y69)*NtoN2O*kgtoGg)</f>
        <v>2.0528627785313667</v>
      </c>
      <c r="BA51" s="28">
        <f>IF(('Activity data'!BA20*EF!$H51*EF!Z69)*NtoN2O*kgtoGg=0,"NO",('Activity data'!BA20*EF!$H51*EF!Z69)*NtoN2O*kgtoGg)</f>
        <v>2.0987337114864397</v>
      </c>
      <c r="BB51" s="28">
        <f>IF(('Activity data'!BB20*EF!$H51*EF!AA69)*NtoN2O*kgtoGg=0,"NO",('Activity data'!BB20*EF!$H51*EF!AA69)*NtoN2O*kgtoGg)</f>
        <v>2.1451950169557521</v>
      </c>
      <c r="BC51" s="28">
        <f>IF(('Activity data'!BC20*EF!$H51*EF!AB69)*NtoN2O*kgtoGg=0,"NO",('Activity data'!BC20*EF!$H51*EF!AB69)*NtoN2O*kgtoGg)</f>
        <v>2.1930363722407149</v>
      </c>
      <c r="BD51" s="28">
        <f>IF(('Activity data'!BD20*EF!$H51*EF!AC69)*NtoN2O*kgtoGg=0,"NO",('Activity data'!BD20*EF!$H51*EF!AC69)*NtoN2O*kgtoGg)</f>
        <v>2.2409050734581473</v>
      </c>
      <c r="BE51" s="28">
        <f>IF(('Activity data'!BE20*EF!$H51*EF!AD69)*NtoN2O*kgtoGg=0,"NO",('Activity data'!BE20*EF!$H51*EF!AD69)*NtoN2O*kgtoGg)</f>
        <v>2.2900692731353351</v>
      </c>
      <c r="BF51" s="28">
        <f>IF(('Activity data'!BF20*EF!$H51*EF!AE69)*NtoN2O*kgtoGg=0,"NO",('Activity data'!BF20*EF!$H51*EF!AE69)*NtoN2O*kgtoGg)</f>
        <v>2.3415499443343823</v>
      </c>
      <c r="BG51" s="28">
        <f>IF(('Activity data'!BG20*EF!$H51*EF!AF69)*NtoN2O*kgtoGg=0,"NO",('Activity data'!BG20*EF!$H51*EF!AF69)*NtoN2O*kgtoGg)</f>
        <v>2.3941336939383864</v>
      </c>
      <c r="BH51" s="28">
        <f>IF(('Activity data'!BH20*EF!$H51*EF!AG69)*NtoN2O*kgtoGg=0,"NO",('Activity data'!BH20*EF!$H51*EF!AG69)*NtoN2O*kgtoGg)</f>
        <v>2.4482038619401969</v>
      </c>
      <c r="BI51" s="28">
        <f>IF(('Activity data'!BI20*EF!$H51*EF!AH69)*NtoN2O*kgtoGg=0,"NO",('Activity data'!BI20*EF!$H51*EF!AH69)*NtoN2O*kgtoGg)</f>
        <v>2.5035479980937745</v>
      </c>
      <c r="BJ51" s="28">
        <f>IF(('Activity data'!BJ20*EF!$H51*EF!AI69)*NtoN2O*kgtoGg=0,"NO",('Activity data'!BJ20*EF!$H51*EF!AI69)*NtoN2O*kgtoGg)</f>
        <v>2.5603934822190495</v>
      </c>
      <c r="BK51" s="28">
        <f>IF(('Activity data'!BK20*EF!$H51*EF!AJ69)*NtoN2O*kgtoGg=0,"NO",('Activity data'!BK20*EF!$H51*EF!AJ69)*NtoN2O*kgtoGg)</f>
        <v>2.6198208328040082</v>
      </c>
      <c r="BL51" s="28">
        <f>IF(('Activity data'!BL20*EF!$H51*EF!AK69)*NtoN2O*kgtoGg=0,"NO",('Activity data'!BL20*EF!$H51*EF!AK69)*NtoN2O*kgtoGg)</f>
        <v>2.6811431731944326</v>
      </c>
      <c r="BM51" s="28">
        <f>IF(('Activity data'!BM20*EF!$H51*EF!AL69)*NtoN2O*kgtoGg=0,"NO",('Activity data'!BM20*EF!$H51*EF!AL69)*NtoN2O*kgtoGg)</f>
        <v>2.7442563882062956</v>
      </c>
      <c r="BN51" s="28">
        <f>IF(('Activity data'!BN20*EF!$H51*EF!AM69)*NtoN2O*kgtoGg=0,"NO",('Activity data'!BN20*EF!$H51*EF!AM69)*NtoN2O*kgtoGg)</f>
        <v>2.8069651602734731</v>
      </c>
      <c r="BO51" s="28">
        <f>IF(('Activity data'!BO20*EF!$H51*EF!AN69)*NtoN2O*kgtoGg=0,"NO",('Activity data'!BO20*EF!$H51*EF!AN69)*NtoN2O*kgtoGg)</f>
        <v>2.871566333129417</v>
      </c>
      <c r="BP51" s="28">
        <f>IF(('Activity data'!BP20*EF!$H51*EF!AO69)*NtoN2O*kgtoGg=0,"NO",('Activity data'!BP20*EF!$H51*EF!AO69)*NtoN2O*kgtoGg)</f>
        <v>2.9381662963129318</v>
      </c>
    </row>
    <row r="52" spans="1:68" x14ac:dyDescent="0.25">
      <c r="A52" t="str">
        <f t="shared" si="1"/>
        <v>3A Livestock</v>
      </c>
      <c r="B52" t="str">
        <f t="shared" si="11"/>
        <v>3A2 Manure management (N2O)</v>
      </c>
      <c r="C52" t="str">
        <f>EF!C70</f>
        <v>3A2i Poultry</v>
      </c>
      <c r="D52" t="str">
        <f>EF!D70</f>
        <v>Subsistence layers</v>
      </c>
      <c r="E52" t="str">
        <f t="shared" si="9"/>
        <v>Manure management Emissions</v>
      </c>
      <c r="F52" t="s">
        <v>139</v>
      </c>
      <c r="G52" t="str">
        <f t="shared" si="10"/>
        <v>Gg N2O</v>
      </c>
      <c r="H52" s="28">
        <f>IF(('Activity data'!H21*EF!$H52*EF!$H70)*NtoN2O*kgtoGg=0,"NO",('Activity data'!H21*EF!$H52*EF!$H70)*NtoN2O*kgtoGg)</f>
        <v>8.5243760509896623E-3</v>
      </c>
      <c r="I52" s="28">
        <f>IF(('Activity data'!I21*EF!$H52*EF!$H70)*NtoN2O*kgtoGg=0,"NO",('Activity data'!I21*EF!$H52*EF!$H70)*NtoN2O*kgtoGg)</f>
        <v>8.2813036260724598E-3</v>
      </c>
      <c r="J52" s="28">
        <f>IF(('Activity data'!J21*EF!$H52*EF!$H70)*NtoN2O*kgtoGg=0,"NO",('Activity data'!J21*EF!$H52*EF!$H70)*NtoN2O*kgtoGg)</f>
        <v>7.8542404359692557E-3</v>
      </c>
      <c r="K52" s="28">
        <f>IF(('Activity data'!K21*EF!$H52*EF!$H70)*NtoN2O*kgtoGg=0,"NO",('Activity data'!K21*EF!$H52*EF!$H70)*NtoN2O*kgtoGg)</f>
        <v>7.7307463298428268E-3</v>
      </c>
      <c r="L52" s="28">
        <f>IF(('Activity data'!L21*EF!$H52*EF!$H70)*NtoN2O*kgtoGg=0,"NO",('Activity data'!L21*EF!$H52*EF!$H70)*NtoN2O*kgtoGg)</f>
        <v>7.394486699027595E-3</v>
      </c>
      <c r="M52" s="28">
        <f>IF(('Activity data'!M21*EF!$H52*EF!$H70)*NtoN2O*kgtoGg=0,"NO",('Activity data'!M21*EF!$H52*EF!$H70)*NtoN2O*kgtoGg)</f>
        <v>8.0683053341030469E-3</v>
      </c>
      <c r="N52" s="28">
        <f>IF(('Activity data'!N21*EF!$H52*EF!$H70)*NtoN2O*kgtoGg=0,"NO",('Activity data'!N21*EF!$H52*EF!$H70)*NtoN2O*kgtoGg)</f>
        <v>8.5225928029387995E-3</v>
      </c>
      <c r="O52" s="28">
        <f>IF(('Activity data'!O21*EF!$H52*EF!$H70)*NtoN2O*kgtoGg=0,"NO",('Activity data'!O21*EF!$H52*EF!$H70)*NtoN2O*kgtoGg)</f>
        <v>8.55061823412555E-3</v>
      </c>
      <c r="P52" s="28">
        <f>IF(('Activity data'!P21*EF!$H52*EF!$H70)*NtoN2O*kgtoGg=0,"NO",('Activity data'!P21*EF!$H52*EF!$H70)*NtoN2O*kgtoGg)</f>
        <v>9.627274618194244E-3</v>
      </c>
      <c r="Q52" s="28">
        <f>IF(('Activity data'!Q21*EF!$H52*EF!$H70)*NtoN2O*kgtoGg=0,"NO",('Activity data'!Q21*EF!$H52*EF!$H70)*NtoN2O*kgtoGg)</f>
        <v>1.0321404479128861E-2</v>
      </c>
      <c r="R52" s="28">
        <f>IF(('Activity data'!R21*EF!$H52*EF!$H70)*NtoN2O*kgtoGg=0,"NO",('Activity data'!R21*EF!$H52*EF!$H70)*NtoN2O*kgtoGg)</f>
        <v>1.010271047950061E-2</v>
      </c>
      <c r="S52" s="28">
        <f>IF(('Activity data'!S21*EF!$H52*EF!$H70)*NtoN2O*kgtoGg=0,"NO",('Activity data'!S21*EF!$H52*EF!$H70)*NtoN2O*kgtoGg)</f>
        <v>1.0372214756607131E-2</v>
      </c>
      <c r="T52" s="28">
        <f>IF(('Activity data'!T21*EF!$H52*EF!$H70)*NtoN2O*kgtoGg=0,"NO",('Activity data'!T21*EF!$H52*EF!$H70)*NtoN2O*kgtoGg)</f>
        <v>1.0290807756416174E-2</v>
      </c>
      <c r="U52" s="28">
        <f>IF(('Activity data'!U21*EF!$H52*EF!$H70)*NtoN2O*kgtoGg=0,"NO",('Activity data'!U21*EF!$H52*EF!$H70)*NtoN2O*kgtoGg)</f>
        <v>9.8799729665679584E-3</v>
      </c>
      <c r="V52" s="28">
        <f>IF(('Activity data'!V21*EF!$H52*EF!$H70)*NtoN2O*kgtoGg=0,"NO",('Activity data'!V21*EF!$H52*EF!$H70)*NtoN2O*kgtoGg)</f>
        <v>1.0238231028606104E-2</v>
      </c>
      <c r="W52" s="28">
        <f>IF(('Activity data'!W21*EF!$H52*EF!$H70)*NtoN2O*kgtoGg=0,"NO",('Activity data'!W21*EF!$H52*EF!$H70)*NtoN2O*kgtoGg)</f>
        <v>1.085560173037158E-2</v>
      </c>
      <c r="X52" s="28">
        <f>IF(('Activity data'!X21*EF!$H52*EF!$H70)*NtoN2O*kgtoGg=0,"NO",('Activity data'!X21*EF!$H52*EF!$H70)*NtoN2O*kgtoGg)</f>
        <v>1.1980432313982685E-2</v>
      </c>
      <c r="Y52" s="28">
        <f>IF(('Activity data'!Y21*EF!$H52*EF!$H70)*NtoN2O*kgtoGg=0,"NO",('Activity data'!Y21*EF!$H52*EF!$H70)*NtoN2O*kgtoGg)</f>
        <v>1.3258412654313281E-2</v>
      </c>
      <c r="Z52" s="28">
        <f>IF(('Activity data'!Z21*EF!$H52*EF!$H70)*NtoN2O*kgtoGg=0,"NO",('Activity data'!Z21*EF!$H52*EF!$H70)*NtoN2O*kgtoGg)</f>
        <v>1.3433024325241976E-2</v>
      </c>
      <c r="AA52" s="28">
        <f>IF(('Activity data'!AA21*EF!$H52*EF!$H70)*NtoN2O*kgtoGg=0,"NO",('Activity data'!AA21*EF!$H52*EF!$H70)*NtoN2O*kgtoGg)</f>
        <v>1.2937796671040344E-2</v>
      </c>
      <c r="AB52" s="28">
        <f>IF(('Activity data'!AB21*EF!$H52*EF!$H70)*NtoN2O*kgtoGg=0,"NO",('Activity data'!AB21*EF!$H52*EF!$H70)*NtoN2O*kgtoGg)</f>
        <v>1.3441768554842816E-2</v>
      </c>
      <c r="AC52" s="28">
        <f>IF(('Activity data'!AC21*EF!$H52*EF!$H70)*NtoN2O*kgtoGg=0,"NO",('Activity data'!AC21*EF!$H52*EF!$H70)*NtoN2O*kgtoGg)</f>
        <v>1.4062204549784241E-2</v>
      </c>
      <c r="AD52" s="28">
        <f>IF(('Activity data'!AD21*EF!$H52*EF!$H70)*NtoN2O*kgtoGg=0,"NO",('Activity data'!AD21*EF!$H52*EF!$H70)*NtoN2O*kgtoGg)</f>
        <v>1.347770596326134E-2</v>
      </c>
      <c r="AE52" s="28">
        <f>IF(('Activity data'!AE21*EF!$H52*EF!$H70)*NtoN2O*kgtoGg=0,"NO",('Activity data'!AE21*EF!$H52*EF!$H70)*NtoN2O*kgtoGg)</f>
        <v>1.3786713946914811E-2</v>
      </c>
      <c r="AF52" s="28">
        <f>IF(('Activity data'!AF21*EF!$H52*EF!$H70)*NtoN2O*kgtoGg=0,"NO",('Activity data'!AF21*EF!$H52*EF!$H70)*NtoN2O*kgtoGg)</f>
        <v>1.4030289622734714E-2</v>
      </c>
      <c r="AG52" s="28">
        <f>IF(('Activity data'!AG21*EF!$H52*EF!$H70)*NtoN2O*kgtoGg=0,"NO",('Activity data'!AG21*EF!$H52*EF!$H70)*NtoN2O*kgtoGg)</f>
        <v>1.4205545808390044E-2</v>
      </c>
      <c r="AH52" s="28">
        <f>IF(('Activity data'!AH21*EF!$H52*EF!$H70)*NtoN2O*kgtoGg=0,"NO",('Activity data'!AH21*EF!$H52*EF!$H70)*NtoN2O*kgtoGg)</f>
        <v>1.4327809765908481E-2</v>
      </c>
      <c r="AI52" s="28">
        <f>IF(('Activity data'!AI21*EF!$H52*EF!H70)*NtoN2O*kgtoGg=0,"NO",('Activity data'!AI21*EF!$H52*EF!H70)*NtoN2O*kgtoGg)</f>
        <v>1.4497855275957013E-2</v>
      </c>
      <c r="AJ52" s="28">
        <f>IF(('Activity data'!AJ21*EF!$H52*EF!I70)*NtoN2O*kgtoGg=0,"NO",('Activity data'!AJ21*EF!$H52*EF!I70)*NtoN2O*kgtoGg)</f>
        <v>1.4648510654142818E-2</v>
      </c>
      <c r="AK52" s="28">
        <f>IF(('Activity data'!AK21*EF!$H52*EF!J70)*NtoN2O*kgtoGg=0,"NO",('Activity data'!AK21*EF!$H52*EF!J70)*NtoN2O*kgtoGg)</f>
        <v>1.478099019449655E-2</v>
      </c>
      <c r="AL52" s="28">
        <f>IF(('Activity data'!AL21*EF!$H52*EF!K70)*NtoN2O*kgtoGg=0,"NO",('Activity data'!AL21*EF!$H52*EF!K70)*NtoN2O*kgtoGg)</f>
        <v>1.3857974219321651E-2</v>
      </c>
      <c r="AM52" s="28">
        <f>IF(('Activity data'!AM21*EF!$H52*EF!L70)*NtoN2O*kgtoGg=0,"NO",('Activity data'!AM21*EF!$H52*EF!L70)*NtoN2O*kgtoGg)</f>
        <v>1.4153210028593615E-2</v>
      </c>
      <c r="AN52" s="28">
        <f>IF(('Activity data'!AN21*EF!$H52*EF!M70)*NtoN2O*kgtoGg=0,"NO",('Activity data'!AN21*EF!$H52*EF!M70)*NtoN2O*kgtoGg)</f>
        <v>1.4435589115983267E-2</v>
      </c>
      <c r="AO52" s="28">
        <f>IF(('Activity data'!AO21*EF!$H52*EF!N70)*NtoN2O*kgtoGg=0,"NO",('Activity data'!AO21*EF!$H52*EF!N70)*NtoN2O*kgtoGg)</f>
        <v>1.4718806057962851E-2</v>
      </c>
      <c r="AP52" s="28">
        <f>IF(('Activity data'!AP21*EF!$H52*EF!O70)*NtoN2O*kgtoGg=0,"NO",('Activity data'!AP21*EF!$H52*EF!O70)*NtoN2O*kgtoGg)</f>
        <v>1.499125374771817E-2</v>
      </c>
      <c r="AQ52" s="28">
        <f>IF(('Activity data'!AQ21*EF!$H52*EF!P70)*NtoN2O*kgtoGg=0,"NO",('Activity data'!AQ21*EF!$H52*EF!P70)*NtoN2O*kgtoGg)</f>
        <v>1.5272973096140232E-2</v>
      </c>
      <c r="AR52" s="28">
        <f>IF(('Activity data'!AR21*EF!$H52*EF!Q70)*NtoN2O*kgtoGg=0,"NO",('Activity data'!AR21*EF!$H52*EF!Q70)*NtoN2O*kgtoGg)</f>
        <v>1.5603044955263972E-2</v>
      </c>
      <c r="AS52" s="28">
        <f>IF(('Activity data'!AS21*EF!$H52*EF!R70)*NtoN2O*kgtoGg=0,"NO",('Activity data'!AS21*EF!$H52*EF!R70)*NtoN2O*kgtoGg)</f>
        <v>1.5928146577334878E-2</v>
      </c>
      <c r="AT52" s="28">
        <f>IF(('Activity data'!AT21*EF!$H52*EF!S70)*NtoN2O*kgtoGg=0,"NO",('Activity data'!AT21*EF!$H52*EF!S70)*NtoN2O*kgtoGg)</f>
        <v>1.6264961825471658E-2</v>
      </c>
      <c r="AU52" s="28">
        <f>IF(('Activity data'!AU21*EF!$H52*EF!T70)*NtoN2O*kgtoGg=0,"NO",('Activity data'!AU21*EF!$H52*EF!T70)*NtoN2O*kgtoGg)</f>
        <v>1.6609577977768446E-2</v>
      </c>
      <c r="AV52" s="28">
        <f>IF(('Activity data'!AV21*EF!$H52*EF!U70)*NtoN2O*kgtoGg=0,"NO",('Activity data'!AV21*EF!$H52*EF!U70)*NtoN2O*kgtoGg)</f>
        <v>1.6962629651553544E-2</v>
      </c>
      <c r="AW52" s="28">
        <f>IF(('Activity data'!AW21*EF!$H52*EF!V70)*NtoN2O*kgtoGg=0,"NO",('Activity data'!AW21*EF!$H52*EF!V70)*NtoN2O*kgtoGg)</f>
        <v>1.7374618132576479E-2</v>
      </c>
      <c r="AX52" s="28">
        <f>IF(('Activity data'!AX21*EF!$H52*EF!W70)*NtoN2O*kgtoGg=0,"NO",('Activity data'!AX21*EF!$H52*EF!W70)*NtoN2O*kgtoGg)</f>
        <v>1.776491488931254E-2</v>
      </c>
      <c r="AY52" s="28">
        <f>IF(('Activity data'!AY21*EF!$H52*EF!X70)*NtoN2O*kgtoGg=0,"NO",('Activity data'!AY21*EF!$H52*EF!X70)*NtoN2O*kgtoGg)</f>
        <v>1.8189773797216625E-2</v>
      </c>
      <c r="AZ52" s="28">
        <f>IF(('Activity data'!AZ21*EF!$H52*EF!Y70)*NtoN2O*kgtoGg=0,"NO",('Activity data'!AZ21*EF!$H52*EF!Y70)*NtoN2O*kgtoGg)</f>
        <v>1.863611787161909E-2</v>
      </c>
      <c r="BA52" s="28">
        <f>IF(('Activity data'!BA21*EF!$H52*EF!Z70)*NtoN2O*kgtoGg=0,"NO",('Activity data'!BA21*EF!$H52*EF!Z70)*NtoN2O*kgtoGg)</f>
        <v>1.910413949889762E-2</v>
      </c>
      <c r="BB52" s="28">
        <f>IF(('Activity data'!BB21*EF!$H52*EF!AA70)*NtoN2O*kgtoGg=0,"NO",('Activity data'!BB21*EF!$H52*EF!AA70)*NtoN2O*kgtoGg)</f>
        <v>1.9580109293839257E-2</v>
      </c>
      <c r="BC52" s="28">
        <f>IF(('Activity data'!BC21*EF!$H52*EF!AB70)*NtoN2O*kgtoGg=0,"NO",('Activity data'!BC21*EF!$H52*EF!AB70)*NtoN2O*kgtoGg)</f>
        <v>2.006797016695255E-2</v>
      </c>
      <c r="BD52" s="28">
        <f>IF(('Activity data'!BD21*EF!$H52*EF!AC70)*NtoN2O*kgtoGg=0,"NO",('Activity data'!BD21*EF!$H52*EF!AC70)*NtoN2O*kgtoGg)</f>
        <v>2.0556066662610471E-2</v>
      </c>
      <c r="BE52" s="28">
        <f>IF(('Activity data'!BE21*EF!$H52*EF!AD70)*NtoN2O*kgtoGg=0,"NO",('Activity data'!BE21*EF!$H52*EF!AD70)*NtoN2O*kgtoGg)</f>
        <v>2.1055325708382856E-2</v>
      </c>
      <c r="BF52" s="28">
        <f>IF(('Activity data'!BF21*EF!$H52*EF!AE70)*NtoN2O*kgtoGg=0,"NO",('Activity data'!BF21*EF!$H52*EF!AE70)*NtoN2O*kgtoGg)</f>
        <v>2.1574544427810899E-2</v>
      </c>
      <c r="BG52" s="28">
        <f>IF(('Activity data'!BG21*EF!$H52*EF!AF70)*NtoN2O*kgtoGg=0,"NO",('Activity data'!BG21*EF!$H52*EF!AF70)*NtoN2O*kgtoGg)</f>
        <v>2.211397293456931E-2</v>
      </c>
      <c r="BH52" s="28">
        <f>IF(('Activity data'!BH21*EF!$H52*EF!AG70)*NtoN2O*kgtoGg=0,"NO",('Activity data'!BH21*EF!$H52*EF!AG70)*NtoN2O*kgtoGg)</f>
        <v>2.266620903377287E-2</v>
      </c>
      <c r="BI52" s="28">
        <f>IF(('Activity data'!BI21*EF!$H52*EF!AH70)*NtoN2O*kgtoGg=0,"NO",('Activity data'!BI21*EF!$H52*EF!AH70)*NtoN2O*kgtoGg)</f>
        <v>2.3229422169080798E-2</v>
      </c>
      <c r="BJ52" s="28">
        <f>IF(('Activity data'!BJ21*EF!$H52*EF!AI70)*NtoN2O*kgtoGg=0,"NO",('Activity data'!BJ21*EF!$H52*EF!AI70)*NtoN2O*kgtoGg)</f>
        <v>2.380557153748112E-2</v>
      </c>
      <c r="BK52" s="28">
        <f>IF(('Activity data'!BK21*EF!$H52*EF!AJ70)*NtoN2O*kgtoGg=0,"NO",('Activity data'!BK21*EF!$H52*EF!AJ70)*NtoN2O*kgtoGg)</f>
        <v>2.4403967331737084E-2</v>
      </c>
      <c r="BL52" s="28">
        <f>IF(('Activity data'!BL21*EF!$H52*EF!AK70)*NtoN2O*kgtoGg=0,"NO",('Activity data'!BL21*EF!$H52*EF!AK70)*NtoN2O*kgtoGg)</f>
        <v>2.5015643657201794E-2</v>
      </c>
      <c r="BM52" s="28">
        <f>IF(('Activity data'!BM21*EF!$H52*EF!AL70)*NtoN2O*kgtoGg=0,"NO",('Activity data'!BM21*EF!$H52*EF!AL70)*NtoN2O*kgtoGg)</f>
        <v>2.5642750896737683E-2</v>
      </c>
      <c r="BN52" s="28">
        <f>IF(('Activity data'!BN21*EF!$H52*EF!AM70)*NtoN2O*kgtoGg=0,"NO",('Activity data'!BN21*EF!$H52*EF!AM70)*NtoN2O*kgtoGg)</f>
        <v>2.6266373290404006E-2</v>
      </c>
      <c r="BO52" s="28">
        <f>IF(('Activity data'!BO21*EF!$H52*EF!AN70)*NtoN2O*kgtoGg=0,"NO",('Activity data'!BO21*EF!$H52*EF!AN70)*NtoN2O*kgtoGg)</f>
        <v>2.6906301388172318E-2</v>
      </c>
      <c r="BP52" s="28">
        <f>IF(('Activity data'!BP21*EF!$H52*EF!AO70)*NtoN2O*kgtoGg=0,"NO",('Activity data'!BP21*EF!$H52*EF!AO70)*NtoN2O*kgtoGg)</f>
        <v>2.7563451887454262E-2</v>
      </c>
    </row>
    <row r="53" spans="1:68" x14ac:dyDescent="0.25">
      <c r="A53" t="str">
        <f t="shared" si="1"/>
        <v>3A Livestock</v>
      </c>
      <c r="B53" t="str">
        <f t="shared" si="11"/>
        <v>3A2 Manure management (N2O)</v>
      </c>
      <c r="C53" t="str">
        <f>EF!C71</f>
        <v>3A2i Poultry</v>
      </c>
      <c r="D53" t="str">
        <f>EF!D71</f>
        <v>Subsistence broilers</v>
      </c>
      <c r="E53" t="str">
        <f t="shared" si="9"/>
        <v>Manure management Emissions</v>
      </c>
      <c r="F53" t="s">
        <v>139</v>
      </c>
      <c r="G53" t="str">
        <f t="shared" si="10"/>
        <v>Gg N2O</v>
      </c>
      <c r="H53" s="28">
        <f>IF(('Activity data'!H22*EF!$H53*EF!$H71)*NtoN2O*kgtoGg=0,"NO",('Activity data'!H22*EF!$H53*EF!$H71)*NtoN2O*kgtoGg)</f>
        <v>3.0631007930708259E-2</v>
      </c>
      <c r="I53" s="28">
        <f>IF(('Activity data'!I22*EF!$H53*EF!$H71)*NtoN2O*kgtoGg=0,"NO",('Activity data'!I22*EF!$H53*EF!$H71)*NtoN2O*kgtoGg)</f>
        <v>2.8793147492029023E-2</v>
      </c>
      <c r="J53" s="28">
        <f>IF(('Activity data'!J22*EF!$H53*EF!$H71)*NtoN2O*kgtoGg=0,"NO",('Activity data'!J22*EF!$H53*EF!$H71)*NtoN2O*kgtoGg)</f>
        <v>2.7211584095723697E-2</v>
      </c>
      <c r="K53" s="28">
        <f>IF(('Activity data'!K22*EF!$H53*EF!$H71)*NtoN2O*kgtoGg=0,"NO",('Activity data'!K22*EF!$H53*EF!$H71)*NtoN2O*kgtoGg)</f>
        <v>3.0603358919319371E-2</v>
      </c>
      <c r="L53" s="28">
        <f>IF(('Activity data'!L22*EF!$H53*EF!$H71)*NtoN2O*kgtoGg=0,"NO",('Activity data'!L22*EF!$H53*EF!$H71)*NtoN2O*kgtoGg)</f>
        <v>3.0316338003134366E-2</v>
      </c>
      <c r="M53" s="28">
        <f>IF(('Activity data'!M22*EF!$H53*EF!$H71)*NtoN2O*kgtoGg=0,"NO",('Activity data'!M22*EF!$H53*EF!$H71)*NtoN2O*kgtoGg)</f>
        <v>3.4701480680698171E-2</v>
      </c>
      <c r="N53" s="28">
        <f>IF(('Activity data'!N22*EF!$H53*EF!$H71)*NtoN2O*kgtoGg=0,"NO",('Activity data'!N22*EF!$H53*EF!$H71)*NtoN2O*kgtoGg)</f>
        <v>4.0348877484152244E-2</v>
      </c>
      <c r="O53" s="28">
        <f>IF(('Activity data'!O22*EF!$H53*EF!$H71)*NtoN2O*kgtoGg=0,"NO",('Activity data'!O22*EF!$H53*EF!$H71)*NtoN2O*kgtoGg)</f>
        <v>4.1070545099867725E-2</v>
      </c>
      <c r="P53" s="28">
        <f>IF(('Activity data'!P22*EF!$H53*EF!$H71)*NtoN2O*kgtoGg=0,"NO",('Activity data'!P22*EF!$H53*EF!$H71)*NtoN2O*kgtoGg)</f>
        <v>4.5002347826211216E-2</v>
      </c>
      <c r="Q53" s="28">
        <f>IF(('Activity data'!Q22*EF!$H53*EF!$H71)*NtoN2O*kgtoGg=0,"NO",('Activity data'!Q22*EF!$H53*EF!$H71)*NtoN2O*kgtoGg)</f>
        <v>4.6981946328317245E-2</v>
      </c>
      <c r="R53" s="28">
        <f>IF(('Activity data'!R22*EF!$H53*EF!$H71)*NtoN2O*kgtoGg=0,"NO",('Activity data'!R22*EF!$H53*EF!$H71)*NtoN2O*kgtoGg)</f>
        <v>5.0549112201340313E-2</v>
      </c>
      <c r="S53" s="28">
        <f>IF(('Activity data'!S22*EF!$H53*EF!$H71)*NtoN2O*kgtoGg=0,"NO",('Activity data'!S22*EF!$H53*EF!$H71)*NtoN2O*kgtoGg)</f>
        <v>4.8810479324796478E-2</v>
      </c>
      <c r="T53" s="28">
        <f>IF(('Activity data'!T22*EF!$H53*EF!$H71)*NtoN2O*kgtoGg=0,"NO",('Activity data'!T22*EF!$H53*EF!$H71)*NtoN2O*kgtoGg)</f>
        <v>5.4097843457843853E-2</v>
      </c>
      <c r="U53" s="28">
        <f>IF(('Activity data'!U22*EF!$H53*EF!$H71)*NtoN2O*kgtoGg=0,"NO",('Activity data'!U22*EF!$H53*EF!$H71)*NtoN2O*kgtoGg)</f>
        <v>5.1455215854469313E-2</v>
      </c>
      <c r="V53" s="28">
        <f>IF(('Activity data'!V22*EF!$H53*EF!$H71)*NtoN2O*kgtoGg=0,"NO",('Activity data'!V22*EF!$H53*EF!$H71)*NtoN2O*kgtoGg)</f>
        <v>5.2697389652281851E-2</v>
      </c>
      <c r="W53" s="28">
        <f>IF(('Activity data'!W22*EF!$H53*EF!$H71)*NtoN2O*kgtoGg=0,"NO",('Activity data'!W22*EF!$H53*EF!$H71)*NtoN2O*kgtoGg)</f>
        <v>5.8308328376461827E-2</v>
      </c>
      <c r="X53" s="28">
        <f>IF(('Activity data'!X22*EF!$H53*EF!$H71)*NtoN2O*kgtoGg=0,"NO",('Activity data'!X22*EF!$H53*EF!$H71)*NtoN2O*kgtoGg)</f>
        <v>6.236620689468618E-2</v>
      </c>
      <c r="Y53" s="28">
        <f>IF(('Activity data'!Y22*EF!$H53*EF!$H71)*NtoN2O*kgtoGg=0,"NO",('Activity data'!Y22*EF!$H53*EF!$H71)*NtoN2O*kgtoGg)</f>
        <v>6.5252147495665797E-2</v>
      </c>
      <c r="Z53" s="28">
        <f>IF(('Activity data'!Z22*EF!$H53*EF!$H71)*NtoN2O*kgtoGg=0,"NO",('Activity data'!Z22*EF!$H53*EF!$H71)*NtoN2O*kgtoGg)</f>
        <v>6.9475819230302827E-2</v>
      </c>
      <c r="AA53" s="28">
        <f>IF(('Activity data'!AA22*EF!$H53*EF!$H71)*NtoN2O*kgtoGg=0,"NO",('Activity data'!AA22*EF!$H53*EF!$H71)*NtoN2O*kgtoGg)</f>
        <v>6.555804138550686E-2</v>
      </c>
      <c r="AB53" s="28">
        <f>IF(('Activity data'!AB22*EF!$H53*EF!$H71)*NtoN2O*kgtoGg=0,"NO",('Activity data'!AB22*EF!$H53*EF!$H71)*NtoN2O*kgtoGg)</f>
        <v>6.7206878400838194E-2</v>
      </c>
      <c r="AC53" s="28">
        <f>IF(('Activity data'!AC22*EF!$H53*EF!$H71)*NtoN2O*kgtoGg=0,"NO",('Activity data'!AC22*EF!$H53*EF!$H71)*NtoN2O*kgtoGg)</f>
        <v>6.9509531922226239E-2</v>
      </c>
      <c r="AD53" s="28">
        <f>IF(('Activity data'!AD22*EF!$H53*EF!$H71)*NtoN2O*kgtoGg=0,"NO",('Activity data'!AD22*EF!$H53*EF!$H71)*NtoN2O*kgtoGg)</f>
        <v>6.5342968579017252E-2</v>
      </c>
      <c r="AE53" s="28">
        <f>IF(('Activity data'!AE22*EF!$H53*EF!$H71)*NtoN2O*kgtoGg=0,"NO",('Activity data'!AE22*EF!$H53*EF!$H71)*NtoN2O*kgtoGg)</f>
        <v>6.6490498230308462E-2</v>
      </c>
      <c r="AF53" s="28">
        <f>IF(('Activity data'!AF22*EF!$H53*EF!$H71)*NtoN2O*kgtoGg=0,"NO",('Activity data'!AF22*EF!$H53*EF!$H71)*NtoN2O*kgtoGg)</f>
        <v>6.7331665028642657E-2</v>
      </c>
      <c r="AG53" s="28">
        <f>IF(('Activity data'!AG22*EF!$H53*EF!$H71)*NtoN2O*kgtoGg=0,"NO",('Activity data'!AG22*EF!$H53*EF!$H71)*NtoN2O*kgtoGg)</f>
        <v>6.7853042128970878E-2</v>
      </c>
      <c r="AH53" s="28">
        <f>IF(('Activity data'!AH22*EF!$H53*EF!$H71)*NtoN2O*kgtoGg=0,"NO",('Activity data'!AH22*EF!$H53*EF!$H71)*NtoN2O*kgtoGg)</f>
        <v>6.8102148102950497E-2</v>
      </c>
      <c r="AI53" s="28">
        <f>IF(('Activity data'!AI22*EF!$H53*EF!H71)*NtoN2O*kgtoGg=0,"NO",('Activity data'!AI22*EF!$H53*EF!H71)*NtoN2O*kgtoGg)</f>
        <v>6.8573070540697598E-2</v>
      </c>
      <c r="AJ53" s="28">
        <f>IF(('Activity data'!AJ22*EF!$H53*EF!I71)*NtoN2O*kgtoGg=0,"NO",('Activity data'!AJ22*EF!$H53*EF!I71)*NtoN2O*kgtoGg)</f>
        <v>6.8953978103371977E-2</v>
      </c>
      <c r="AK53" s="28">
        <f>IF(('Activity data'!AK22*EF!$H53*EF!J71)*NtoN2O*kgtoGg=0,"NO",('Activity data'!AK22*EF!$H53*EF!J71)*NtoN2O*kgtoGg)</f>
        <v>6.9250507912280865E-2</v>
      </c>
      <c r="AL53" s="28">
        <f>IF(('Activity data'!AL22*EF!$H53*EF!K71)*NtoN2O*kgtoGg=0,"NO",('Activity data'!AL22*EF!$H53*EF!K71)*NtoN2O*kgtoGg)</f>
        <v>6.4647107300773943E-2</v>
      </c>
      <c r="AM53" s="28">
        <f>IF(('Activity data'!AM22*EF!$H53*EF!L71)*NtoN2O*kgtoGg=0,"NO",('Activity data'!AM22*EF!$H53*EF!L71)*NtoN2O*kgtoGg)</f>
        <v>6.5694867240209578E-2</v>
      </c>
      <c r="AN53" s="28">
        <f>IF(('Activity data'!AN22*EF!$H53*EF!M71)*NtoN2O*kgtoGg=0,"NO",('Activity data'!AN22*EF!$H53*EF!M71)*NtoN2O*kgtoGg)</f>
        <v>6.6682942381896676E-2</v>
      </c>
      <c r="AO53" s="28">
        <f>IF(('Activity data'!AO22*EF!$H53*EF!N71)*NtoN2O*kgtoGg=0,"NO",('Activity data'!AO22*EF!$H53*EF!N71)*NtoN2O*kgtoGg)</f>
        <v>6.7674907098795326E-2</v>
      </c>
      <c r="AP53" s="28">
        <f>IF(('Activity data'!AP22*EF!$H53*EF!O71)*NtoN2O*kgtoGg=0,"NO",('Activity data'!AP22*EF!$H53*EF!O71)*NtoN2O*kgtoGg)</f>
        <v>6.8616877679478105E-2</v>
      </c>
      <c r="AQ53" s="28">
        <f>IF(('Activity data'!AQ22*EF!$H53*EF!P71)*NtoN2O*kgtoGg=0,"NO",('Activity data'!AQ22*EF!$H53*EF!P71)*NtoN2O*kgtoGg)</f>
        <v>6.9601890106754272E-2</v>
      </c>
      <c r="AR53" s="28">
        <f>IF(('Activity data'!AR22*EF!$H53*EF!Q71)*NtoN2O*kgtoGg=0,"NO",('Activity data'!AR22*EF!$H53*EF!Q71)*NtoN2O*kgtoGg)</f>
        <v>7.0784449203421015E-2</v>
      </c>
      <c r="AS53" s="28">
        <f>IF(('Activity data'!AS22*EF!$H53*EF!R71)*NtoN2O*kgtoGg=0,"NO",('Activity data'!AS22*EF!$H53*EF!R71)*NtoN2O*kgtoGg)</f>
        <v>7.1943934951718858E-2</v>
      </c>
      <c r="AT53" s="28">
        <f>IF(('Activity data'!AT22*EF!$H53*EF!S71)*NtoN2O*kgtoGg=0,"NO",('Activity data'!AT22*EF!$H53*EF!S71)*NtoN2O*kgtoGg)</f>
        <v>7.3157798906128307E-2</v>
      </c>
      <c r="AU53" s="28">
        <f>IF(('Activity data'!AU22*EF!$H53*EF!T71)*NtoN2O*kgtoGg=0,"NO",('Activity data'!AU22*EF!$H53*EF!T71)*NtoN2O*kgtoGg)</f>
        <v>7.4407877024442889E-2</v>
      </c>
      <c r="AV53" s="28">
        <f>IF(('Activity data'!AV22*EF!$H53*EF!U71)*NtoN2O*kgtoGg=0,"NO",('Activity data'!AV22*EF!$H53*EF!U71)*NtoN2O*kgtoGg)</f>
        <v>7.5697115392843337E-2</v>
      </c>
      <c r="AW53" s="28">
        <f>IF(('Activity data'!AW22*EF!$H53*EF!V71)*NtoN2O*kgtoGg=0,"NO",('Activity data'!AW22*EF!$H53*EF!V71)*NtoN2O*kgtoGg)</f>
        <v>7.7271829839712841E-2</v>
      </c>
      <c r="AX53" s="28">
        <f>IF(('Activity data'!AX22*EF!$H53*EF!W71)*NtoN2O*kgtoGg=0,"NO",('Activity data'!AX22*EF!$H53*EF!W71)*NtoN2O*kgtoGg)</f>
        <v>7.8745844727132627E-2</v>
      </c>
      <c r="AY53" s="28">
        <f>IF(('Activity data'!AY22*EF!$H53*EF!X71)*NtoN2O*kgtoGg=0,"NO",('Activity data'!AY22*EF!$H53*EF!X71)*NtoN2O*kgtoGg)</f>
        <v>8.0380307600471781E-2</v>
      </c>
      <c r="AZ53" s="28">
        <f>IF(('Activity data'!AZ22*EF!$H53*EF!Y71)*NtoN2O*kgtoGg=0,"NO",('Activity data'!AZ22*EF!$H53*EF!Y71)*NtoN2O*kgtoGg)</f>
        <v>8.2114511141254662E-2</v>
      </c>
      <c r="BA53" s="28">
        <f>IF(('Activity data'!BA22*EF!$H53*EF!Z71)*NtoN2O*kgtoGg=0,"NO",('Activity data'!BA22*EF!$H53*EF!Z71)*NtoN2O*kgtoGg)</f>
        <v>8.3949348459457562E-2</v>
      </c>
      <c r="BB53" s="28">
        <f>IF(('Activity data'!BB22*EF!$H53*EF!AA71)*NtoN2O*kgtoGg=0,"NO",('Activity data'!BB22*EF!$H53*EF!AA71)*NtoN2O*kgtoGg)</f>
        <v>8.5807800678230087E-2</v>
      </c>
      <c r="BC53" s="28">
        <f>IF(('Activity data'!BC22*EF!$H53*EF!AB71)*NtoN2O*kgtoGg=0,"NO",('Activity data'!BC22*EF!$H53*EF!AB71)*NtoN2O*kgtoGg)</f>
        <v>8.7721454889628611E-2</v>
      </c>
      <c r="BD53" s="28">
        <f>IF(('Activity data'!BD22*EF!$H53*EF!AC71)*NtoN2O*kgtoGg=0,"NO",('Activity data'!BD22*EF!$H53*EF!AC71)*NtoN2O*kgtoGg)</f>
        <v>8.9636202938325887E-2</v>
      </c>
      <c r="BE53" s="28">
        <f>IF(('Activity data'!BE22*EF!$H53*EF!AD71)*NtoN2O*kgtoGg=0,"NO",('Activity data'!BE22*EF!$H53*EF!AD71)*NtoN2O*kgtoGg)</f>
        <v>9.1602770925413385E-2</v>
      </c>
      <c r="BF53" s="28">
        <f>IF(('Activity data'!BF22*EF!$H53*EF!AE71)*NtoN2O*kgtoGg=0,"NO",('Activity data'!BF22*EF!$H53*EF!AE71)*NtoN2O*kgtoGg)</f>
        <v>9.3661997773375319E-2</v>
      </c>
      <c r="BG53" s="28">
        <f>IF(('Activity data'!BG22*EF!$H53*EF!AF71)*NtoN2O*kgtoGg=0,"NO",('Activity data'!BG22*EF!$H53*EF!AF71)*NtoN2O*kgtoGg)</f>
        <v>9.5765347757535438E-2</v>
      </c>
      <c r="BH53" s="28">
        <f>IF(('Activity data'!BH22*EF!$H53*EF!AG71)*NtoN2O*kgtoGg=0,"NO",('Activity data'!BH22*EF!$H53*EF!AG71)*NtoN2O*kgtoGg)</f>
        <v>9.7928154477607887E-2</v>
      </c>
      <c r="BI53" s="28">
        <f>IF(('Activity data'!BI22*EF!$H53*EF!AH71)*NtoN2O*kgtoGg=0,"NO",('Activity data'!BI22*EF!$H53*EF!AH71)*NtoN2O*kgtoGg)</f>
        <v>0.10014191992375099</v>
      </c>
      <c r="BJ53" s="28">
        <f>IF(('Activity data'!BJ22*EF!$H53*EF!AI71)*NtoN2O*kgtoGg=0,"NO",('Activity data'!BJ22*EF!$H53*EF!AI71)*NtoN2O*kgtoGg)</f>
        <v>0.10241573928876199</v>
      </c>
      <c r="BK53" s="28">
        <f>IF(('Activity data'!BK22*EF!$H53*EF!AJ71)*NtoN2O*kgtoGg=0,"NO",('Activity data'!BK22*EF!$H53*EF!AJ71)*NtoN2O*kgtoGg)</f>
        <v>0.10479283331216033</v>
      </c>
      <c r="BL53" s="28">
        <f>IF(('Activity data'!BL22*EF!$H53*EF!AK71)*NtoN2O*kgtoGg=0,"NO",('Activity data'!BL22*EF!$H53*EF!AK71)*NtoN2O*kgtoGg)</f>
        <v>0.10724572692777731</v>
      </c>
      <c r="BM53" s="28">
        <f>IF(('Activity data'!BM22*EF!$H53*EF!AL71)*NtoN2O*kgtoGg=0,"NO",('Activity data'!BM22*EF!$H53*EF!AL71)*NtoN2O*kgtoGg)</f>
        <v>0.10977025552825181</v>
      </c>
      <c r="BN53" s="28">
        <f>IF(('Activity data'!BN22*EF!$H53*EF!AM71)*NtoN2O*kgtoGg=0,"NO",('Activity data'!BN22*EF!$H53*EF!AM71)*NtoN2O*kgtoGg)</f>
        <v>0.11227860641093894</v>
      </c>
      <c r="BO53" s="28">
        <f>IF(('Activity data'!BO22*EF!$H53*EF!AN71)*NtoN2O*kgtoGg=0,"NO",('Activity data'!BO22*EF!$H53*EF!AN71)*NtoN2O*kgtoGg)</f>
        <v>0.11486265332517667</v>
      </c>
      <c r="BP53" s="28">
        <f>IF(('Activity data'!BP22*EF!$H53*EF!AO71)*NtoN2O*kgtoGg=0,"NO",('Activity data'!BP22*EF!$H53*EF!AO71)*NtoN2O*kgtoGg)</f>
        <v>0.11752665185251726</v>
      </c>
    </row>
    <row r="54" spans="1:68" x14ac:dyDescent="0.25">
      <c r="A54" t="str">
        <f>'IPCC Categories'!A59</f>
        <v>3C Aggregated and non-CO2 emissions on land</v>
      </c>
      <c r="B54" t="str">
        <f>'IPCC Categories'!B59</f>
        <v>3C1 Biomass burning (CH4)</v>
      </c>
      <c r="C54" t="str">
        <f>'IPCC Categories'!C59</f>
        <v>3C1a Biomass burning in forest land</v>
      </c>
      <c r="D54" t="str">
        <f>EF!D84</f>
        <v>Indigenous forests</v>
      </c>
      <c r="E54" t="s">
        <v>646</v>
      </c>
      <c r="F54" t="s">
        <v>121</v>
      </c>
      <c r="G54" t="s">
        <v>286</v>
      </c>
      <c r="H54" s="22">
        <f>INDEX('Activity data'!H$24:H$39,MATCH(Emissions!$D54,'Activity data'!$D$24:$D$39,0))*INDEX(EF!$H$84:$H$99,MATCH(Emissions!$D54,EF!$D$84:$D$99,0))*INDEX(EF!$H$100:$H$115,MATCH(Emissions!$D54,EF!$D$100:$D$115,0))*INDEX(EF!$H$116:$H$131,MATCH(Emissions!$D54,EF!$D$116:$D$131,0))*kgtoGg</f>
        <v>1.2960963903843976</v>
      </c>
      <c r="I54" s="22">
        <f>INDEX('Activity data'!I$24:I$39,MATCH(Emissions!$D54,'Activity data'!$D$24:$D$39,0))*INDEX(EF!$H$84:$H$99,MATCH(Emissions!$D54,EF!$D$84:$D$99,0))*INDEX(EF!$H$100:$H$115,MATCH(Emissions!$D54,EF!$D$100:$D$115,0))*INDEX(EF!$H$116:$H$131,MATCH(Emissions!$D54,EF!$D$116:$D$131,0))*kgtoGg</f>
        <v>1.2960963903843976</v>
      </c>
      <c r="J54" s="22">
        <f>INDEX('Activity data'!J$24:J$39,MATCH(Emissions!$D54,'Activity data'!$D$24:$D$39,0))*INDEX(EF!$H$84:$H$99,MATCH(Emissions!$D54,EF!$D$84:$D$99,0))*INDEX(EF!$H$100:$H$115,MATCH(Emissions!$D54,EF!$D$100:$D$115,0))*INDEX(EF!$H$116:$H$131,MATCH(Emissions!$D54,EF!$D$116:$D$131,0))*kgtoGg</f>
        <v>1.2960963903843976</v>
      </c>
      <c r="K54" s="22">
        <f>INDEX('Activity data'!K$24:K$39,MATCH(Emissions!$D54,'Activity data'!$D$24:$D$39,0))*INDEX(EF!$H$84:$H$99,MATCH(Emissions!$D54,EF!$D$84:$D$99,0))*INDEX(EF!$H$100:$H$115,MATCH(Emissions!$D54,EF!$D$100:$D$115,0))*INDEX(EF!$H$116:$H$131,MATCH(Emissions!$D54,EF!$D$116:$D$131,0))*kgtoGg</f>
        <v>1.2960963903843976</v>
      </c>
      <c r="L54" s="22">
        <f>INDEX('Activity data'!L$24:L$39,MATCH(Emissions!$D54,'Activity data'!$D$24:$D$39,0))*INDEX(EF!$H$84:$H$99,MATCH(Emissions!$D54,EF!$D$84:$D$99,0))*INDEX(EF!$H$100:$H$115,MATCH(Emissions!$D54,EF!$D$100:$D$115,0))*INDEX(EF!$H$116:$H$131,MATCH(Emissions!$D54,EF!$D$116:$D$131,0))*kgtoGg</f>
        <v>1.2960963903843976</v>
      </c>
      <c r="M54" s="22">
        <f>INDEX('Activity data'!M$24:M$39,MATCH(Emissions!$D54,'Activity data'!$D$24:$D$39,0))*INDEX(EF!$H$84:$H$99,MATCH(Emissions!$D54,EF!$D$84:$D$99,0))*INDEX(EF!$H$100:$H$115,MATCH(Emissions!$D54,EF!$D$100:$D$115,0))*INDEX(EF!$H$116:$H$131,MATCH(Emissions!$D54,EF!$D$116:$D$131,0))*kgtoGg</f>
        <v>1.2960963903843976</v>
      </c>
      <c r="N54" s="22">
        <f>INDEX('Activity data'!N$24:N$39,MATCH(Emissions!$D54,'Activity data'!$D$24:$D$39,0))*INDEX(EF!$H$84:$H$99,MATCH(Emissions!$D54,EF!$D$84:$D$99,0))*INDEX(EF!$H$100:$H$115,MATCH(Emissions!$D54,EF!$D$100:$D$115,0))*INDEX(EF!$H$116:$H$131,MATCH(Emissions!$D54,EF!$D$116:$D$131,0))*kgtoGg</f>
        <v>1.2960963903843976</v>
      </c>
      <c r="O54" s="22">
        <f>INDEX('Activity data'!O$24:O$39,MATCH(Emissions!$D54,'Activity data'!$D$24:$D$39,0))*INDEX(EF!$H$84:$H$99,MATCH(Emissions!$D54,EF!$D$84:$D$99,0))*INDEX(EF!$H$100:$H$115,MATCH(Emissions!$D54,EF!$D$100:$D$115,0))*INDEX(EF!$H$116:$H$131,MATCH(Emissions!$D54,EF!$D$116:$D$131,0))*kgtoGg</f>
        <v>1.2960963903843976</v>
      </c>
      <c r="P54" s="22">
        <f>INDEX('Activity data'!P$24:P$39,MATCH(Emissions!$D54,'Activity data'!$D$24:$D$39,0))*INDEX(EF!$H$84:$H$99,MATCH(Emissions!$D54,EF!$D$84:$D$99,0))*INDEX(EF!$H$100:$H$115,MATCH(Emissions!$D54,EF!$D$100:$D$115,0))*INDEX(EF!$H$116:$H$131,MATCH(Emissions!$D54,EF!$D$116:$D$131,0))*kgtoGg</f>
        <v>1.2960963903843976</v>
      </c>
      <c r="Q54" s="22">
        <f>INDEX('Activity data'!Q$24:Q$39,MATCH(Emissions!$D54,'Activity data'!$D$24:$D$39,0))*INDEX(EF!$H$84:$H$99,MATCH(Emissions!$D54,EF!$D$84:$D$99,0))*INDEX(EF!$H$100:$H$115,MATCH(Emissions!$D54,EF!$D$100:$D$115,0))*INDEX(EF!$H$116:$H$131,MATCH(Emissions!$D54,EF!$D$116:$D$131,0))*kgtoGg</f>
        <v>1.2960963903843976</v>
      </c>
      <c r="R54" s="22">
        <f>INDEX('Activity data'!R$24:R$39,MATCH(Emissions!$D54,'Activity data'!$D$24:$D$39,0))*INDEX(EF!$H$84:$H$99,MATCH(Emissions!$D54,EF!$D$84:$D$99,0))*INDEX(EF!$H$100:$H$115,MATCH(Emissions!$D54,EF!$D$100:$D$115,0))*INDEX(EF!$H$116:$H$131,MATCH(Emissions!$D54,EF!$D$116:$D$131,0))*kgtoGg</f>
        <v>1.1960332827105857</v>
      </c>
      <c r="S54" s="22">
        <f>INDEX('Activity data'!S$24:S$39,MATCH(Emissions!$D54,'Activity data'!$D$24:$D$39,0))*INDEX(EF!$H$84:$H$99,MATCH(Emissions!$D54,EF!$D$84:$D$99,0))*INDEX(EF!$H$100:$H$115,MATCH(Emissions!$D54,EF!$D$100:$D$115,0))*INDEX(EF!$H$116:$H$131,MATCH(Emissions!$D54,EF!$D$116:$D$131,0))*kgtoGg</f>
        <v>1.3313117329992157</v>
      </c>
      <c r="T54" s="22">
        <f>INDEX('Activity data'!T$24:T$39,MATCH(Emissions!$D54,'Activity data'!$D$24:$D$39,0))*INDEX(EF!$H$84:$H$99,MATCH(Emissions!$D54,EF!$D$84:$D$99,0))*INDEX(EF!$H$100:$H$115,MATCH(Emissions!$D54,EF!$D$100:$D$115,0))*INDEX(EF!$H$116:$H$131,MATCH(Emissions!$D54,EF!$D$116:$D$131,0))*kgtoGg</f>
        <v>1.2175060525976695</v>
      </c>
      <c r="U54" s="22">
        <f>INDEX('Activity data'!U$24:U$39,MATCH(Emissions!$D54,'Activity data'!$D$24:$D$39,0))*INDEX(EF!$H$84:$H$99,MATCH(Emissions!$D54,EF!$D$84:$D$99,0))*INDEX(EF!$H$100:$H$115,MATCH(Emissions!$D54,EF!$D$100:$D$115,0))*INDEX(EF!$H$116:$H$131,MATCH(Emissions!$D54,EF!$D$116:$D$131,0))*kgtoGg</f>
        <v>1.535303046926515</v>
      </c>
      <c r="V54" s="22">
        <f>INDEX('Activity data'!V$24:V$39,MATCH(Emissions!$D54,'Activity data'!$D$24:$D$39,0))*INDEX(EF!$H$84:$H$99,MATCH(Emissions!$D54,EF!$D$84:$D$99,0))*INDEX(EF!$H$100:$H$115,MATCH(Emissions!$D54,EF!$D$100:$D$115,0))*INDEX(EF!$H$116:$H$131,MATCH(Emissions!$D54,EF!$D$116:$D$131,0))*kgtoGg</f>
        <v>1.2003278366880026</v>
      </c>
      <c r="W54" s="22">
        <f>INDEX('Activity data'!W$24:W$39,MATCH(Emissions!$D54,'Activity data'!$D$24:$D$39,0))*INDEX(EF!$H$84:$H$99,MATCH(Emissions!$D54,EF!$D$84:$D$99,0))*INDEX(EF!$H$100:$H$115,MATCH(Emissions!$D54,EF!$D$100:$D$115,0))*INDEX(EF!$H$116:$H$131,MATCH(Emissions!$D54,EF!$D$116:$D$131,0))*kgtoGg</f>
        <v>1.578248586700683</v>
      </c>
      <c r="X54" s="22">
        <f>INDEX('Activity data'!X$24:X$39,MATCH(Emissions!$D54,'Activity data'!$D$24:$D$39,0))*INDEX(EF!$H$84:$H$99,MATCH(Emissions!$D54,EF!$D$84:$D$99,0))*INDEX(EF!$H$100:$H$115,MATCH(Emissions!$D54,EF!$D$100:$D$115,0))*INDEX(EF!$H$116:$H$131,MATCH(Emissions!$D54,EF!$D$116:$D$131,0))*kgtoGg</f>
        <v>1.4086137045927183</v>
      </c>
      <c r="Y54" s="22">
        <f>INDEX('Activity data'!Y$24:Y$39,MATCH(Emissions!$D54,'Activity data'!$D$24:$D$39,0))*INDEX(EF!$H$84:$H$99,MATCH(Emissions!$D54,EF!$D$84:$D$99,0))*INDEX(EF!$H$100:$H$115,MATCH(Emissions!$D54,EF!$D$100:$D$115,0))*INDEX(EF!$H$116:$H$131,MATCH(Emissions!$D54,EF!$D$116:$D$131,0))*kgtoGg</f>
        <v>1.8423636563118175</v>
      </c>
      <c r="Z54" s="22">
        <f>INDEX('Activity data'!Z$24:Z$39,MATCH(Emissions!$D54,'Activity data'!$D$24:$D$39,0))*INDEX(EF!$H$84:$H$99,MATCH(Emissions!$D54,EF!$D$84:$D$99,0))*INDEX(EF!$H$100:$H$115,MATCH(Emissions!$D54,EF!$D$100:$D$115,0))*INDEX(EF!$H$116:$H$131,MATCH(Emissions!$D54,EF!$D$116:$D$131,0))*kgtoGg</f>
        <v>1.5417448778926399</v>
      </c>
      <c r="AA54" s="22">
        <f>INDEX('Activity data'!AA$24:AA$39,MATCH(Emissions!$D54,'Activity data'!$D$24:$D$39,0))*INDEX(EF!$H$84:$H$99,MATCH(Emissions!$D54,EF!$D$84:$D$99,0))*INDEX(EF!$H$100:$H$115,MATCH(Emissions!$D54,EF!$D$100:$D$115,0))*INDEX(EF!$H$116:$H$131,MATCH(Emissions!$D54,EF!$D$116:$D$131,0))*kgtoGg</f>
        <v>1.5202721080055559</v>
      </c>
      <c r="AB54" s="22">
        <f>INDEX('Activity data'!AB$24:AB$39,MATCH(Emissions!$D54,'Activity data'!$D$24:$D$39,0))*INDEX(EF!$H$84:$H$99,MATCH(Emissions!$D54,EF!$D$84:$D$99,0))*INDEX(EF!$H$100:$H$115,MATCH(Emissions!$D54,EF!$D$100:$D$115,0))*INDEX(EF!$H$116:$H$131,MATCH(Emissions!$D54,EF!$D$116:$D$131,0))*kgtoGg</f>
        <v>1.2465275328000001</v>
      </c>
      <c r="AC54" s="22">
        <f>INDEX('Activity data'!AC$24:AC$39,MATCH(Emissions!$D54,'Activity data'!$D$24:$D$39,0))*INDEX(EF!$H$84:$H$99,MATCH(Emissions!$D54,EF!$D$84:$D$99,0))*INDEX(EF!$H$100:$H$115,MATCH(Emissions!$D54,EF!$D$100:$D$115,0))*INDEX(EF!$H$116:$H$131,MATCH(Emissions!$D54,EF!$D$116:$D$131,0))*kgtoGg</f>
        <v>0.93453550740000024</v>
      </c>
      <c r="AD54" s="22">
        <f>INDEX('Activity data'!AD$24:AD$39,MATCH(Emissions!$D54,'Activity data'!$D$24:$D$39,0))*INDEX(EF!$H$84:$H$99,MATCH(Emissions!$D54,EF!$D$84:$D$99,0))*INDEX(EF!$H$100:$H$115,MATCH(Emissions!$D54,EF!$D$100:$D$115,0))*INDEX(EF!$H$116:$H$131,MATCH(Emissions!$D54,EF!$D$116:$D$131,0))*kgtoGg</f>
        <v>1.2584181156476</v>
      </c>
      <c r="AE54" s="22">
        <f>INDEX('Activity data'!AE$24:AE$39,MATCH(Emissions!$D54,'Activity data'!$D$24:$D$39,0))*INDEX(EF!$H$84:$H$99,MATCH(Emissions!$D54,EF!$D$84:$D$99,0))*INDEX(EF!$H$100:$H$115,MATCH(Emissions!$D54,EF!$D$100:$D$115,0))*INDEX(EF!$H$116:$H$131,MATCH(Emissions!$D54,EF!$D$116:$D$131,0))*kgtoGg</f>
        <v>1.2613535159245046</v>
      </c>
      <c r="AF54" s="22">
        <f>INDEX('Activity data'!AF$24:AF$39,MATCH(Emissions!$D54,'Activity data'!$D$24:$D$39,0))*INDEX(EF!$H$84:$H$99,MATCH(Emissions!$D54,EF!$D$84:$D$99,0))*INDEX(EF!$H$100:$H$115,MATCH(Emissions!$D54,EF!$D$100:$D$115,0))*INDEX(EF!$H$116:$H$131,MATCH(Emissions!$D54,EF!$D$116:$D$131,0))*kgtoGg</f>
        <v>1.2642889162014095</v>
      </c>
      <c r="AG54" s="22">
        <f>INDEX('Activity data'!AG$24:AG$39,MATCH(Emissions!$D54,'Activity data'!$D$24:$D$39,0))*INDEX(EF!$H$84:$H$99,MATCH(Emissions!$D54,EF!$D$84:$D$99,0))*INDEX(EF!$H$100:$H$115,MATCH(Emissions!$D54,EF!$D$100:$D$115,0))*INDEX(EF!$H$116:$H$131,MATCH(Emissions!$D54,EF!$D$116:$D$131,0))*kgtoGg</f>
        <v>1.2631235739539579</v>
      </c>
      <c r="AH54" s="22">
        <f>INDEX('Activity data'!AH$24:AH$39,MATCH(Emissions!$D54,'Activity data'!$D$24:$D$39,0))*INDEX(EF!$H$84:$H$99,MATCH(Emissions!$D54,EF!$D$84:$D$99,0))*INDEX(EF!$H$100:$H$115,MATCH(Emissions!$D54,EF!$D$100:$D$115,0))*INDEX(EF!$H$116:$H$131,MATCH(Emissions!$D54,EF!$D$116:$D$131,0))*kgtoGg</f>
        <v>1.2619582317065066</v>
      </c>
      <c r="AI54" s="22">
        <f>INDEX('Activity data'!AI$24:AI$39,MATCH(Emissions!$D54,'Activity data'!$D$24:$D$39,0))*INDEX(EF!$H$84:$H$99,MATCH(Emissions!$D54,EF!$D$84:$D$99,0))*INDEX(EF!$H$100:$H$115,MATCH(Emissions!$D54,EF!$D$100:$D$115,0))*INDEX(EF!$H$116:$H$131,MATCH(Emissions!$D54,EF!$D$116:$D$131,0))*kgtoGg</f>
        <v>1.2607928894590545</v>
      </c>
      <c r="AJ54" s="22">
        <f>INDEX('Activity data'!AJ$24:AJ$39,MATCH(Emissions!$D54,'Activity data'!$D$24:$D$39,0))*INDEX(EF!$H$84:$H$99,MATCH(Emissions!$D54,EF!$D$84:$D$99,0))*INDEX(EF!$H$100:$H$115,MATCH(Emissions!$D54,EF!$D$100:$D$115,0))*INDEX(EF!$H$116:$H$131,MATCH(Emissions!$D54,EF!$D$116:$D$131,0))*kgtoGg</f>
        <v>1.2596275472116032</v>
      </c>
      <c r="AK54" s="22">
        <f>INDEX('Activity data'!AK$24:AK$39,MATCH(Emissions!$D54,'Activity data'!$D$24:$D$39,0))*INDEX(EF!$H$84:$H$99,MATCH(Emissions!$D54,EF!$D$84:$D$99,0))*INDEX(EF!$H$100:$H$115,MATCH(Emissions!$D54,EF!$D$100:$D$115,0))*INDEX(EF!$H$116:$H$131,MATCH(Emissions!$D54,EF!$D$116:$D$131,0))*kgtoGg</f>
        <v>1.2584441912971558</v>
      </c>
      <c r="AL54" s="22">
        <f>INDEX('Activity data'!AL$24:AL$39,MATCH(Emissions!$D54,'Activity data'!$D$24:$D$39,0))*INDEX(EF!$H$84:$H$99,MATCH(Emissions!$D54,EF!$D$84:$D$99,0))*INDEX(EF!$H$100:$H$115,MATCH(Emissions!$D54,EF!$D$100:$D$115,0))*INDEX(EF!$H$116:$H$131,MATCH(Emissions!$D54,EF!$D$116:$D$131,0))*kgtoGg</f>
        <v>1.2572608353827084</v>
      </c>
      <c r="AM54" s="22">
        <f>INDEX('Activity data'!AM$24:AM$39,MATCH(Emissions!$D54,'Activity data'!$D$24:$D$39,0))*INDEX(EF!$H$84:$H$99,MATCH(Emissions!$D54,EF!$D$84:$D$99,0))*INDEX(EF!$H$100:$H$115,MATCH(Emissions!$D54,EF!$D$100:$D$115,0))*INDEX(EF!$H$116:$H$131,MATCH(Emissions!$D54,EF!$D$116:$D$131,0))*kgtoGg</f>
        <v>1.256077479468261</v>
      </c>
      <c r="AN54" s="22">
        <f>INDEX('Activity data'!AN$24:AN$39,MATCH(Emissions!$D54,'Activity data'!$D$24:$D$39,0))*INDEX(EF!$H$84:$H$99,MATCH(Emissions!$D54,EF!$D$84:$D$99,0))*INDEX(EF!$H$100:$H$115,MATCH(Emissions!$D54,EF!$D$100:$D$115,0))*INDEX(EF!$H$116:$H$131,MATCH(Emissions!$D54,EF!$D$116:$D$131,0))*kgtoGg</f>
        <v>1.2548941235538131</v>
      </c>
      <c r="AO54" s="22">
        <f>INDEX('Activity data'!AO$24:AO$39,MATCH(Emissions!$D54,'Activity data'!$D$24:$D$39,0))*INDEX(EF!$H$84:$H$99,MATCH(Emissions!$D54,EF!$D$84:$D$99,0))*INDEX(EF!$H$100:$H$115,MATCH(Emissions!$D54,EF!$D$100:$D$115,0))*INDEX(EF!$H$116:$H$131,MATCH(Emissions!$D54,EF!$D$116:$D$131,0))*kgtoGg</f>
        <v>1.253710767639366</v>
      </c>
      <c r="AP54" s="22">
        <f>INDEX('Activity data'!AP$24:AP$39,MATCH(Emissions!$D54,'Activity data'!$D$24:$D$39,0))*INDEX(EF!$H$84:$H$99,MATCH(Emissions!$D54,EF!$D$84:$D$99,0))*INDEX(EF!$H$100:$H$115,MATCH(Emissions!$D54,EF!$D$100:$D$115,0))*INDEX(EF!$H$116:$H$131,MATCH(Emissions!$D54,EF!$D$116:$D$131,0))*kgtoGg</f>
        <v>1.2525274117249183</v>
      </c>
      <c r="AQ54" s="22">
        <f>INDEX('Activity data'!AQ$24:AQ$39,MATCH(Emissions!$D54,'Activity data'!$D$24:$D$39,0))*INDEX(EF!$H$84:$H$99,MATCH(Emissions!$D54,EF!$D$84:$D$99,0))*INDEX(EF!$H$100:$H$115,MATCH(Emissions!$D54,EF!$D$100:$D$115,0))*INDEX(EF!$H$116:$H$131,MATCH(Emissions!$D54,EF!$D$116:$D$131,0))*kgtoGg</f>
        <v>1.2513440558104707</v>
      </c>
      <c r="AR54" s="22">
        <f>INDEX('Activity data'!AR$24:AR$39,MATCH(Emissions!$D54,'Activity data'!$D$24:$D$39,0))*INDEX(EF!$H$84:$H$99,MATCH(Emissions!$D54,EF!$D$84:$D$99,0))*INDEX(EF!$H$100:$H$115,MATCH(Emissions!$D54,EF!$D$100:$D$115,0))*INDEX(EF!$H$116:$H$131,MATCH(Emissions!$D54,EF!$D$116:$D$131,0))*kgtoGg</f>
        <v>1.2501606998960235</v>
      </c>
      <c r="AS54" s="22">
        <f>INDEX('Activity data'!AS$24:AS$39,MATCH(Emissions!$D54,'Activity data'!$D$24:$D$39,0))*INDEX(EF!$H$84:$H$99,MATCH(Emissions!$D54,EF!$D$84:$D$99,0))*INDEX(EF!$H$100:$H$115,MATCH(Emissions!$D54,EF!$D$100:$D$115,0))*INDEX(EF!$H$116:$H$131,MATCH(Emissions!$D54,EF!$D$116:$D$131,0))*kgtoGg</f>
        <v>1.2489773439815761</v>
      </c>
      <c r="AT54" s="22">
        <f>INDEX('Activity data'!AT$24:AT$39,MATCH(Emissions!$D54,'Activity data'!$D$24:$D$39,0))*INDEX(EF!$H$84:$H$99,MATCH(Emissions!$D54,EF!$D$84:$D$99,0))*INDEX(EF!$H$100:$H$115,MATCH(Emissions!$D54,EF!$D$100:$D$115,0))*INDEX(EF!$H$116:$H$131,MATCH(Emissions!$D54,EF!$D$116:$D$131,0))*kgtoGg</f>
        <v>1.2477939880671285</v>
      </c>
      <c r="AU54" s="22">
        <f>INDEX('Activity data'!AU$24:AU$39,MATCH(Emissions!$D54,'Activity data'!$D$24:$D$39,0))*INDEX(EF!$H$84:$H$99,MATCH(Emissions!$D54,EF!$D$84:$D$99,0))*INDEX(EF!$H$100:$H$115,MATCH(Emissions!$D54,EF!$D$100:$D$115,0))*INDEX(EF!$H$116:$H$131,MATCH(Emissions!$D54,EF!$D$116:$D$131,0))*kgtoGg</f>
        <v>1.2466106321526804</v>
      </c>
      <c r="AV54" s="22">
        <f>INDEX('Activity data'!AV$24:AV$39,MATCH(Emissions!$D54,'Activity data'!$D$24:$D$39,0))*INDEX(EF!$H$84:$H$99,MATCH(Emissions!$D54,EF!$D$84:$D$99,0))*INDEX(EF!$H$100:$H$115,MATCH(Emissions!$D54,EF!$D$100:$D$115,0))*INDEX(EF!$H$116:$H$131,MATCH(Emissions!$D54,EF!$D$116:$D$131,0))*kgtoGg</f>
        <v>1.245427276238233</v>
      </c>
      <c r="AW54" s="22">
        <f>INDEX('Activity data'!AW$24:AW$39,MATCH(Emissions!$D54,'Activity data'!$D$24:$D$39,0))*INDEX(EF!$H$84:$H$99,MATCH(Emissions!$D54,EF!$D$84:$D$99,0))*INDEX(EF!$H$100:$H$115,MATCH(Emissions!$D54,EF!$D$100:$D$115,0))*INDEX(EF!$H$116:$H$131,MATCH(Emissions!$D54,EF!$D$116:$D$131,0))*kgtoGg</f>
        <v>1.2442439203237858</v>
      </c>
      <c r="AX54" s="22">
        <f>INDEX('Activity data'!AX$24:AX$39,MATCH(Emissions!$D54,'Activity data'!$D$24:$D$39,0))*INDEX(EF!$H$84:$H$99,MATCH(Emissions!$D54,EF!$D$84:$D$99,0))*INDEX(EF!$H$100:$H$115,MATCH(Emissions!$D54,EF!$D$100:$D$115,0))*INDEX(EF!$H$116:$H$131,MATCH(Emissions!$D54,EF!$D$116:$D$131,0))*kgtoGg</f>
        <v>1.2430605644093387</v>
      </c>
      <c r="AY54" s="22">
        <f>INDEX('Activity data'!AY$24:AY$39,MATCH(Emissions!$D54,'Activity data'!$D$24:$D$39,0))*INDEX(EF!$H$84:$H$99,MATCH(Emissions!$D54,EF!$D$84:$D$99,0))*INDEX(EF!$H$100:$H$115,MATCH(Emissions!$D54,EF!$D$100:$D$115,0))*INDEX(EF!$H$116:$H$131,MATCH(Emissions!$D54,EF!$D$116:$D$131,0))*kgtoGg</f>
        <v>1.2418772084948906</v>
      </c>
      <c r="AZ54" s="22">
        <f>INDEX('Activity data'!AZ$24:AZ$39,MATCH(Emissions!$D54,'Activity data'!$D$24:$D$39,0))*INDEX(EF!$H$84:$H$99,MATCH(Emissions!$D54,EF!$D$84:$D$99,0))*INDEX(EF!$H$100:$H$115,MATCH(Emissions!$D54,EF!$D$100:$D$115,0))*INDEX(EF!$H$116:$H$131,MATCH(Emissions!$D54,EF!$D$116:$D$131,0))*kgtoGg</f>
        <v>1.2406938525804434</v>
      </c>
      <c r="BA54" s="22">
        <f>INDEX('Activity data'!BA$24:BA$39,MATCH(Emissions!$D54,'Activity data'!$D$24:$D$39,0))*INDEX(EF!$H$84:$H$99,MATCH(Emissions!$D54,EF!$D$84:$D$99,0))*INDEX(EF!$H$100:$H$115,MATCH(Emissions!$D54,EF!$D$100:$D$115,0))*INDEX(EF!$H$116:$H$131,MATCH(Emissions!$D54,EF!$D$116:$D$131,0))*kgtoGg</f>
        <v>1.2395104966659962</v>
      </c>
      <c r="BB54" s="22">
        <f>INDEX('Activity data'!BB$24:BB$39,MATCH(Emissions!$D54,'Activity data'!$D$24:$D$39,0))*INDEX(EF!$H$84:$H$99,MATCH(Emissions!$D54,EF!$D$84:$D$99,0))*INDEX(EF!$H$100:$H$115,MATCH(Emissions!$D54,EF!$D$100:$D$115,0))*INDEX(EF!$H$116:$H$131,MATCH(Emissions!$D54,EF!$D$116:$D$131,0))*kgtoGg</f>
        <v>1.2383271407515488</v>
      </c>
      <c r="BC54" s="22">
        <f>INDEX('Activity data'!BC$24:BC$39,MATCH(Emissions!$D54,'Activity data'!$D$24:$D$39,0))*INDEX(EF!$H$84:$H$99,MATCH(Emissions!$D54,EF!$D$84:$D$99,0))*INDEX(EF!$H$100:$H$115,MATCH(Emissions!$D54,EF!$D$100:$D$115,0))*INDEX(EF!$H$116:$H$131,MATCH(Emissions!$D54,EF!$D$116:$D$131,0))*kgtoGg</f>
        <v>1.2371437848371012</v>
      </c>
      <c r="BD54" s="22">
        <f>INDEX('Activity data'!BD$24:BD$39,MATCH(Emissions!$D54,'Activity data'!$D$24:$D$39,0))*INDEX(EF!$H$84:$H$99,MATCH(Emissions!$D54,EF!$D$84:$D$99,0))*INDEX(EF!$H$100:$H$115,MATCH(Emissions!$D54,EF!$D$100:$D$115,0))*INDEX(EF!$H$116:$H$131,MATCH(Emissions!$D54,EF!$D$116:$D$131,0))*kgtoGg</f>
        <v>1.2359604289226536</v>
      </c>
      <c r="BE54" s="22">
        <f>INDEX('Activity data'!BE$24:BE$39,MATCH(Emissions!$D54,'Activity data'!$D$24:$D$39,0))*INDEX(EF!$H$84:$H$99,MATCH(Emissions!$D54,EF!$D$84:$D$99,0))*INDEX(EF!$H$100:$H$115,MATCH(Emissions!$D54,EF!$D$100:$D$115,0))*INDEX(EF!$H$116:$H$131,MATCH(Emissions!$D54,EF!$D$116:$D$131,0))*kgtoGg</f>
        <v>1.2347770730082062</v>
      </c>
      <c r="BF54" s="22">
        <f>INDEX('Activity data'!BF$24:BF$39,MATCH(Emissions!$D54,'Activity data'!$D$24:$D$39,0))*INDEX(EF!$H$84:$H$99,MATCH(Emissions!$D54,EF!$D$84:$D$99,0))*INDEX(EF!$H$100:$H$115,MATCH(Emissions!$D54,EF!$D$100:$D$115,0))*INDEX(EF!$H$116:$H$131,MATCH(Emissions!$D54,EF!$D$116:$D$131,0))*kgtoGg</f>
        <v>1.2335937170937588</v>
      </c>
      <c r="BG54" s="22">
        <f>INDEX('Activity data'!BG$24:BG$39,MATCH(Emissions!$D54,'Activity data'!$D$24:$D$39,0))*INDEX(EF!$H$84:$H$99,MATCH(Emissions!$D54,EF!$D$84:$D$99,0))*INDEX(EF!$H$100:$H$115,MATCH(Emissions!$D54,EF!$D$100:$D$115,0))*INDEX(EF!$H$116:$H$131,MATCH(Emissions!$D54,EF!$D$116:$D$131,0))*kgtoGg</f>
        <v>1.2324103611793111</v>
      </c>
      <c r="BH54" s="22">
        <f>INDEX('Activity data'!BH$24:BH$39,MATCH(Emissions!$D54,'Activity data'!$D$24:$D$39,0))*INDEX(EF!$H$84:$H$99,MATCH(Emissions!$D54,EF!$D$84:$D$99,0))*INDEX(EF!$H$100:$H$115,MATCH(Emissions!$D54,EF!$D$100:$D$115,0))*INDEX(EF!$H$116:$H$131,MATCH(Emissions!$D54,EF!$D$116:$D$131,0))*kgtoGg</f>
        <v>1.2312270052648639</v>
      </c>
      <c r="BI54" s="22">
        <f>INDEX('Activity data'!BI$24:BI$39,MATCH(Emissions!$D54,'Activity data'!$D$24:$D$39,0))*INDEX(EF!$H$84:$H$99,MATCH(Emissions!$D54,EF!$D$84:$D$99,0))*INDEX(EF!$H$100:$H$115,MATCH(Emissions!$D54,EF!$D$100:$D$115,0))*INDEX(EF!$H$116:$H$131,MATCH(Emissions!$D54,EF!$D$116:$D$131,0))*kgtoGg</f>
        <v>1.2300436493504163</v>
      </c>
      <c r="BJ54" s="22">
        <f>INDEX('Activity data'!BJ$24:BJ$39,MATCH(Emissions!$D54,'Activity data'!$D$24:$D$39,0))*INDEX(EF!$H$84:$H$99,MATCH(Emissions!$D54,EF!$D$84:$D$99,0))*INDEX(EF!$H$100:$H$115,MATCH(Emissions!$D54,EF!$D$100:$D$115,0))*INDEX(EF!$H$116:$H$131,MATCH(Emissions!$D54,EF!$D$116:$D$131,0))*kgtoGg</f>
        <v>1.2288602934359689</v>
      </c>
      <c r="BK54" s="22">
        <f>INDEX('Activity data'!BK$24:BK$39,MATCH(Emissions!$D54,'Activity data'!$D$24:$D$39,0))*INDEX(EF!$H$84:$H$99,MATCH(Emissions!$D54,EF!$D$84:$D$99,0))*INDEX(EF!$H$100:$H$115,MATCH(Emissions!$D54,EF!$D$100:$D$115,0))*INDEX(EF!$H$116:$H$131,MATCH(Emissions!$D54,EF!$D$116:$D$131,0))*kgtoGg</f>
        <v>1.2276769375215215</v>
      </c>
      <c r="BL54" s="22">
        <f>INDEX('Activity data'!BL$24:BL$39,MATCH(Emissions!$D54,'Activity data'!$D$24:$D$39,0))*INDEX(EF!$H$84:$H$99,MATCH(Emissions!$D54,EF!$D$84:$D$99,0))*INDEX(EF!$H$100:$H$115,MATCH(Emissions!$D54,EF!$D$100:$D$115,0))*INDEX(EF!$H$116:$H$131,MATCH(Emissions!$D54,EF!$D$116:$D$131,0))*kgtoGg</f>
        <v>1.2264935816070741</v>
      </c>
      <c r="BM54" s="22">
        <f>INDEX('Activity data'!BM$24:BM$39,MATCH(Emissions!$D54,'Activity data'!$D$24:$D$39,0))*INDEX(EF!$H$84:$H$99,MATCH(Emissions!$D54,EF!$D$84:$D$99,0))*INDEX(EF!$H$100:$H$115,MATCH(Emissions!$D54,EF!$D$100:$D$115,0))*INDEX(EF!$H$116:$H$131,MATCH(Emissions!$D54,EF!$D$116:$D$131,0))*kgtoGg</f>
        <v>1.2253102256926267</v>
      </c>
      <c r="BN54" s="22">
        <f>INDEX('Activity data'!BN$24:BN$39,MATCH(Emissions!$D54,'Activity data'!$D$24:$D$39,0))*INDEX(EF!$H$84:$H$99,MATCH(Emissions!$D54,EF!$D$84:$D$99,0))*INDEX(EF!$H$100:$H$115,MATCH(Emissions!$D54,EF!$D$100:$D$115,0))*INDEX(EF!$H$116:$H$131,MATCH(Emissions!$D54,EF!$D$116:$D$131,0))*kgtoGg</f>
        <v>1.2241268697781793</v>
      </c>
      <c r="BO54" s="22">
        <f>INDEX('Activity data'!BO$24:BO$39,MATCH(Emissions!$D54,'Activity data'!$D$24:$D$39,0))*INDEX(EF!$H$84:$H$99,MATCH(Emissions!$D54,EF!$D$84:$D$99,0))*INDEX(EF!$H$100:$H$115,MATCH(Emissions!$D54,EF!$D$100:$D$115,0))*INDEX(EF!$H$116:$H$131,MATCH(Emissions!$D54,EF!$D$116:$D$131,0))*kgtoGg</f>
        <v>1.2229435138637319</v>
      </c>
      <c r="BP54" s="22">
        <f>INDEX('Activity data'!BP$24:BP$39,MATCH(Emissions!$D54,'Activity data'!$D$24:$D$39,0))*INDEX(EF!$H$84:$H$99,MATCH(Emissions!$D54,EF!$D$84:$D$99,0))*INDEX(EF!$H$100:$H$115,MATCH(Emissions!$D54,EF!$D$100:$D$115,0))*INDEX(EF!$H$116:$H$131,MATCH(Emissions!$D54,EF!$D$116:$D$131,0))*kgtoGg</f>
        <v>1.2217601579492843</v>
      </c>
    </row>
    <row r="55" spans="1:68" x14ac:dyDescent="0.25">
      <c r="A55" t="str">
        <f>A54</f>
        <v>3C Aggregated and non-CO2 emissions on land</v>
      </c>
      <c r="B55" t="str">
        <f t="shared" ref="B55" si="12">B54</f>
        <v>3C1 Biomass burning (CH4)</v>
      </c>
      <c r="C55" t="str">
        <f>C54</f>
        <v>3C1a Biomass burning in forest land</v>
      </c>
      <c r="D55" t="str">
        <f>EF!D85</f>
        <v>Thickets</v>
      </c>
      <c r="E55" t="s">
        <v>648</v>
      </c>
      <c r="F55" t="str">
        <f>F54</f>
        <v>CH4</v>
      </c>
      <c r="G55" t="str">
        <f>G54</f>
        <v>Gg CH4</v>
      </c>
      <c r="H55" s="22">
        <f>INDEX('Activity data'!H$24:H$39,MATCH(Emissions!$D55,'Activity data'!$D$24:$D$39,0))*INDEX(EF!$H$84:$H$99,MATCH(Emissions!$D55,EF!$D$84:$D$99,0))*INDEX(EF!$H$100:$H$115,MATCH(Emissions!$D55,EF!$D$100:$D$115,0))*INDEX(EF!$H$116:$H$131,MATCH(Emissions!$D55,EF!$D$116:$D$131,0))*kgtoGg</f>
        <v>2.5068842856640616</v>
      </c>
      <c r="I55" s="22">
        <f>INDEX('Activity data'!I$24:I$39,MATCH(Emissions!$D55,'Activity data'!$D$24:$D$39,0))*INDEX(EF!$H$84:$H$99,MATCH(Emissions!$D55,EF!$D$84:$D$99,0))*INDEX(EF!$H$100:$H$115,MATCH(Emissions!$D55,EF!$D$100:$D$115,0))*INDEX(EF!$H$116:$H$131,MATCH(Emissions!$D55,EF!$D$116:$D$131,0))*kgtoGg</f>
        <v>2.5068842856640616</v>
      </c>
      <c r="J55" s="22">
        <f>INDEX('Activity data'!J$24:J$39,MATCH(Emissions!$D55,'Activity data'!$D$24:$D$39,0))*INDEX(EF!$H$84:$H$99,MATCH(Emissions!$D55,EF!$D$84:$D$99,0))*INDEX(EF!$H$100:$H$115,MATCH(Emissions!$D55,EF!$D$100:$D$115,0))*INDEX(EF!$H$116:$H$131,MATCH(Emissions!$D55,EF!$D$116:$D$131,0))*kgtoGg</f>
        <v>2.5068842856640616</v>
      </c>
      <c r="K55" s="22">
        <f>INDEX('Activity data'!K$24:K$39,MATCH(Emissions!$D55,'Activity data'!$D$24:$D$39,0))*INDEX(EF!$H$84:$H$99,MATCH(Emissions!$D55,EF!$D$84:$D$99,0))*INDEX(EF!$H$100:$H$115,MATCH(Emissions!$D55,EF!$D$100:$D$115,0))*INDEX(EF!$H$116:$H$131,MATCH(Emissions!$D55,EF!$D$116:$D$131,0))*kgtoGg</f>
        <v>2.5068842856640616</v>
      </c>
      <c r="L55" s="22">
        <f>INDEX('Activity data'!L$24:L$39,MATCH(Emissions!$D55,'Activity data'!$D$24:$D$39,0))*INDEX(EF!$H$84:$H$99,MATCH(Emissions!$D55,EF!$D$84:$D$99,0))*INDEX(EF!$H$100:$H$115,MATCH(Emissions!$D55,EF!$D$100:$D$115,0))*INDEX(EF!$H$116:$H$131,MATCH(Emissions!$D55,EF!$D$116:$D$131,0))*kgtoGg</f>
        <v>2.5068842856640616</v>
      </c>
      <c r="M55" s="22">
        <f>INDEX('Activity data'!M$24:M$39,MATCH(Emissions!$D55,'Activity data'!$D$24:$D$39,0))*INDEX(EF!$H$84:$H$99,MATCH(Emissions!$D55,EF!$D$84:$D$99,0))*INDEX(EF!$H$100:$H$115,MATCH(Emissions!$D55,EF!$D$100:$D$115,0))*INDEX(EF!$H$116:$H$131,MATCH(Emissions!$D55,EF!$D$116:$D$131,0))*kgtoGg</f>
        <v>2.5068842856640616</v>
      </c>
      <c r="N55" s="22">
        <f>INDEX('Activity data'!N$24:N$39,MATCH(Emissions!$D55,'Activity data'!$D$24:$D$39,0))*INDEX(EF!$H$84:$H$99,MATCH(Emissions!$D55,EF!$D$84:$D$99,0))*INDEX(EF!$H$100:$H$115,MATCH(Emissions!$D55,EF!$D$100:$D$115,0))*INDEX(EF!$H$116:$H$131,MATCH(Emissions!$D55,EF!$D$116:$D$131,0))*kgtoGg</f>
        <v>2.5068842856640616</v>
      </c>
      <c r="O55" s="22">
        <f>INDEX('Activity data'!O$24:O$39,MATCH(Emissions!$D55,'Activity data'!$D$24:$D$39,0))*INDEX(EF!$H$84:$H$99,MATCH(Emissions!$D55,EF!$D$84:$D$99,0))*INDEX(EF!$H$100:$H$115,MATCH(Emissions!$D55,EF!$D$100:$D$115,0))*INDEX(EF!$H$116:$H$131,MATCH(Emissions!$D55,EF!$D$116:$D$131,0))*kgtoGg</f>
        <v>2.5068842856640616</v>
      </c>
      <c r="P55" s="22">
        <f>INDEX('Activity data'!P$24:P$39,MATCH(Emissions!$D55,'Activity data'!$D$24:$D$39,0))*INDEX(EF!$H$84:$H$99,MATCH(Emissions!$D55,EF!$D$84:$D$99,0))*INDEX(EF!$H$100:$H$115,MATCH(Emissions!$D55,EF!$D$100:$D$115,0))*INDEX(EF!$H$116:$H$131,MATCH(Emissions!$D55,EF!$D$116:$D$131,0))*kgtoGg</f>
        <v>2.5068842856640616</v>
      </c>
      <c r="Q55" s="22">
        <f>INDEX('Activity data'!Q$24:Q$39,MATCH(Emissions!$D55,'Activity data'!$D$24:$D$39,0))*INDEX(EF!$H$84:$H$99,MATCH(Emissions!$D55,EF!$D$84:$D$99,0))*INDEX(EF!$H$100:$H$115,MATCH(Emissions!$D55,EF!$D$100:$D$115,0))*INDEX(EF!$H$116:$H$131,MATCH(Emissions!$D55,EF!$D$116:$D$131,0))*kgtoGg</f>
        <v>2.5068842856640616</v>
      </c>
      <c r="R55" s="22">
        <f>INDEX('Activity data'!R$24:R$39,MATCH(Emissions!$D55,'Activity data'!$D$24:$D$39,0))*INDEX(EF!$H$84:$H$99,MATCH(Emissions!$D55,EF!$D$84:$D$99,0))*INDEX(EF!$H$100:$H$115,MATCH(Emissions!$D55,EF!$D$100:$D$115,0))*INDEX(EF!$H$116:$H$131,MATCH(Emissions!$D55,EF!$D$116:$D$131,0))*kgtoGg</f>
        <v>2.574040698830915</v>
      </c>
      <c r="S55" s="22">
        <f>INDEX('Activity data'!S$24:S$39,MATCH(Emissions!$D55,'Activity data'!$D$24:$D$39,0))*INDEX(EF!$H$84:$H$99,MATCH(Emissions!$D55,EF!$D$84:$D$99,0))*INDEX(EF!$H$100:$H$115,MATCH(Emissions!$D55,EF!$D$100:$D$115,0))*INDEX(EF!$H$116:$H$131,MATCH(Emissions!$D55,EF!$D$116:$D$131,0))*kgtoGg</f>
        <v>3.2672402728856826</v>
      </c>
      <c r="T55" s="22">
        <f>INDEX('Activity data'!T$24:T$39,MATCH(Emissions!$D55,'Activity data'!$D$24:$D$39,0))*INDEX(EF!$H$84:$H$99,MATCH(Emissions!$D55,EF!$D$84:$D$99,0))*INDEX(EF!$H$100:$H$115,MATCH(Emissions!$D55,EF!$D$100:$D$115,0))*INDEX(EF!$H$116:$H$131,MATCH(Emissions!$D55,EF!$D$116:$D$131,0))*kgtoGg</f>
        <v>3.0158364323577054</v>
      </c>
      <c r="U55" s="22">
        <f>INDEX('Activity data'!U$24:U$39,MATCH(Emissions!$D55,'Activity data'!$D$24:$D$39,0))*INDEX(EF!$H$84:$H$99,MATCH(Emissions!$D55,EF!$D$84:$D$99,0))*INDEX(EF!$H$100:$H$115,MATCH(Emissions!$D55,EF!$D$100:$D$115,0))*INDEX(EF!$H$116:$H$131,MATCH(Emissions!$D55,EF!$D$116:$D$131,0))*kgtoGg</f>
        <v>1.8124731268356651</v>
      </c>
      <c r="V55" s="22">
        <f>INDEX('Activity data'!V$24:V$39,MATCH(Emissions!$D55,'Activity data'!$D$24:$D$39,0))*INDEX(EF!$H$84:$H$99,MATCH(Emissions!$D55,EF!$D$84:$D$99,0))*INDEX(EF!$H$100:$H$115,MATCH(Emissions!$D55,EF!$D$100:$D$115,0))*INDEX(EF!$H$116:$H$131,MATCH(Emissions!$D55,EF!$D$116:$D$131,0))*kgtoGg</f>
        <v>1.8648308974103387</v>
      </c>
      <c r="W55" s="22">
        <f>INDEX('Activity data'!W$24:W$39,MATCH(Emissions!$D55,'Activity data'!$D$24:$D$39,0))*INDEX(EF!$H$84:$H$99,MATCH(Emissions!$D55,EF!$D$84:$D$99,0))*INDEX(EF!$H$100:$H$115,MATCH(Emissions!$D55,EF!$D$100:$D$115,0))*INDEX(EF!$H$116:$H$131,MATCH(Emissions!$D55,EF!$D$116:$D$131,0))*kgtoGg</f>
        <v>3.2027666545747224</v>
      </c>
      <c r="X55" s="22">
        <f>INDEX('Activity data'!X$24:X$39,MATCH(Emissions!$D55,'Activity data'!$D$24:$D$39,0))*INDEX(EF!$H$84:$H$99,MATCH(Emissions!$D55,EF!$D$84:$D$99,0))*INDEX(EF!$H$100:$H$115,MATCH(Emissions!$D55,EF!$D$100:$D$115,0))*INDEX(EF!$H$116:$H$131,MATCH(Emissions!$D55,EF!$D$116:$D$131,0))*kgtoGg</f>
        <v>2.5583189440302561</v>
      </c>
      <c r="Y55" s="22">
        <f>INDEX('Activity data'!Y$24:Y$39,MATCH(Emissions!$D55,'Activity data'!$D$24:$D$39,0))*INDEX(EF!$H$84:$H$99,MATCH(Emissions!$D55,EF!$D$84:$D$99,0))*INDEX(EF!$H$100:$H$115,MATCH(Emissions!$D55,EF!$D$100:$D$115,0))*INDEX(EF!$H$116:$H$131,MATCH(Emissions!$D55,EF!$D$116:$D$131,0))*kgtoGg</f>
        <v>2.986989175842734</v>
      </c>
      <c r="Z55" s="22">
        <f>INDEX('Activity data'!Z$24:Z$39,MATCH(Emissions!$D55,'Activity data'!$D$24:$D$39,0))*INDEX(EF!$H$84:$H$99,MATCH(Emissions!$D55,EF!$D$84:$D$99,0))*INDEX(EF!$H$100:$H$115,MATCH(Emissions!$D55,EF!$D$100:$D$115,0))*INDEX(EF!$H$116:$H$131,MATCH(Emissions!$D55,EF!$D$116:$D$131,0))*kgtoGg</f>
        <v>3.286279462185564</v>
      </c>
      <c r="AA55" s="22">
        <f>INDEX('Activity data'!AA$24:AA$39,MATCH(Emissions!$D55,'Activity data'!$D$24:$D$39,0))*INDEX(EF!$H$84:$H$99,MATCH(Emissions!$D55,EF!$D$84:$D$99,0))*INDEX(EF!$H$100:$H$115,MATCH(Emissions!$D55,EF!$D$100:$D$115,0))*INDEX(EF!$H$116:$H$131,MATCH(Emissions!$D55,EF!$D$116:$D$131,0))*kgtoGg</f>
        <v>2.3897067297002468</v>
      </c>
      <c r="AB55" s="22">
        <f>INDEX('Activity data'!AB$24:AB$39,MATCH(Emissions!$D55,'Activity data'!$D$24:$D$39,0))*INDEX(EF!$H$84:$H$99,MATCH(Emissions!$D55,EF!$D$84:$D$99,0))*INDEX(EF!$H$100:$H$115,MATCH(Emissions!$D55,EF!$D$100:$D$115,0))*INDEX(EF!$H$116:$H$131,MATCH(Emissions!$D55,EF!$D$116:$D$131,0))*kgtoGg</f>
        <v>2.9201987820599995</v>
      </c>
      <c r="AC55" s="22">
        <f>INDEX('Activity data'!AC$24:AC$39,MATCH(Emissions!$D55,'Activity data'!$D$24:$D$39,0))*INDEX(EF!$H$84:$H$99,MATCH(Emissions!$D55,EF!$D$84:$D$99,0))*INDEX(EF!$H$100:$H$115,MATCH(Emissions!$D55,EF!$D$100:$D$115,0))*INDEX(EF!$H$116:$H$131,MATCH(Emissions!$D55,EF!$D$116:$D$131,0))*kgtoGg</f>
        <v>2.3252322901500002</v>
      </c>
      <c r="AD55" s="22">
        <f>INDEX('Activity data'!AD$24:AD$39,MATCH(Emissions!$D55,'Activity data'!$D$24:$D$39,0))*INDEX(EF!$H$84:$H$99,MATCH(Emissions!$D55,EF!$D$84:$D$99,0))*INDEX(EF!$H$100:$H$115,MATCH(Emissions!$D55,EF!$D$100:$D$115,0))*INDEX(EF!$H$116:$H$131,MATCH(Emissions!$D55,EF!$D$116:$D$131,0))*kgtoGg</f>
        <v>2.4190643510106247</v>
      </c>
      <c r="AE55" s="22">
        <f>INDEX('Activity data'!AE$24:AE$39,MATCH(Emissions!$D55,'Activity data'!$D$24:$D$39,0))*INDEX(EF!$H$84:$H$99,MATCH(Emissions!$D55,EF!$D$84:$D$99,0))*INDEX(EF!$H$100:$H$115,MATCH(Emissions!$D55,EF!$D$100:$D$115,0))*INDEX(EF!$H$116:$H$131,MATCH(Emissions!$D55,EF!$D$116:$D$131,0))*kgtoGg</f>
        <v>2.4368629382626401</v>
      </c>
      <c r="AF55" s="22">
        <f>INDEX('Activity data'!AF$24:AF$39,MATCH(Emissions!$D55,'Activity data'!$D$24:$D$39,0))*INDEX(EF!$H$84:$H$99,MATCH(Emissions!$D55,EF!$D$84:$D$99,0))*INDEX(EF!$H$100:$H$115,MATCH(Emissions!$D55,EF!$D$100:$D$115,0))*INDEX(EF!$H$116:$H$131,MATCH(Emissions!$D55,EF!$D$116:$D$131,0))*kgtoGg</f>
        <v>2.4546615255146556</v>
      </c>
      <c r="AG55" s="22">
        <f>INDEX('Activity data'!AG$24:AG$39,MATCH(Emissions!$D55,'Activity data'!$D$24:$D$39,0))*INDEX(EF!$H$84:$H$99,MATCH(Emissions!$D55,EF!$D$84:$D$99,0))*INDEX(EF!$H$100:$H$115,MATCH(Emissions!$D55,EF!$D$100:$D$115,0))*INDEX(EF!$H$116:$H$131,MATCH(Emissions!$D55,EF!$D$116:$D$131,0))*kgtoGg</f>
        <v>2.4454966287634972</v>
      </c>
      <c r="AH55" s="22">
        <f>INDEX('Activity data'!AH$24:AH$39,MATCH(Emissions!$D55,'Activity data'!$D$24:$D$39,0))*INDEX(EF!$H$84:$H$99,MATCH(Emissions!$D55,EF!$D$84:$D$99,0))*INDEX(EF!$H$100:$H$115,MATCH(Emissions!$D55,EF!$D$100:$D$115,0))*INDEX(EF!$H$116:$H$131,MATCH(Emissions!$D55,EF!$D$116:$D$131,0))*kgtoGg</f>
        <v>2.4363317320123392</v>
      </c>
      <c r="AI55" s="22">
        <f>INDEX('Activity data'!AI$24:AI$39,MATCH(Emissions!$D55,'Activity data'!$D$24:$D$39,0))*INDEX(EF!$H$84:$H$99,MATCH(Emissions!$D55,EF!$D$84:$D$99,0))*INDEX(EF!$H$100:$H$115,MATCH(Emissions!$D55,EF!$D$100:$D$115,0))*INDEX(EF!$H$116:$H$131,MATCH(Emissions!$D55,EF!$D$116:$D$131,0))*kgtoGg</f>
        <v>2.4271668352611813</v>
      </c>
      <c r="AJ55" s="22">
        <f>INDEX('Activity data'!AJ$24:AJ$39,MATCH(Emissions!$D55,'Activity data'!$D$24:$D$39,0))*INDEX(EF!$H$84:$H$99,MATCH(Emissions!$D55,EF!$D$84:$D$99,0))*INDEX(EF!$H$100:$H$115,MATCH(Emissions!$D55,EF!$D$100:$D$115,0))*INDEX(EF!$H$116:$H$131,MATCH(Emissions!$D55,EF!$D$116:$D$131,0))*kgtoGg</f>
        <v>2.4180019385100229</v>
      </c>
      <c r="AK55" s="22">
        <f>INDEX('Activity data'!AK$24:AK$39,MATCH(Emissions!$D55,'Activity data'!$D$24:$D$39,0))*INDEX(EF!$H$84:$H$99,MATCH(Emissions!$D55,EF!$D$84:$D$99,0))*INDEX(EF!$H$100:$H$115,MATCH(Emissions!$D55,EF!$D$100:$D$115,0))*INDEX(EF!$H$116:$H$131,MATCH(Emissions!$D55,EF!$D$116:$D$131,0))*kgtoGg</f>
        <v>2.4086000705623642</v>
      </c>
      <c r="AL55" s="22">
        <f>INDEX('Activity data'!AL$24:AL$39,MATCH(Emissions!$D55,'Activity data'!$D$24:$D$39,0))*INDEX(EF!$H$84:$H$99,MATCH(Emissions!$D55,EF!$D$84:$D$99,0))*INDEX(EF!$H$100:$H$115,MATCH(Emissions!$D55,EF!$D$100:$D$115,0))*INDEX(EF!$H$116:$H$131,MATCH(Emissions!$D55,EF!$D$116:$D$131,0))*kgtoGg</f>
        <v>2.3991982026147065</v>
      </c>
      <c r="AM55" s="22">
        <f>INDEX('Activity data'!AM$24:AM$39,MATCH(Emissions!$D55,'Activity data'!$D$24:$D$39,0))*INDEX(EF!$H$84:$H$99,MATCH(Emissions!$D55,EF!$D$84:$D$99,0))*INDEX(EF!$H$100:$H$115,MATCH(Emissions!$D55,EF!$D$100:$D$115,0))*INDEX(EF!$H$116:$H$131,MATCH(Emissions!$D55,EF!$D$116:$D$131,0))*kgtoGg</f>
        <v>2.389796334667047</v>
      </c>
      <c r="AN55" s="22">
        <f>INDEX('Activity data'!AN$24:AN$39,MATCH(Emissions!$D55,'Activity data'!$D$24:$D$39,0))*INDEX(EF!$H$84:$H$99,MATCH(Emissions!$D55,EF!$D$84:$D$99,0))*INDEX(EF!$H$100:$H$115,MATCH(Emissions!$D55,EF!$D$100:$D$115,0))*INDEX(EF!$H$116:$H$131,MATCH(Emissions!$D55,EF!$D$116:$D$131,0))*kgtoGg</f>
        <v>2.3803944667193884</v>
      </c>
      <c r="AO55" s="22">
        <f>INDEX('Activity data'!AO$24:AO$39,MATCH(Emissions!$D55,'Activity data'!$D$24:$D$39,0))*INDEX(EF!$H$84:$H$99,MATCH(Emissions!$D55,EF!$D$84:$D$99,0))*INDEX(EF!$H$100:$H$115,MATCH(Emissions!$D55,EF!$D$100:$D$115,0))*INDEX(EF!$H$116:$H$131,MATCH(Emissions!$D55,EF!$D$116:$D$131,0))*kgtoGg</f>
        <v>2.3709925987717297</v>
      </c>
      <c r="AP55" s="22">
        <f>INDEX('Activity data'!AP$24:AP$39,MATCH(Emissions!$D55,'Activity data'!$D$24:$D$39,0))*INDEX(EF!$H$84:$H$99,MATCH(Emissions!$D55,EF!$D$84:$D$99,0))*INDEX(EF!$H$100:$H$115,MATCH(Emissions!$D55,EF!$D$100:$D$115,0))*INDEX(EF!$H$116:$H$131,MATCH(Emissions!$D55,EF!$D$116:$D$131,0))*kgtoGg</f>
        <v>2.361590730824072</v>
      </c>
      <c r="AQ55" s="22">
        <f>INDEX('Activity data'!AQ$24:AQ$39,MATCH(Emissions!$D55,'Activity data'!$D$24:$D$39,0))*INDEX(EF!$H$84:$H$99,MATCH(Emissions!$D55,EF!$D$84:$D$99,0))*INDEX(EF!$H$100:$H$115,MATCH(Emissions!$D55,EF!$D$100:$D$115,0))*INDEX(EF!$H$116:$H$131,MATCH(Emissions!$D55,EF!$D$116:$D$131,0))*kgtoGg</f>
        <v>2.3521888628764129</v>
      </c>
      <c r="AR55" s="22">
        <f>INDEX('Activity data'!AR$24:AR$39,MATCH(Emissions!$D55,'Activity data'!$D$24:$D$39,0))*INDEX(EF!$H$84:$H$99,MATCH(Emissions!$D55,EF!$D$84:$D$99,0))*INDEX(EF!$H$100:$H$115,MATCH(Emissions!$D55,EF!$D$100:$D$115,0))*INDEX(EF!$H$116:$H$131,MATCH(Emissions!$D55,EF!$D$116:$D$131,0))*kgtoGg</f>
        <v>2.3427869949287543</v>
      </c>
      <c r="AS55" s="22">
        <f>INDEX('Activity data'!AS$24:AS$39,MATCH(Emissions!$D55,'Activity data'!$D$24:$D$39,0))*INDEX(EF!$H$84:$H$99,MATCH(Emissions!$D55,EF!$D$84:$D$99,0))*INDEX(EF!$H$100:$H$115,MATCH(Emissions!$D55,EF!$D$100:$D$115,0))*INDEX(EF!$H$116:$H$131,MATCH(Emissions!$D55,EF!$D$116:$D$131,0))*kgtoGg</f>
        <v>2.3333851269810957</v>
      </c>
      <c r="AT55" s="22">
        <f>INDEX('Activity data'!AT$24:AT$39,MATCH(Emissions!$D55,'Activity data'!$D$24:$D$39,0))*INDEX(EF!$H$84:$H$99,MATCH(Emissions!$D55,EF!$D$84:$D$99,0))*INDEX(EF!$H$100:$H$115,MATCH(Emissions!$D55,EF!$D$100:$D$115,0))*INDEX(EF!$H$116:$H$131,MATCH(Emissions!$D55,EF!$D$116:$D$131,0))*kgtoGg</f>
        <v>2.3239832590334371</v>
      </c>
      <c r="AU55" s="22">
        <f>INDEX('Activity data'!AU$24:AU$39,MATCH(Emissions!$D55,'Activity data'!$D$24:$D$39,0))*INDEX(EF!$H$84:$H$99,MATCH(Emissions!$D55,EF!$D$84:$D$99,0))*INDEX(EF!$H$100:$H$115,MATCH(Emissions!$D55,EF!$D$100:$D$115,0))*INDEX(EF!$H$116:$H$131,MATCH(Emissions!$D55,EF!$D$116:$D$131,0))*kgtoGg</f>
        <v>2.3145813910857793</v>
      </c>
      <c r="AV55" s="22">
        <f>INDEX('Activity data'!AV$24:AV$39,MATCH(Emissions!$D55,'Activity data'!$D$24:$D$39,0))*INDEX(EF!$H$84:$H$99,MATCH(Emissions!$D55,EF!$D$84:$D$99,0))*INDEX(EF!$H$100:$H$115,MATCH(Emissions!$D55,EF!$D$100:$D$115,0))*INDEX(EF!$H$116:$H$131,MATCH(Emissions!$D55,EF!$D$116:$D$131,0))*kgtoGg</f>
        <v>2.3051795231381202</v>
      </c>
      <c r="AW55" s="22">
        <f>INDEX('Activity data'!AW$24:AW$39,MATCH(Emissions!$D55,'Activity data'!$D$24:$D$39,0))*INDEX(EF!$H$84:$H$99,MATCH(Emissions!$D55,EF!$D$84:$D$99,0))*INDEX(EF!$H$100:$H$115,MATCH(Emissions!$D55,EF!$D$100:$D$115,0))*INDEX(EF!$H$116:$H$131,MATCH(Emissions!$D55,EF!$D$116:$D$131,0))*kgtoGg</f>
        <v>2.2957776551904616</v>
      </c>
      <c r="AX55" s="22">
        <f>INDEX('Activity data'!AX$24:AX$39,MATCH(Emissions!$D55,'Activity data'!$D$24:$D$39,0))*INDEX(EF!$H$84:$H$99,MATCH(Emissions!$D55,EF!$D$84:$D$99,0))*INDEX(EF!$H$100:$H$115,MATCH(Emissions!$D55,EF!$D$100:$D$115,0))*INDEX(EF!$H$116:$H$131,MATCH(Emissions!$D55,EF!$D$116:$D$131,0))*kgtoGg</f>
        <v>2.286375787242803</v>
      </c>
      <c r="AY55" s="22">
        <f>INDEX('Activity data'!AY$24:AY$39,MATCH(Emissions!$D55,'Activity data'!$D$24:$D$39,0))*INDEX(EF!$H$84:$H$99,MATCH(Emissions!$D55,EF!$D$84:$D$99,0))*INDEX(EF!$H$100:$H$115,MATCH(Emissions!$D55,EF!$D$100:$D$115,0))*INDEX(EF!$H$116:$H$131,MATCH(Emissions!$D55,EF!$D$116:$D$131,0))*kgtoGg</f>
        <v>2.2769739192951453</v>
      </c>
      <c r="AZ55" s="22">
        <f>INDEX('Activity data'!AZ$24:AZ$39,MATCH(Emissions!$D55,'Activity data'!$D$24:$D$39,0))*INDEX(EF!$H$84:$H$99,MATCH(Emissions!$D55,EF!$D$84:$D$99,0))*INDEX(EF!$H$100:$H$115,MATCH(Emissions!$D55,EF!$D$100:$D$115,0))*INDEX(EF!$H$116:$H$131,MATCH(Emissions!$D55,EF!$D$116:$D$131,0))*kgtoGg</f>
        <v>2.2675720513474857</v>
      </c>
      <c r="BA55" s="22">
        <f>INDEX('Activity data'!BA$24:BA$39,MATCH(Emissions!$D55,'Activity data'!$D$24:$D$39,0))*INDEX(EF!$H$84:$H$99,MATCH(Emissions!$D55,EF!$D$84:$D$99,0))*INDEX(EF!$H$100:$H$115,MATCH(Emissions!$D55,EF!$D$100:$D$115,0))*INDEX(EF!$H$116:$H$131,MATCH(Emissions!$D55,EF!$D$116:$D$131,0))*kgtoGg</f>
        <v>2.2581701833998271</v>
      </c>
      <c r="BB55" s="22">
        <f>INDEX('Activity data'!BB$24:BB$39,MATCH(Emissions!$D55,'Activity data'!$D$24:$D$39,0))*INDEX(EF!$H$84:$H$99,MATCH(Emissions!$D55,EF!$D$84:$D$99,0))*INDEX(EF!$H$100:$H$115,MATCH(Emissions!$D55,EF!$D$100:$D$115,0))*INDEX(EF!$H$116:$H$131,MATCH(Emissions!$D55,EF!$D$116:$D$131,0))*kgtoGg</f>
        <v>2.2487683154521689</v>
      </c>
      <c r="BC55" s="22">
        <f>INDEX('Activity data'!BC$24:BC$39,MATCH(Emissions!$D55,'Activity data'!$D$24:$D$39,0))*INDEX(EF!$H$84:$H$99,MATCH(Emissions!$D55,EF!$D$84:$D$99,0))*INDEX(EF!$H$100:$H$115,MATCH(Emissions!$D55,EF!$D$100:$D$115,0))*INDEX(EF!$H$116:$H$131,MATCH(Emissions!$D55,EF!$D$116:$D$131,0))*kgtoGg</f>
        <v>2.2393664475045099</v>
      </c>
      <c r="BD55" s="22">
        <f>INDEX('Activity data'!BD$24:BD$39,MATCH(Emissions!$D55,'Activity data'!$D$24:$D$39,0))*INDEX(EF!$H$84:$H$99,MATCH(Emissions!$D55,EF!$D$84:$D$99,0))*INDEX(EF!$H$100:$H$115,MATCH(Emissions!$D55,EF!$D$100:$D$115,0))*INDEX(EF!$H$116:$H$131,MATCH(Emissions!$D55,EF!$D$116:$D$131,0))*kgtoGg</f>
        <v>2.2299645795568521</v>
      </c>
      <c r="BE55" s="22">
        <f>INDEX('Activity data'!BE$24:BE$39,MATCH(Emissions!$D55,'Activity data'!$D$24:$D$39,0))*INDEX(EF!$H$84:$H$99,MATCH(Emissions!$D55,EF!$D$84:$D$99,0))*INDEX(EF!$H$100:$H$115,MATCH(Emissions!$D55,EF!$D$100:$D$115,0))*INDEX(EF!$H$116:$H$131,MATCH(Emissions!$D55,EF!$D$116:$D$131,0))*kgtoGg</f>
        <v>2.2205627116091935</v>
      </c>
      <c r="BF55" s="22">
        <f>INDEX('Activity data'!BF$24:BF$39,MATCH(Emissions!$D55,'Activity data'!$D$24:$D$39,0))*INDEX(EF!$H$84:$H$99,MATCH(Emissions!$D55,EF!$D$84:$D$99,0))*INDEX(EF!$H$100:$H$115,MATCH(Emissions!$D55,EF!$D$100:$D$115,0))*INDEX(EF!$H$116:$H$131,MATCH(Emissions!$D55,EF!$D$116:$D$131,0))*kgtoGg</f>
        <v>2.2111608436615349</v>
      </c>
      <c r="BG55" s="22">
        <f>INDEX('Activity data'!BG$24:BG$39,MATCH(Emissions!$D55,'Activity data'!$D$24:$D$39,0))*INDEX(EF!$H$84:$H$99,MATCH(Emissions!$D55,EF!$D$84:$D$99,0))*INDEX(EF!$H$100:$H$115,MATCH(Emissions!$D55,EF!$D$100:$D$115,0))*INDEX(EF!$H$116:$H$131,MATCH(Emissions!$D55,EF!$D$116:$D$131,0))*kgtoGg</f>
        <v>2.2017589757138767</v>
      </c>
      <c r="BH55" s="22">
        <f>INDEX('Activity data'!BH$24:BH$39,MATCH(Emissions!$D55,'Activity data'!$D$24:$D$39,0))*INDEX(EF!$H$84:$H$99,MATCH(Emissions!$D55,EF!$D$84:$D$99,0))*INDEX(EF!$H$100:$H$115,MATCH(Emissions!$D55,EF!$D$100:$D$115,0))*INDEX(EF!$H$116:$H$131,MATCH(Emissions!$D55,EF!$D$116:$D$131,0))*kgtoGg</f>
        <v>2.1923571077662185</v>
      </c>
      <c r="BI55" s="22">
        <f>INDEX('Activity data'!BI$24:BI$39,MATCH(Emissions!$D55,'Activity data'!$D$24:$D$39,0))*INDEX(EF!$H$84:$H$99,MATCH(Emissions!$D55,EF!$D$84:$D$99,0))*INDEX(EF!$H$100:$H$115,MATCH(Emissions!$D55,EF!$D$100:$D$115,0))*INDEX(EF!$H$116:$H$131,MATCH(Emissions!$D55,EF!$D$116:$D$131,0))*kgtoGg</f>
        <v>2.1829552398185594</v>
      </c>
      <c r="BJ55" s="22">
        <f>INDEX('Activity data'!BJ$24:BJ$39,MATCH(Emissions!$D55,'Activity data'!$D$24:$D$39,0))*INDEX(EF!$H$84:$H$99,MATCH(Emissions!$D55,EF!$D$84:$D$99,0))*INDEX(EF!$H$100:$H$115,MATCH(Emissions!$D55,EF!$D$100:$D$115,0))*INDEX(EF!$H$116:$H$131,MATCH(Emissions!$D55,EF!$D$116:$D$131,0))*kgtoGg</f>
        <v>2.1735533718709013</v>
      </c>
      <c r="BK55" s="22">
        <f>INDEX('Activity data'!BK$24:BK$39,MATCH(Emissions!$D55,'Activity data'!$D$24:$D$39,0))*INDEX(EF!$H$84:$H$99,MATCH(Emissions!$D55,EF!$D$84:$D$99,0))*INDEX(EF!$H$100:$H$115,MATCH(Emissions!$D55,EF!$D$100:$D$115,0))*INDEX(EF!$H$116:$H$131,MATCH(Emissions!$D55,EF!$D$116:$D$131,0))*kgtoGg</f>
        <v>2.1641515039232422</v>
      </c>
      <c r="BL55" s="22">
        <f>INDEX('Activity data'!BL$24:BL$39,MATCH(Emissions!$D55,'Activity data'!$D$24:$D$39,0))*INDEX(EF!$H$84:$H$99,MATCH(Emissions!$D55,EF!$D$84:$D$99,0))*INDEX(EF!$H$100:$H$115,MATCH(Emissions!$D55,EF!$D$100:$D$115,0))*INDEX(EF!$H$116:$H$131,MATCH(Emissions!$D55,EF!$D$116:$D$131,0))*kgtoGg</f>
        <v>2.154749635975584</v>
      </c>
      <c r="BM55" s="22">
        <f>INDEX('Activity data'!BM$24:BM$39,MATCH(Emissions!$D55,'Activity data'!$D$24:$D$39,0))*INDEX(EF!$H$84:$H$99,MATCH(Emissions!$D55,EF!$D$84:$D$99,0))*INDEX(EF!$H$100:$H$115,MATCH(Emissions!$D55,EF!$D$100:$D$115,0))*INDEX(EF!$H$116:$H$131,MATCH(Emissions!$D55,EF!$D$116:$D$131,0))*kgtoGg</f>
        <v>2.1453477680279254</v>
      </c>
      <c r="BN55" s="22">
        <f>INDEX('Activity data'!BN$24:BN$39,MATCH(Emissions!$D55,'Activity data'!$D$24:$D$39,0))*INDEX(EF!$H$84:$H$99,MATCH(Emissions!$D55,EF!$D$84:$D$99,0))*INDEX(EF!$H$100:$H$115,MATCH(Emissions!$D55,EF!$D$100:$D$115,0))*INDEX(EF!$H$116:$H$131,MATCH(Emissions!$D55,EF!$D$116:$D$131,0))*kgtoGg</f>
        <v>2.1359459000802667</v>
      </c>
      <c r="BO55" s="22">
        <f>INDEX('Activity data'!BO$24:BO$39,MATCH(Emissions!$D55,'Activity data'!$D$24:$D$39,0))*INDEX(EF!$H$84:$H$99,MATCH(Emissions!$D55,EF!$D$84:$D$99,0))*INDEX(EF!$H$100:$H$115,MATCH(Emissions!$D55,EF!$D$100:$D$115,0))*INDEX(EF!$H$116:$H$131,MATCH(Emissions!$D55,EF!$D$116:$D$131,0))*kgtoGg</f>
        <v>2.1265440321326086</v>
      </c>
      <c r="BP55" s="22">
        <f>INDEX('Activity data'!BP$24:BP$39,MATCH(Emissions!$D55,'Activity data'!$D$24:$D$39,0))*INDEX(EF!$H$84:$H$99,MATCH(Emissions!$D55,EF!$D$84:$D$99,0))*INDEX(EF!$H$100:$H$115,MATCH(Emissions!$D55,EF!$D$100:$D$115,0))*INDEX(EF!$H$116:$H$131,MATCH(Emissions!$D55,EF!$D$116:$D$131,0))*kgtoGg</f>
        <v>2.1171421641849504</v>
      </c>
    </row>
    <row r="56" spans="1:68" x14ac:dyDescent="0.25">
      <c r="A56" t="str">
        <f t="shared" ref="A56:A60" si="13">A55</f>
        <v>3C Aggregated and non-CO2 emissions on land</v>
      </c>
      <c r="B56" t="str">
        <f t="shared" ref="B56:B59" si="14">B55</f>
        <v>3C1 Biomass burning (CH4)</v>
      </c>
      <c r="C56" t="str">
        <f t="shared" ref="C56:C57" si="15">C55</f>
        <v>3C1a Biomass burning in forest land</v>
      </c>
      <c r="D56" t="str">
        <f>EF!D86</f>
        <v>Woodlands</v>
      </c>
      <c r="E56" t="s">
        <v>649</v>
      </c>
      <c r="F56" t="str">
        <f t="shared" ref="F56:F59" si="16">F55</f>
        <v>CH4</v>
      </c>
      <c r="G56" t="str">
        <f t="shared" ref="G56:G59" si="17">G55</f>
        <v>Gg CH4</v>
      </c>
      <c r="H56" s="22">
        <f>INDEX('Activity data'!H$24:H$39,MATCH(Emissions!$D56,'Activity data'!$D$24:$D$39,0))*INDEX(EF!$H$84:$H$99,MATCH(Emissions!$D56,EF!$D$84:$D$99,0))*INDEX(EF!$H$100:$H$115,MATCH(Emissions!$D56,EF!$D$100:$D$115,0))*INDEX(EF!$H$116:$H$131,MATCH(Emissions!$D56,EF!$D$116:$D$131,0))*kgtoGg</f>
        <v>5.6531469914652028</v>
      </c>
      <c r="I56" s="22">
        <f>INDEX('Activity data'!I$24:I$39,MATCH(Emissions!$D56,'Activity data'!$D$24:$D$39,0))*INDEX(EF!$H$84:$H$99,MATCH(Emissions!$D56,EF!$D$84:$D$99,0))*INDEX(EF!$H$100:$H$115,MATCH(Emissions!$D56,EF!$D$100:$D$115,0))*INDEX(EF!$H$116:$H$131,MATCH(Emissions!$D56,EF!$D$116:$D$131,0))*kgtoGg</f>
        <v>5.6531469914652028</v>
      </c>
      <c r="J56" s="22">
        <f>INDEX('Activity data'!J$24:J$39,MATCH(Emissions!$D56,'Activity data'!$D$24:$D$39,0))*INDEX(EF!$H$84:$H$99,MATCH(Emissions!$D56,EF!$D$84:$D$99,0))*INDEX(EF!$H$100:$H$115,MATCH(Emissions!$D56,EF!$D$100:$D$115,0))*INDEX(EF!$H$116:$H$131,MATCH(Emissions!$D56,EF!$D$116:$D$131,0))*kgtoGg</f>
        <v>5.6531469914652028</v>
      </c>
      <c r="K56" s="22">
        <f>INDEX('Activity data'!K$24:K$39,MATCH(Emissions!$D56,'Activity data'!$D$24:$D$39,0))*INDEX(EF!$H$84:$H$99,MATCH(Emissions!$D56,EF!$D$84:$D$99,0))*INDEX(EF!$H$100:$H$115,MATCH(Emissions!$D56,EF!$D$100:$D$115,0))*INDEX(EF!$H$116:$H$131,MATCH(Emissions!$D56,EF!$D$116:$D$131,0))*kgtoGg</f>
        <v>5.6531469914652028</v>
      </c>
      <c r="L56" s="22">
        <f>INDEX('Activity data'!L$24:L$39,MATCH(Emissions!$D56,'Activity data'!$D$24:$D$39,0))*INDEX(EF!$H$84:$H$99,MATCH(Emissions!$D56,EF!$D$84:$D$99,0))*INDEX(EF!$H$100:$H$115,MATCH(Emissions!$D56,EF!$D$100:$D$115,0))*INDEX(EF!$H$116:$H$131,MATCH(Emissions!$D56,EF!$D$116:$D$131,0))*kgtoGg</f>
        <v>5.6531469914652028</v>
      </c>
      <c r="M56" s="22">
        <f>INDEX('Activity data'!M$24:M$39,MATCH(Emissions!$D56,'Activity data'!$D$24:$D$39,0))*INDEX(EF!$H$84:$H$99,MATCH(Emissions!$D56,EF!$D$84:$D$99,0))*INDEX(EF!$H$100:$H$115,MATCH(Emissions!$D56,EF!$D$100:$D$115,0))*INDEX(EF!$H$116:$H$131,MATCH(Emissions!$D56,EF!$D$116:$D$131,0))*kgtoGg</f>
        <v>5.6531469914652028</v>
      </c>
      <c r="N56" s="22">
        <f>INDEX('Activity data'!N$24:N$39,MATCH(Emissions!$D56,'Activity data'!$D$24:$D$39,0))*INDEX(EF!$H$84:$H$99,MATCH(Emissions!$D56,EF!$D$84:$D$99,0))*INDEX(EF!$H$100:$H$115,MATCH(Emissions!$D56,EF!$D$100:$D$115,0))*INDEX(EF!$H$116:$H$131,MATCH(Emissions!$D56,EF!$D$116:$D$131,0))*kgtoGg</f>
        <v>5.6531469914652028</v>
      </c>
      <c r="O56" s="22">
        <f>INDEX('Activity data'!O$24:O$39,MATCH(Emissions!$D56,'Activity data'!$D$24:$D$39,0))*INDEX(EF!$H$84:$H$99,MATCH(Emissions!$D56,EF!$D$84:$D$99,0))*INDEX(EF!$H$100:$H$115,MATCH(Emissions!$D56,EF!$D$100:$D$115,0))*INDEX(EF!$H$116:$H$131,MATCH(Emissions!$D56,EF!$D$116:$D$131,0))*kgtoGg</f>
        <v>5.6531469914652028</v>
      </c>
      <c r="P56" s="22">
        <f>INDEX('Activity data'!P$24:P$39,MATCH(Emissions!$D56,'Activity data'!$D$24:$D$39,0))*INDEX(EF!$H$84:$H$99,MATCH(Emissions!$D56,EF!$D$84:$D$99,0))*INDEX(EF!$H$100:$H$115,MATCH(Emissions!$D56,EF!$D$100:$D$115,0))*INDEX(EF!$H$116:$H$131,MATCH(Emissions!$D56,EF!$D$116:$D$131,0))*kgtoGg</f>
        <v>5.6531469914652028</v>
      </c>
      <c r="Q56" s="22">
        <f>INDEX('Activity data'!Q$24:Q$39,MATCH(Emissions!$D56,'Activity data'!$D$24:$D$39,0))*INDEX(EF!$H$84:$H$99,MATCH(Emissions!$D56,EF!$D$84:$D$99,0))*INDEX(EF!$H$100:$H$115,MATCH(Emissions!$D56,EF!$D$100:$D$115,0))*INDEX(EF!$H$116:$H$131,MATCH(Emissions!$D56,EF!$D$116:$D$131,0))*kgtoGg</f>
        <v>5.6531469914652028</v>
      </c>
      <c r="R56" s="22">
        <f>INDEX('Activity data'!R$24:R$39,MATCH(Emissions!$D56,'Activity data'!$D$24:$D$39,0))*INDEX(EF!$H$84:$H$99,MATCH(Emissions!$D56,EF!$D$84:$D$99,0))*INDEX(EF!$H$100:$H$115,MATCH(Emissions!$D56,EF!$D$100:$D$115,0))*INDEX(EF!$H$116:$H$131,MATCH(Emissions!$D56,EF!$D$116:$D$131,0))*kgtoGg</f>
        <v>5.9201330160969858</v>
      </c>
      <c r="S56" s="22">
        <f>INDEX('Activity data'!S$24:S$39,MATCH(Emissions!$D56,'Activity data'!$D$24:$D$39,0))*INDEX(EF!$H$84:$H$99,MATCH(Emissions!$D56,EF!$D$84:$D$99,0))*INDEX(EF!$H$100:$H$115,MATCH(Emissions!$D56,EF!$D$100:$D$115,0))*INDEX(EF!$H$116:$H$131,MATCH(Emissions!$D56,EF!$D$116:$D$131,0))*kgtoGg</f>
        <v>8.5137755895560279</v>
      </c>
      <c r="T56" s="22">
        <f>INDEX('Activity data'!T$24:T$39,MATCH(Emissions!$D56,'Activity data'!$D$24:$D$39,0))*INDEX(EF!$H$84:$H$99,MATCH(Emissions!$D56,EF!$D$84:$D$99,0))*INDEX(EF!$H$100:$H$115,MATCH(Emissions!$D56,EF!$D$100:$D$115,0))*INDEX(EF!$H$116:$H$131,MATCH(Emissions!$D56,EF!$D$116:$D$131,0))*kgtoGg</f>
        <v>6.5840487252639006</v>
      </c>
      <c r="U56" s="22">
        <f>INDEX('Activity data'!U$24:U$39,MATCH(Emissions!$D56,'Activity data'!$D$24:$D$39,0))*INDEX(EF!$H$84:$H$99,MATCH(Emissions!$D56,EF!$D$84:$D$99,0))*INDEX(EF!$H$100:$H$115,MATCH(Emissions!$D56,EF!$D$100:$D$115,0))*INDEX(EF!$H$116:$H$131,MATCH(Emissions!$D56,EF!$D$116:$D$131,0))*kgtoGg</f>
        <v>2.5247104134470595</v>
      </c>
      <c r="V56" s="22">
        <f>INDEX('Activity data'!V$24:V$39,MATCH(Emissions!$D56,'Activity data'!$D$24:$D$39,0))*INDEX(EF!$H$84:$H$99,MATCH(Emissions!$D56,EF!$D$84:$D$99,0))*INDEX(EF!$H$100:$H$115,MATCH(Emissions!$D56,EF!$D$100:$D$115,0))*INDEX(EF!$H$116:$H$131,MATCH(Emissions!$D56,EF!$D$116:$D$131,0))*kgtoGg</f>
        <v>4.7230672129620421</v>
      </c>
      <c r="W56" s="22">
        <f>INDEX('Activity data'!W$24:W$39,MATCH(Emissions!$D56,'Activity data'!$D$24:$D$39,0))*INDEX(EF!$H$84:$H$99,MATCH(Emissions!$D56,EF!$D$84:$D$99,0))*INDEX(EF!$H$100:$H$115,MATCH(Emissions!$D56,EF!$D$100:$D$115,0))*INDEX(EF!$H$116:$H$131,MATCH(Emissions!$D56,EF!$D$116:$D$131,0))*kgtoGg</f>
        <v>7.9744608308714833</v>
      </c>
      <c r="X56" s="22">
        <f>INDEX('Activity data'!X$24:X$39,MATCH(Emissions!$D56,'Activity data'!$D$24:$D$39,0))*INDEX(EF!$H$84:$H$99,MATCH(Emissions!$D56,EF!$D$84:$D$99,0))*INDEX(EF!$H$100:$H$115,MATCH(Emissions!$D56,EF!$D$100:$D$115,0))*INDEX(EF!$H$116:$H$131,MATCH(Emissions!$D56,EF!$D$116:$D$131,0))*kgtoGg</f>
        <v>6.9184350841296229</v>
      </c>
      <c r="Y56" s="22">
        <f>INDEX('Activity data'!Y$24:Y$39,MATCH(Emissions!$D56,'Activity data'!$D$24:$D$39,0))*INDEX(EF!$H$84:$H$99,MATCH(Emissions!$D56,EF!$D$84:$D$99,0))*INDEX(EF!$H$100:$H$115,MATCH(Emissions!$D56,EF!$D$100:$D$115,0))*INDEX(EF!$H$116:$H$131,MATCH(Emissions!$D56,EF!$D$116:$D$131,0))*kgtoGg</f>
        <v>3.9808789426975095</v>
      </c>
      <c r="Z56" s="22">
        <f>INDEX('Activity data'!Z$24:Z$39,MATCH(Emissions!$D56,'Activity data'!$D$24:$D$39,0))*INDEX(EF!$H$84:$H$99,MATCH(Emissions!$D56,EF!$D$84:$D$99,0))*INDEX(EF!$H$100:$H$115,MATCH(Emissions!$D56,EF!$D$100:$D$115,0))*INDEX(EF!$H$116:$H$131,MATCH(Emissions!$D56,EF!$D$116:$D$131,0))*kgtoGg</f>
        <v>7.1887462915478917</v>
      </c>
      <c r="AA56" s="22">
        <f>INDEX('Activity data'!AA$24:AA$39,MATCH(Emissions!$D56,'Activity data'!$D$24:$D$39,0))*INDEX(EF!$H$84:$H$99,MATCH(Emissions!$D56,EF!$D$84:$D$99,0))*INDEX(EF!$H$100:$H$115,MATCH(Emissions!$D56,EF!$D$100:$D$115,0))*INDEX(EF!$H$116:$H$131,MATCH(Emissions!$D56,EF!$D$116:$D$131,0))*kgtoGg</f>
        <v>4.7368910065687819</v>
      </c>
      <c r="AB56" s="22">
        <f>INDEX('Activity data'!AB$24:AB$39,MATCH(Emissions!$D56,'Activity data'!$D$24:$D$39,0))*INDEX(EF!$H$84:$H$99,MATCH(Emissions!$D56,EF!$D$84:$D$99,0))*INDEX(EF!$H$100:$H$115,MATCH(Emissions!$D56,EF!$D$100:$D$115,0))*INDEX(EF!$H$116:$H$131,MATCH(Emissions!$D56,EF!$D$116:$D$131,0))*kgtoGg</f>
        <v>6.6733368768000005</v>
      </c>
      <c r="AC56" s="22">
        <f>INDEX('Activity data'!AC$24:AC$39,MATCH(Emissions!$D56,'Activity data'!$D$24:$D$39,0))*INDEX(EF!$H$84:$H$99,MATCH(Emissions!$D56,EF!$D$84:$D$99,0))*INDEX(EF!$H$100:$H$115,MATCH(Emissions!$D56,EF!$D$100:$D$115,0))*INDEX(EF!$H$116:$H$131,MATCH(Emissions!$D56,EF!$D$116:$D$131,0))*kgtoGg</f>
        <v>6.10643382624</v>
      </c>
      <c r="AD56" s="22">
        <f>INDEX('Activity data'!AD$24:AD$39,MATCH(Emissions!$D56,'Activity data'!$D$24:$D$39,0))*INDEX(EF!$H$84:$H$99,MATCH(Emissions!$D56,EF!$D$84:$D$99,0))*INDEX(EF!$H$100:$H$115,MATCH(Emissions!$D56,EF!$D$100:$D$115,0))*INDEX(EF!$H$116:$H$131,MATCH(Emissions!$D56,EF!$D$116:$D$131,0))*kgtoGg</f>
        <v>5.3510399287184214</v>
      </c>
      <c r="AE56" s="22">
        <f>INDEX('Activity data'!AE$24:AE$39,MATCH(Emissions!$D56,'Activity data'!$D$24:$D$39,0))*INDEX(EF!$H$84:$H$99,MATCH(Emissions!$D56,EF!$D$84:$D$99,0))*INDEX(EF!$H$100:$H$115,MATCH(Emissions!$D56,EF!$D$100:$D$115,0))*INDEX(EF!$H$116:$H$131,MATCH(Emissions!$D56,EF!$D$116:$D$131,0))*kgtoGg</f>
        <v>5.3742516929070261</v>
      </c>
      <c r="AF56" s="22">
        <f>INDEX('Activity data'!AF$24:AF$39,MATCH(Emissions!$D56,'Activity data'!$D$24:$D$39,0))*INDEX(EF!$H$84:$H$99,MATCH(Emissions!$D56,EF!$D$84:$D$99,0))*INDEX(EF!$H$100:$H$115,MATCH(Emissions!$D56,EF!$D$100:$D$115,0))*INDEX(EF!$H$116:$H$131,MATCH(Emissions!$D56,EF!$D$116:$D$131,0))*kgtoGg</f>
        <v>5.3974634570956326</v>
      </c>
      <c r="AG56" s="22">
        <f>INDEX('Activity data'!AG$24:AG$39,MATCH(Emissions!$D56,'Activity data'!$D$24:$D$39,0))*INDEX(EF!$H$84:$H$99,MATCH(Emissions!$D56,EF!$D$84:$D$99,0))*INDEX(EF!$H$100:$H$115,MATCH(Emissions!$D56,EF!$D$100:$D$115,0))*INDEX(EF!$H$116:$H$131,MATCH(Emissions!$D56,EF!$D$116:$D$131,0))*kgtoGg</f>
        <v>5.4125487939059873</v>
      </c>
      <c r="AH56" s="22">
        <f>INDEX('Activity data'!AH$24:AH$39,MATCH(Emissions!$D56,'Activity data'!$D$24:$D$39,0))*INDEX(EF!$H$84:$H$99,MATCH(Emissions!$D56,EF!$D$84:$D$99,0))*INDEX(EF!$H$100:$H$115,MATCH(Emissions!$D56,EF!$D$100:$D$115,0))*INDEX(EF!$H$116:$H$131,MATCH(Emissions!$D56,EF!$D$116:$D$131,0))*kgtoGg</f>
        <v>5.4276341307163429</v>
      </c>
      <c r="AI56" s="22">
        <f>INDEX('Activity data'!AI$24:AI$39,MATCH(Emissions!$D56,'Activity data'!$D$24:$D$39,0))*INDEX(EF!$H$84:$H$99,MATCH(Emissions!$D56,EF!$D$84:$D$99,0))*INDEX(EF!$H$100:$H$115,MATCH(Emissions!$D56,EF!$D$100:$D$115,0))*INDEX(EF!$H$116:$H$131,MATCH(Emissions!$D56,EF!$D$116:$D$131,0))*kgtoGg</f>
        <v>5.4427194675266994</v>
      </c>
      <c r="AJ56" s="22">
        <f>INDEX('Activity data'!AJ$24:AJ$39,MATCH(Emissions!$D56,'Activity data'!$D$24:$D$39,0))*INDEX(EF!$H$84:$H$99,MATCH(Emissions!$D56,EF!$D$84:$D$99,0))*INDEX(EF!$H$100:$H$115,MATCH(Emissions!$D56,EF!$D$100:$D$115,0))*INDEX(EF!$H$116:$H$131,MATCH(Emissions!$D56,EF!$D$116:$D$131,0))*kgtoGg</f>
        <v>5.4578048043370542</v>
      </c>
      <c r="AK56" s="22">
        <f>INDEX('Activity data'!AK$24:AK$39,MATCH(Emissions!$D56,'Activity data'!$D$24:$D$39,0))*INDEX(EF!$H$84:$H$99,MATCH(Emissions!$D56,EF!$D$84:$D$99,0))*INDEX(EF!$H$100:$H$115,MATCH(Emissions!$D56,EF!$D$100:$D$115,0))*INDEX(EF!$H$116:$H$131,MATCH(Emissions!$D56,EF!$D$116:$D$131,0))*kgtoGg</f>
        <v>5.4721021728236936</v>
      </c>
      <c r="AL56" s="22">
        <f>INDEX('Activity data'!AL$24:AL$39,MATCH(Emissions!$D56,'Activity data'!$D$24:$D$39,0))*INDEX(EF!$H$84:$H$99,MATCH(Emissions!$D56,EF!$D$84:$D$99,0))*INDEX(EF!$H$100:$H$115,MATCH(Emissions!$D56,EF!$D$100:$D$115,0))*INDEX(EF!$H$116:$H$131,MATCH(Emissions!$D56,EF!$D$116:$D$131,0))*kgtoGg</f>
        <v>5.4863995413103339</v>
      </c>
      <c r="AM56" s="22">
        <f>INDEX('Activity data'!AM$24:AM$39,MATCH(Emissions!$D56,'Activity data'!$D$24:$D$39,0))*INDEX(EF!$H$84:$H$99,MATCH(Emissions!$D56,EF!$D$84:$D$99,0))*INDEX(EF!$H$100:$H$115,MATCH(Emissions!$D56,EF!$D$100:$D$115,0))*INDEX(EF!$H$116:$H$131,MATCH(Emissions!$D56,EF!$D$116:$D$131,0))*kgtoGg</f>
        <v>5.5006969097969725</v>
      </c>
      <c r="AN56" s="22">
        <f>INDEX('Activity data'!AN$24:AN$39,MATCH(Emissions!$D56,'Activity data'!$D$24:$D$39,0))*INDEX(EF!$H$84:$H$99,MATCH(Emissions!$D56,EF!$D$84:$D$99,0))*INDEX(EF!$H$100:$H$115,MATCH(Emissions!$D56,EF!$D$100:$D$115,0))*INDEX(EF!$H$116:$H$131,MATCH(Emissions!$D56,EF!$D$116:$D$131,0))*kgtoGg</f>
        <v>5.5149942782836128</v>
      </c>
      <c r="AO56" s="22">
        <f>INDEX('Activity data'!AO$24:AO$39,MATCH(Emissions!$D56,'Activity data'!$D$24:$D$39,0))*INDEX(EF!$H$84:$H$99,MATCH(Emissions!$D56,EF!$D$84:$D$99,0))*INDEX(EF!$H$100:$H$115,MATCH(Emissions!$D56,EF!$D$100:$D$115,0))*INDEX(EF!$H$116:$H$131,MATCH(Emissions!$D56,EF!$D$116:$D$131,0))*kgtoGg</f>
        <v>5.5292916467702513</v>
      </c>
      <c r="AP56" s="22">
        <f>INDEX('Activity data'!AP$24:AP$39,MATCH(Emissions!$D56,'Activity data'!$D$24:$D$39,0))*INDEX(EF!$H$84:$H$99,MATCH(Emissions!$D56,EF!$D$84:$D$99,0))*INDEX(EF!$H$100:$H$115,MATCH(Emissions!$D56,EF!$D$100:$D$115,0))*INDEX(EF!$H$116:$H$131,MATCH(Emissions!$D56,EF!$D$116:$D$131,0))*kgtoGg</f>
        <v>5.5435890152568925</v>
      </c>
      <c r="AQ56" s="22">
        <f>INDEX('Activity data'!AQ$24:AQ$39,MATCH(Emissions!$D56,'Activity data'!$D$24:$D$39,0))*INDEX(EF!$H$84:$H$99,MATCH(Emissions!$D56,EF!$D$84:$D$99,0))*INDEX(EF!$H$100:$H$115,MATCH(Emissions!$D56,EF!$D$100:$D$115,0))*INDEX(EF!$H$116:$H$131,MATCH(Emissions!$D56,EF!$D$116:$D$131,0))*kgtoGg</f>
        <v>5.5578863837435319</v>
      </c>
      <c r="AR56" s="22">
        <f>INDEX('Activity data'!AR$24:AR$39,MATCH(Emissions!$D56,'Activity data'!$D$24:$D$39,0))*INDEX(EF!$H$84:$H$99,MATCH(Emissions!$D56,EF!$D$84:$D$99,0))*INDEX(EF!$H$100:$H$115,MATCH(Emissions!$D56,EF!$D$100:$D$115,0))*INDEX(EF!$H$116:$H$131,MATCH(Emissions!$D56,EF!$D$116:$D$131,0))*kgtoGg</f>
        <v>5.5721837522301714</v>
      </c>
      <c r="AS56" s="22">
        <f>INDEX('Activity data'!AS$24:AS$39,MATCH(Emissions!$D56,'Activity data'!$D$24:$D$39,0))*INDEX(EF!$H$84:$H$99,MATCH(Emissions!$D56,EF!$D$84:$D$99,0))*INDEX(EF!$H$100:$H$115,MATCH(Emissions!$D56,EF!$D$100:$D$115,0))*INDEX(EF!$H$116:$H$131,MATCH(Emissions!$D56,EF!$D$116:$D$131,0))*kgtoGg</f>
        <v>5.5864811207168108</v>
      </c>
      <c r="AT56" s="22">
        <f>INDEX('Activity data'!AT$24:AT$39,MATCH(Emissions!$D56,'Activity data'!$D$24:$D$39,0))*INDEX(EF!$H$84:$H$99,MATCH(Emissions!$D56,EF!$D$84:$D$99,0))*INDEX(EF!$H$100:$H$115,MATCH(Emissions!$D56,EF!$D$100:$D$115,0))*INDEX(EF!$H$116:$H$131,MATCH(Emissions!$D56,EF!$D$116:$D$131,0))*kgtoGg</f>
        <v>5.600778489203452</v>
      </c>
      <c r="AU56" s="22">
        <f>INDEX('Activity data'!AU$24:AU$39,MATCH(Emissions!$D56,'Activity data'!$D$24:$D$39,0))*INDEX(EF!$H$84:$H$99,MATCH(Emissions!$D56,EF!$D$84:$D$99,0))*INDEX(EF!$H$100:$H$115,MATCH(Emissions!$D56,EF!$D$100:$D$115,0))*INDEX(EF!$H$116:$H$131,MATCH(Emissions!$D56,EF!$D$116:$D$131,0))*kgtoGg</f>
        <v>5.6150758576900932</v>
      </c>
      <c r="AV56" s="22">
        <f>INDEX('Activity data'!AV$24:AV$39,MATCH(Emissions!$D56,'Activity data'!$D$24:$D$39,0))*INDEX(EF!$H$84:$H$99,MATCH(Emissions!$D56,EF!$D$84:$D$99,0))*INDEX(EF!$H$100:$H$115,MATCH(Emissions!$D56,EF!$D$100:$D$115,0))*INDEX(EF!$H$116:$H$131,MATCH(Emissions!$D56,EF!$D$116:$D$131,0))*kgtoGg</f>
        <v>5.6293732261767309</v>
      </c>
      <c r="AW56" s="22">
        <f>INDEX('Activity data'!AW$24:AW$39,MATCH(Emissions!$D56,'Activity data'!$D$24:$D$39,0))*INDEX(EF!$H$84:$H$99,MATCH(Emissions!$D56,EF!$D$84:$D$99,0))*INDEX(EF!$H$100:$H$115,MATCH(Emissions!$D56,EF!$D$100:$D$115,0))*INDEX(EF!$H$116:$H$131,MATCH(Emissions!$D56,EF!$D$116:$D$131,0))*kgtoGg</f>
        <v>5.6436705946633712</v>
      </c>
      <c r="AX56" s="22">
        <f>INDEX('Activity data'!AX$24:AX$39,MATCH(Emissions!$D56,'Activity data'!$D$24:$D$39,0))*INDEX(EF!$H$84:$H$99,MATCH(Emissions!$D56,EF!$D$84:$D$99,0))*INDEX(EF!$H$100:$H$115,MATCH(Emissions!$D56,EF!$D$100:$D$115,0))*INDEX(EF!$H$116:$H$131,MATCH(Emissions!$D56,EF!$D$116:$D$131,0))*kgtoGg</f>
        <v>5.6579679631500115</v>
      </c>
      <c r="AY56" s="22">
        <f>INDEX('Activity data'!AY$24:AY$39,MATCH(Emissions!$D56,'Activity data'!$D$24:$D$39,0))*INDEX(EF!$H$84:$H$99,MATCH(Emissions!$D56,EF!$D$84:$D$99,0))*INDEX(EF!$H$100:$H$115,MATCH(Emissions!$D56,EF!$D$100:$D$115,0))*INDEX(EF!$H$116:$H$131,MATCH(Emissions!$D56,EF!$D$116:$D$131,0))*kgtoGg</f>
        <v>5.6722653316366509</v>
      </c>
      <c r="AZ56" s="22">
        <f>INDEX('Activity data'!AZ$24:AZ$39,MATCH(Emissions!$D56,'Activity data'!$D$24:$D$39,0))*INDEX(EF!$H$84:$H$99,MATCH(Emissions!$D56,EF!$D$84:$D$99,0))*INDEX(EF!$H$100:$H$115,MATCH(Emissions!$D56,EF!$D$100:$D$115,0))*INDEX(EF!$H$116:$H$131,MATCH(Emissions!$D56,EF!$D$116:$D$131,0))*kgtoGg</f>
        <v>5.6865627001232912</v>
      </c>
      <c r="BA56" s="22">
        <f>INDEX('Activity data'!BA$24:BA$39,MATCH(Emissions!$D56,'Activity data'!$D$24:$D$39,0))*INDEX(EF!$H$84:$H$99,MATCH(Emissions!$D56,EF!$D$84:$D$99,0))*INDEX(EF!$H$100:$H$115,MATCH(Emissions!$D56,EF!$D$100:$D$115,0))*INDEX(EF!$H$116:$H$131,MATCH(Emissions!$D56,EF!$D$116:$D$131,0))*kgtoGg</f>
        <v>5.7008600686099316</v>
      </c>
      <c r="BB56" s="22">
        <f>INDEX('Activity data'!BB$24:BB$39,MATCH(Emissions!$D56,'Activity data'!$D$24:$D$39,0))*INDEX(EF!$H$84:$H$99,MATCH(Emissions!$D56,EF!$D$84:$D$99,0))*INDEX(EF!$H$100:$H$115,MATCH(Emissions!$D56,EF!$D$100:$D$115,0))*INDEX(EF!$H$116:$H$131,MATCH(Emissions!$D56,EF!$D$116:$D$131,0))*kgtoGg</f>
        <v>5.7151574370965701</v>
      </c>
      <c r="BC56" s="22">
        <f>INDEX('Activity data'!BC$24:BC$39,MATCH(Emissions!$D56,'Activity data'!$D$24:$D$39,0))*INDEX(EF!$H$84:$H$99,MATCH(Emissions!$D56,EF!$D$84:$D$99,0))*INDEX(EF!$H$100:$H$115,MATCH(Emissions!$D56,EF!$D$100:$D$115,0))*INDEX(EF!$H$116:$H$131,MATCH(Emissions!$D56,EF!$D$116:$D$131,0))*kgtoGg</f>
        <v>5.7294548055832104</v>
      </c>
      <c r="BD56" s="22">
        <f>INDEX('Activity data'!BD$24:BD$39,MATCH(Emissions!$D56,'Activity data'!$D$24:$D$39,0))*INDEX(EF!$H$84:$H$99,MATCH(Emissions!$D56,EF!$D$84:$D$99,0))*INDEX(EF!$H$100:$H$115,MATCH(Emissions!$D56,EF!$D$100:$D$115,0))*INDEX(EF!$H$116:$H$131,MATCH(Emissions!$D56,EF!$D$116:$D$131,0))*kgtoGg</f>
        <v>5.7437521740698498</v>
      </c>
      <c r="BE56" s="22">
        <f>INDEX('Activity data'!BE$24:BE$39,MATCH(Emissions!$D56,'Activity data'!$D$24:$D$39,0))*INDEX(EF!$H$84:$H$99,MATCH(Emissions!$D56,EF!$D$84:$D$99,0))*INDEX(EF!$H$100:$H$115,MATCH(Emissions!$D56,EF!$D$100:$D$115,0))*INDEX(EF!$H$116:$H$131,MATCH(Emissions!$D56,EF!$D$116:$D$131,0))*kgtoGg</f>
        <v>5.7580495425564893</v>
      </c>
      <c r="BF56" s="22">
        <f>INDEX('Activity data'!BF$24:BF$39,MATCH(Emissions!$D56,'Activity data'!$D$24:$D$39,0))*INDEX(EF!$H$84:$H$99,MATCH(Emissions!$D56,EF!$D$84:$D$99,0))*INDEX(EF!$H$100:$H$115,MATCH(Emissions!$D56,EF!$D$100:$D$115,0))*INDEX(EF!$H$116:$H$131,MATCH(Emissions!$D56,EF!$D$116:$D$131,0))*kgtoGg</f>
        <v>5.7723469110431305</v>
      </c>
      <c r="BG56" s="22">
        <f>INDEX('Activity data'!BG$24:BG$39,MATCH(Emissions!$D56,'Activity data'!$D$24:$D$39,0))*INDEX(EF!$H$84:$H$99,MATCH(Emissions!$D56,EF!$D$84:$D$99,0))*INDEX(EF!$H$100:$H$115,MATCH(Emissions!$D56,EF!$D$100:$D$115,0))*INDEX(EF!$H$116:$H$131,MATCH(Emissions!$D56,EF!$D$116:$D$131,0))*kgtoGg</f>
        <v>5.7866442795297708</v>
      </c>
      <c r="BH56" s="22">
        <f>INDEX('Activity data'!BH$24:BH$39,MATCH(Emissions!$D56,'Activity data'!$D$24:$D$39,0))*INDEX(EF!$H$84:$H$99,MATCH(Emissions!$D56,EF!$D$84:$D$99,0))*INDEX(EF!$H$100:$H$115,MATCH(Emissions!$D56,EF!$D$100:$D$115,0))*INDEX(EF!$H$116:$H$131,MATCH(Emissions!$D56,EF!$D$116:$D$131,0))*kgtoGg</f>
        <v>5.8009416480164102</v>
      </c>
      <c r="BI56" s="22">
        <f>INDEX('Activity data'!BI$24:BI$39,MATCH(Emissions!$D56,'Activity data'!$D$24:$D$39,0))*INDEX(EF!$H$84:$H$99,MATCH(Emissions!$D56,EF!$D$84:$D$99,0))*INDEX(EF!$H$100:$H$115,MATCH(Emissions!$D56,EF!$D$100:$D$115,0))*INDEX(EF!$H$116:$H$131,MATCH(Emissions!$D56,EF!$D$116:$D$131,0))*kgtoGg</f>
        <v>5.8152390165030496</v>
      </c>
      <c r="BJ56" s="22">
        <f>INDEX('Activity data'!BJ$24:BJ$39,MATCH(Emissions!$D56,'Activity data'!$D$24:$D$39,0))*INDEX(EF!$H$84:$H$99,MATCH(Emissions!$D56,EF!$D$84:$D$99,0))*INDEX(EF!$H$100:$H$115,MATCH(Emissions!$D56,EF!$D$100:$D$115,0))*INDEX(EF!$H$116:$H$131,MATCH(Emissions!$D56,EF!$D$116:$D$131,0))*kgtoGg</f>
        <v>5.82953638498969</v>
      </c>
      <c r="BK56" s="22">
        <f>INDEX('Activity data'!BK$24:BK$39,MATCH(Emissions!$D56,'Activity data'!$D$24:$D$39,0))*INDEX(EF!$H$84:$H$99,MATCH(Emissions!$D56,EF!$D$84:$D$99,0))*INDEX(EF!$H$100:$H$115,MATCH(Emissions!$D56,EF!$D$100:$D$115,0))*INDEX(EF!$H$116:$H$131,MATCH(Emissions!$D56,EF!$D$116:$D$131,0))*kgtoGg</f>
        <v>5.8438337534763294</v>
      </c>
      <c r="BL56" s="22">
        <f>INDEX('Activity data'!BL$24:BL$39,MATCH(Emissions!$D56,'Activity data'!$D$24:$D$39,0))*INDEX(EF!$H$84:$H$99,MATCH(Emissions!$D56,EF!$D$84:$D$99,0))*INDEX(EF!$H$100:$H$115,MATCH(Emissions!$D56,EF!$D$100:$D$115,0))*INDEX(EF!$H$116:$H$131,MATCH(Emissions!$D56,EF!$D$116:$D$131,0))*kgtoGg</f>
        <v>5.8581311219629697</v>
      </c>
      <c r="BM56" s="22">
        <f>INDEX('Activity data'!BM$24:BM$39,MATCH(Emissions!$D56,'Activity data'!$D$24:$D$39,0))*INDEX(EF!$H$84:$H$99,MATCH(Emissions!$D56,EF!$D$84:$D$99,0))*INDEX(EF!$H$100:$H$115,MATCH(Emissions!$D56,EF!$D$100:$D$115,0))*INDEX(EF!$H$116:$H$131,MATCH(Emissions!$D56,EF!$D$116:$D$131,0))*kgtoGg</f>
        <v>5.8724284904496109</v>
      </c>
      <c r="BN56" s="22">
        <f>INDEX('Activity data'!BN$24:BN$39,MATCH(Emissions!$D56,'Activity data'!$D$24:$D$39,0))*INDEX(EF!$H$84:$H$99,MATCH(Emissions!$D56,EF!$D$84:$D$99,0))*INDEX(EF!$H$100:$H$115,MATCH(Emissions!$D56,EF!$D$100:$D$115,0))*INDEX(EF!$H$116:$H$131,MATCH(Emissions!$D56,EF!$D$116:$D$131,0))*kgtoGg</f>
        <v>5.8867258589362494</v>
      </c>
      <c r="BO56" s="22">
        <f>INDEX('Activity data'!BO$24:BO$39,MATCH(Emissions!$D56,'Activity data'!$D$24:$D$39,0))*INDEX(EF!$H$84:$H$99,MATCH(Emissions!$D56,EF!$D$84:$D$99,0))*INDEX(EF!$H$100:$H$115,MATCH(Emissions!$D56,EF!$D$100:$D$115,0))*INDEX(EF!$H$116:$H$131,MATCH(Emissions!$D56,EF!$D$116:$D$131,0))*kgtoGg</f>
        <v>5.9010232274228898</v>
      </c>
      <c r="BP56" s="22">
        <f>INDEX('Activity data'!BP$24:BP$39,MATCH(Emissions!$D56,'Activity data'!$D$24:$D$39,0))*INDEX(EF!$H$84:$H$99,MATCH(Emissions!$D56,EF!$D$84:$D$99,0))*INDEX(EF!$H$100:$H$115,MATCH(Emissions!$D56,EF!$D$100:$D$115,0))*INDEX(EF!$H$116:$H$131,MATCH(Emissions!$D56,EF!$D$116:$D$131,0))*kgtoGg</f>
        <v>5.9153205959095292</v>
      </c>
    </row>
    <row r="57" spans="1:68" x14ac:dyDescent="0.25">
      <c r="A57" t="str">
        <f t="shared" si="13"/>
        <v>3C Aggregated and non-CO2 emissions on land</v>
      </c>
      <c r="B57" t="str">
        <f t="shared" si="14"/>
        <v>3C1 Biomass burning (CH4)</v>
      </c>
      <c r="C57" t="str">
        <f t="shared" si="15"/>
        <v>3C1a Biomass burning in forest land</v>
      </c>
      <c r="D57" t="str">
        <f>EF!D87</f>
        <v>Plantations</v>
      </c>
      <c r="E57" t="s">
        <v>650</v>
      </c>
      <c r="F57" t="str">
        <f t="shared" si="16"/>
        <v>CH4</v>
      </c>
      <c r="G57" t="str">
        <f t="shared" si="17"/>
        <v>Gg CH4</v>
      </c>
      <c r="H57" s="22">
        <f>INDEX('Activity data'!H$24:H$39,MATCH(Emissions!$D57,'Activity data'!$D$24:$D$39,0))*INDEX(EF!$H$84:$H$99,MATCH(Emissions!$D57,EF!$D$84:$D$99,0))*INDEX(EF!$H$100:$H$115,MATCH(Emissions!$D57,EF!$D$100:$D$115,0))*INDEX(EF!$H$116:$H$131,MATCH(Emissions!$D57,EF!$D$116:$D$131,0))*kgtoGg</f>
        <v>7.5442559859280678</v>
      </c>
      <c r="I57" s="22">
        <f>INDEX('Activity data'!I$24:I$39,MATCH(Emissions!$D57,'Activity data'!$D$24:$D$39,0))*INDEX(EF!$H$84:$H$99,MATCH(Emissions!$D57,EF!$D$84:$D$99,0))*INDEX(EF!$H$100:$H$115,MATCH(Emissions!$D57,EF!$D$100:$D$115,0))*INDEX(EF!$H$116:$H$131,MATCH(Emissions!$D57,EF!$D$116:$D$131,0))*kgtoGg</f>
        <v>7.5442559859280678</v>
      </c>
      <c r="J57" s="22">
        <f>INDEX('Activity data'!J$24:J$39,MATCH(Emissions!$D57,'Activity data'!$D$24:$D$39,0))*INDEX(EF!$H$84:$H$99,MATCH(Emissions!$D57,EF!$D$84:$D$99,0))*INDEX(EF!$H$100:$H$115,MATCH(Emissions!$D57,EF!$D$100:$D$115,0))*INDEX(EF!$H$116:$H$131,MATCH(Emissions!$D57,EF!$D$116:$D$131,0))*kgtoGg</f>
        <v>7.5442559859280678</v>
      </c>
      <c r="K57" s="22">
        <f>INDEX('Activity data'!K$24:K$39,MATCH(Emissions!$D57,'Activity data'!$D$24:$D$39,0))*INDEX(EF!$H$84:$H$99,MATCH(Emissions!$D57,EF!$D$84:$D$99,0))*INDEX(EF!$H$100:$H$115,MATCH(Emissions!$D57,EF!$D$100:$D$115,0))*INDEX(EF!$H$116:$H$131,MATCH(Emissions!$D57,EF!$D$116:$D$131,0))*kgtoGg</f>
        <v>7.5442559859280678</v>
      </c>
      <c r="L57" s="22">
        <f>INDEX('Activity data'!L$24:L$39,MATCH(Emissions!$D57,'Activity data'!$D$24:$D$39,0))*INDEX(EF!$H$84:$H$99,MATCH(Emissions!$D57,EF!$D$84:$D$99,0))*INDEX(EF!$H$100:$H$115,MATCH(Emissions!$D57,EF!$D$100:$D$115,0))*INDEX(EF!$H$116:$H$131,MATCH(Emissions!$D57,EF!$D$116:$D$131,0))*kgtoGg</f>
        <v>7.5442559859280678</v>
      </c>
      <c r="M57" s="22">
        <f>INDEX('Activity data'!M$24:M$39,MATCH(Emissions!$D57,'Activity data'!$D$24:$D$39,0))*INDEX(EF!$H$84:$H$99,MATCH(Emissions!$D57,EF!$D$84:$D$99,0))*INDEX(EF!$H$100:$H$115,MATCH(Emissions!$D57,EF!$D$100:$D$115,0))*INDEX(EF!$H$116:$H$131,MATCH(Emissions!$D57,EF!$D$116:$D$131,0))*kgtoGg</f>
        <v>7.5442559859280678</v>
      </c>
      <c r="N57" s="22">
        <f>INDEX('Activity data'!N$24:N$39,MATCH(Emissions!$D57,'Activity data'!$D$24:$D$39,0))*INDEX(EF!$H$84:$H$99,MATCH(Emissions!$D57,EF!$D$84:$D$99,0))*INDEX(EF!$H$100:$H$115,MATCH(Emissions!$D57,EF!$D$100:$D$115,0))*INDEX(EF!$H$116:$H$131,MATCH(Emissions!$D57,EF!$D$116:$D$131,0))*kgtoGg</f>
        <v>7.5442559859280678</v>
      </c>
      <c r="O57" s="22">
        <f>INDEX('Activity data'!O$24:O$39,MATCH(Emissions!$D57,'Activity data'!$D$24:$D$39,0))*INDEX(EF!$H$84:$H$99,MATCH(Emissions!$D57,EF!$D$84:$D$99,0))*INDEX(EF!$H$100:$H$115,MATCH(Emissions!$D57,EF!$D$100:$D$115,0))*INDEX(EF!$H$116:$H$131,MATCH(Emissions!$D57,EF!$D$116:$D$131,0))*kgtoGg</f>
        <v>7.5442559859280678</v>
      </c>
      <c r="P57" s="22">
        <f>INDEX('Activity data'!P$24:P$39,MATCH(Emissions!$D57,'Activity data'!$D$24:$D$39,0))*INDEX(EF!$H$84:$H$99,MATCH(Emissions!$D57,EF!$D$84:$D$99,0))*INDEX(EF!$H$100:$H$115,MATCH(Emissions!$D57,EF!$D$100:$D$115,0))*INDEX(EF!$H$116:$H$131,MATCH(Emissions!$D57,EF!$D$116:$D$131,0))*kgtoGg</f>
        <v>7.5442559859280678</v>
      </c>
      <c r="Q57" s="22">
        <f>INDEX('Activity data'!Q$24:Q$39,MATCH(Emissions!$D57,'Activity data'!$D$24:$D$39,0))*INDEX(EF!$H$84:$H$99,MATCH(Emissions!$D57,EF!$D$84:$D$99,0))*INDEX(EF!$H$100:$H$115,MATCH(Emissions!$D57,EF!$D$100:$D$115,0))*INDEX(EF!$H$116:$H$131,MATCH(Emissions!$D57,EF!$D$116:$D$131,0))*kgtoGg</f>
        <v>7.5442559859280678</v>
      </c>
      <c r="R57" s="22">
        <f>INDEX('Activity data'!R$24:R$39,MATCH(Emissions!$D57,'Activity data'!$D$24:$D$39,0))*INDEX(EF!$H$84:$H$99,MATCH(Emissions!$D57,EF!$D$84:$D$99,0))*INDEX(EF!$H$100:$H$115,MATCH(Emissions!$D57,EF!$D$100:$D$115,0))*INDEX(EF!$H$116:$H$131,MATCH(Emissions!$D57,EF!$D$116:$D$131,0))*kgtoGg</f>
        <v>6.8796151958231224</v>
      </c>
      <c r="S57" s="22">
        <f>INDEX('Activity data'!S$24:S$39,MATCH(Emissions!$D57,'Activity data'!$D$24:$D$39,0))*INDEX(EF!$H$84:$H$99,MATCH(Emissions!$D57,EF!$D$84:$D$99,0))*INDEX(EF!$H$100:$H$115,MATCH(Emissions!$D57,EF!$D$100:$D$115,0))*INDEX(EF!$H$116:$H$131,MATCH(Emissions!$D57,EF!$D$116:$D$131,0))*kgtoGg</f>
        <v>8.4683398914687142</v>
      </c>
      <c r="T57" s="22">
        <f>INDEX('Activity data'!T$24:T$39,MATCH(Emissions!$D57,'Activity data'!$D$24:$D$39,0))*INDEX(EF!$H$84:$H$99,MATCH(Emissions!$D57,EF!$D$84:$D$99,0))*INDEX(EF!$H$100:$H$115,MATCH(Emissions!$D57,EF!$D$100:$D$115,0))*INDEX(EF!$H$116:$H$131,MATCH(Emissions!$D57,EF!$D$116:$D$131,0))*kgtoGg</f>
        <v>7.561017760239924</v>
      </c>
      <c r="U57" s="22">
        <f>INDEX('Activity data'!U$24:U$39,MATCH(Emissions!$D57,'Activity data'!$D$24:$D$39,0))*INDEX(EF!$H$84:$H$99,MATCH(Emissions!$D57,EF!$D$84:$D$99,0))*INDEX(EF!$H$100:$H$115,MATCH(Emissions!$D57,EF!$D$100:$D$115,0))*INDEX(EF!$H$116:$H$131,MATCH(Emissions!$D57,EF!$D$116:$D$131,0))*kgtoGg</f>
        <v>8.7780683298399893</v>
      </c>
      <c r="V57" s="22">
        <f>INDEX('Activity data'!V$24:V$39,MATCH(Emissions!$D57,'Activity data'!$D$24:$D$39,0))*INDEX(EF!$H$84:$H$99,MATCH(Emissions!$D57,EF!$D$84:$D$99,0))*INDEX(EF!$H$100:$H$115,MATCH(Emissions!$D57,EF!$D$100:$D$115,0))*INDEX(EF!$H$116:$H$131,MATCH(Emissions!$D57,EF!$D$116:$D$131,0))*kgtoGg</f>
        <v>6.0342387522685863</v>
      </c>
      <c r="W57" s="22">
        <f>INDEX('Activity data'!W$24:W$39,MATCH(Emissions!$D57,'Activity data'!$D$24:$D$39,0))*INDEX(EF!$H$84:$H$99,MATCH(Emissions!$D57,EF!$D$84:$D$99,0))*INDEX(EF!$H$100:$H$115,MATCH(Emissions!$D57,EF!$D$100:$D$115,0))*INDEX(EF!$H$116:$H$131,MATCH(Emissions!$D57,EF!$D$116:$D$131,0))*kgtoGg</f>
        <v>8.8436578814950799</v>
      </c>
      <c r="X57" s="22">
        <f>INDEX('Activity data'!X$24:X$39,MATCH(Emissions!$D57,'Activity data'!$D$24:$D$39,0))*INDEX(EF!$H$84:$H$99,MATCH(Emissions!$D57,EF!$D$84:$D$99,0))*INDEX(EF!$H$100:$H$115,MATCH(Emissions!$D57,EF!$D$100:$D$115,0))*INDEX(EF!$H$116:$H$131,MATCH(Emissions!$D57,EF!$D$116:$D$131,0))*kgtoGg</f>
        <v>6.9124099716506668</v>
      </c>
      <c r="Y57" s="22">
        <f>INDEX('Activity data'!Y$24:Y$39,MATCH(Emissions!$D57,'Activity data'!$D$24:$D$39,0))*INDEX(EF!$H$84:$H$99,MATCH(Emissions!$D57,EF!$D$84:$D$99,0))*INDEX(EF!$H$100:$H$115,MATCH(Emissions!$D57,EF!$D$100:$D$115,0))*INDEX(EF!$H$116:$H$131,MATCH(Emissions!$D57,EF!$D$116:$D$131,0))*kgtoGg</f>
        <v>12.870127580321645</v>
      </c>
      <c r="Z57" s="22">
        <f>INDEX('Activity data'!Z$24:Z$39,MATCH(Emissions!$D57,'Activity data'!$D$24:$D$39,0))*INDEX(EF!$H$84:$H$99,MATCH(Emissions!$D57,EF!$D$84:$D$99,0))*INDEX(EF!$H$100:$H$115,MATCH(Emissions!$D57,EF!$D$100:$D$115,0))*INDEX(EF!$H$116:$H$131,MATCH(Emissions!$D57,EF!$D$116:$D$131,0))*kgtoGg</f>
        <v>8.3152976042734963</v>
      </c>
      <c r="AA57" s="22">
        <f>INDEX('Activity data'!AA$24:AA$39,MATCH(Emissions!$D57,'Activity data'!$D$24:$D$39,0))*INDEX(EF!$H$84:$H$99,MATCH(Emissions!$D57,EF!$D$84:$D$99,0))*INDEX(EF!$H$100:$H$115,MATCH(Emissions!$D57,EF!$D$100:$D$115,0))*INDEX(EF!$H$116:$H$131,MATCH(Emissions!$D57,EF!$D$116:$D$131,0))*kgtoGg</f>
        <v>7.0836715787500779</v>
      </c>
      <c r="AB57" s="22">
        <f>INDEX('Activity data'!AB$24:AB$39,MATCH(Emissions!$D57,'Activity data'!$D$24:$D$39,0))*INDEX(EF!$H$84:$H$99,MATCH(Emissions!$D57,EF!$D$84:$D$99,0))*INDEX(EF!$H$100:$H$115,MATCH(Emissions!$D57,EF!$D$100:$D$115,0))*INDEX(EF!$H$116:$H$131,MATCH(Emissions!$D57,EF!$D$116:$D$131,0))*kgtoGg</f>
        <v>5.9791970448000002</v>
      </c>
      <c r="AC57" s="22">
        <f>INDEX('Activity data'!AC$24:AC$39,MATCH(Emissions!$D57,'Activity data'!$D$24:$D$39,0))*INDEX(EF!$H$84:$H$99,MATCH(Emissions!$D57,EF!$D$84:$D$99,0))*INDEX(EF!$H$100:$H$115,MATCH(Emissions!$D57,EF!$D$100:$D$115,0))*INDEX(EF!$H$116:$H$131,MATCH(Emissions!$D57,EF!$D$116:$D$131,0))*kgtoGg</f>
        <v>6.8024024208</v>
      </c>
      <c r="AD57" s="22">
        <f>INDEX('Activity data'!AD$24:AD$39,MATCH(Emissions!$D57,'Activity data'!$D$24:$D$39,0))*INDEX(EF!$H$84:$H$99,MATCH(Emissions!$D57,EF!$D$84:$D$99,0))*INDEX(EF!$H$100:$H$115,MATCH(Emissions!$D57,EF!$D$100:$D$115,0))*INDEX(EF!$H$116:$H$131,MATCH(Emissions!$D57,EF!$D$116:$D$131,0))*kgtoGg</f>
        <v>2.098124981532016</v>
      </c>
      <c r="AE57" s="22">
        <f>INDEX('Activity data'!AE$24:AE$39,MATCH(Emissions!$D57,'Activity data'!$D$24:$D$39,0))*INDEX(EF!$H$84:$H$99,MATCH(Emissions!$D57,EF!$D$84:$D$99,0))*INDEX(EF!$H$100:$H$115,MATCH(Emissions!$D57,EF!$D$100:$D$115,0))*INDEX(EF!$H$116:$H$131,MATCH(Emissions!$D57,EF!$D$116:$D$131,0))*kgtoGg</f>
        <v>3.9454731415320157</v>
      </c>
      <c r="AF57" s="22">
        <f>INDEX('Activity data'!AF$24:AF$39,MATCH(Emissions!$D57,'Activity data'!$D$24:$D$39,0))*INDEX(EF!$H$84:$H$99,MATCH(Emissions!$D57,EF!$D$84:$D$99,0))*INDEX(EF!$H$100:$H$115,MATCH(Emissions!$D57,EF!$D$100:$D$115,0))*INDEX(EF!$H$116:$H$131,MATCH(Emissions!$D57,EF!$D$116:$D$131,0))*kgtoGg</f>
        <v>3.1857200215320161</v>
      </c>
      <c r="AG57" s="22">
        <f>INDEX('Activity data'!AG$24:AG$39,MATCH(Emissions!$D57,'Activity data'!$D$24:$D$39,0))*INDEX(EF!$H$84:$H$99,MATCH(Emissions!$D57,EF!$D$84:$D$99,0))*INDEX(EF!$H$100:$H$115,MATCH(Emissions!$D57,EF!$D$100:$D$115,0))*INDEX(EF!$H$116:$H$131,MATCH(Emissions!$D57,EF!$D$116:$D$131,0))*kgtoGg</f>
        <v>2.4712899415320164</v>
      </c>
      <c r="AH57" s="22">
        <f>INDEX('Activity data'!AH$24:AH$39,MATCH(Emissions!$D57,'Activity data'!$D$24:$D$39,0))*INDEX(EF!$H$84:$H$99,MATCH(Emissions!$D57,EF!$D$84:$D$99,0))*INDEX(EF!$H$100:$H$115,MATCH(Emissions!$D57,EF!$D$100:$D$115,0))*INDEX(EF!$H$116:$H$131,MATCH(Emissions!$D57,EF!$D$116:$D$131,0))*kgtoGg</f>
        <v>2.8281891415320159</v>
      </c>
      <c r="AI57" s="22">
        <f>INDEX('Activity data'!AI$24:AI$39,MATCH(Emissions!$D57,'Activity data'!$D$24:$D$39,0))*INDEX(EF!$H$84:$H$99,MATCH(Emissions!$D57,EF!$D$84:$D$99,0))*INDEX(EF!$H$100:$H$115,MATCH(Emissions!$D57,EF!$D$100:$D$115,0))*INDEX(EF!$H$116:$H$131,MATCH(Emissions!$D57,EF!$D$116:$D$131,0))*kgtoGg</f>
        <v>3.1318693015320158</v>
      </c>
      <c r="AJ57" s="22">
        <f>INDEX('Activity data'!AJ$24:AJ$39,MATCH(Emissions!$D57,'Activity data'!$D$24:$D$39,0))*INDEX(EF!$H$84:$H$99,MATCH(Emissions!$D57,EF!$D$84:$D$99,0))*INDEX(EF!$H$100:$H$115,MATCH(Emissions!$D57,EF!$D$100:$D$115,0))*INDEX(EF!$H$116:$H$131,MATCH(Emissions!$D57,EF!$D$116:$D$131,0))*kgtoGg</f>
        <v>3.1318693015320158</v>
      </c>
      <c r="AK57" s="22">
        <f>INDEX('Activity data'!AK$24:AK$39,MATCH(Emissions!$D57,'Activity data'!$D$24:$D$39,0))*INDEX(EF!$H$84:$H$99,MATCH(Emissions!$D57,EF!$D$84:$D$99,0))*INDEX(EF!$H$100:$H$115,MATCH(Emissions!$D57,EF!$D$100:$D$115,0))*INDEX(EF!$H$116:$H$131,MATCH(Emissions!$D57,EF!$D$116:$D$131,0))*kgtoGg</f>
        <v>3.1359929859964764</v>
      </c>
      <c r="AL57" s="22">
        <f>INDEX('Activity data'!AL$24:AL$39,MATCH(Emissions!$D57,'Activity data'!$D$24:$D$39,0))*INDEX(EF!$H$84:$H$99,MATCH(Emissions!$D57,EF!$D$84:$D$99,0))*INDEX(EF!$H$100:$H$115,MATCH(Emissions!$D57,EF!$D$100:$D$115,0))*INDEX(EF!$H$116:$H$131,MATCH(Emissions!$D57,EF!$D$116:$D$131,0))*kgtoGg</f>
        <v>3.140116670460936</v>
      </c>
      <c r="AM57" s="22">
        <f>INDEX('Activity data'!AM$24:AM$39,MATCH(Emissions!$D57,'Activity data'!$D$24:$D$39,0))*INDEX(EF!$H$84:$H$99,MATCH(Emissions!$D57,EF!$D$84:$D$99,0))*INDEX(EF!$H$100:$H$115,MATCH(Emissions!$D57,EF!$D$100:$D$115,0))*INDEX(EF!$H$116:$H$131,MATCH(Emissions!$D57,EF!$D$116:$D$131,0))*kgtoGg</f>
        <v>3.1442403549253957</v>
      </c>
      <c r="AN57" s="22">
        <f>INDEX('Activity data'!AN$24:AN$39,MATCH(Emissions!$D57,'Activity data'!$D$24:$D$39,0))*INDEX(EF!$H$84:$H$99,MATCH(Emissions!$D57,EF!$D$84:$D$99,0))*INDEX(EF!$H$100:$H$115,MATCH(Emissions!$D57,EF!$D$100:$D$115,0))*INDEX(EF!$H$116:$H$131,MATCH(Emissions!$D57,EF!$D$116:$D$131,0))*kgtoGg</f>
        <v>3.1483640393898567</v>
      </c>
      <c r="AO57" s="22">
        <f>INDEX('Activity data'!AO$24:AO$39,MATCH(Emissions!$D57,'Activity data'!$D$24:$D$39,0))*INDEX(EF!$H$84:$H$99,MATCH(Emissions!$D57,EF!$D$84:$D$99,0))*INDEX(EF!$H$100:$H$115,MATCH(Emissions!$D57,EF!$D$100:$D$115,0))*INDEX(EF!$H$116:$H$131,MATCH(Emissions!$D57,EF!$D$116:$D$131,0))*kgtoGg</f>
        <v>3.1524877238543163</v>
      </c>
      <c r="AP57" s="22">
        <f>INDEX('Activity data'!AP$24:AP$39,MATCH(Emissions!$D57,'Activity data'!$D$24:$D$39,0))*INDEX(EF!$H$84:$H$99,MATCH(Emissions!$D57,EF!$D$84:$D$99,0))*INDEX(EF!$H$100:$H$115,MATCH(Emissions!$D57,EF!$D$100:$D$115,0))*INDEX(EF!$H$116:$H$131,MATCH(Emissions!$D57,EF!$D$116:$D$131,0))*kgtoGg</f>
        <v>3.1566114083187764</v>
      </c>
      <c r="AQ57" s="22">
        <f>INDEX('Activity data'!AQ$24:AQ$39,MATCH(Emissions!$D57,'Activity data'!$D$24:$D$39,0))*INDEX(EF!$H$84:$H$99,MATCH(Emissions!$D57,EF!$D$84:$D$99,0))*INDEX(EF!$H$100:$H$115,MATCH(Emissions!$D57,EF!$D$100:$D$115,0))*INDEX(EF!$H$116:$H$131,MATCH(Emissions!$D57,EF!$D$116:$D$131,0))*kgtoGg</f>
        <v>3.1607350927832361</v>
      </c>
      <c r="AR57" s="22">
        <f>INDEX('Activity data'!AR$24:AR$39,MATCH(Emissions!$D57,'Activity data'!$D$24:$D$39,0))*INDEX(EF!$H$84:$H$99,MATCH(Emissions!$D57,EF!$D$84:$D$99,0))*INDEX(EF!$H$100:$H$115,MATCH(Emissions!$D57,EF!$D$100:$D$115,0))*INDEX(EF!$H$116:$H$131,MATCH(Emissions!$D57,EF!$D$116:$D$131,0))*kgtoGg</f>
        <v>3.1648587772476962</v>
      </c>
      <c r="AS57" s="22">
        <f>INDEX('Activity data'!AS$24:AS$39,MATCH(Emissions!$D57,'Activity data'!$D$24:$D$39,0))*INDEX(EF!$H$84:$H$99,MATCH(Emissions!$D57,EF!$D$84:$D$99,0))*INDEX(EF!$H$100:$H$115,MATCH(Emissions!$D57,EF!$D$100:$D$115,0))*INDEX(EF!$H$116:$H$131,MATCH(Emissions!$D57,EF!$D$116:$D$131,0))*kgtoGg</f>
        <v>3.1689824617121563</v>
      </c>
      <c r="AT57" s="22">
        <f>INDEX('Activity data'!AT$24:AT$39,MATCH(Emissions!$D57,'Activity data'!$D$24:$D$39,0))*INDEX(EF!$H$84:$H$99,MATCH(Emissions!$D57,EF!$D$84:$D$99,0))*INDEX(EF!$H$100:$H$115,MATCH(Emissions!$D57,EF!$D$100:$D$115,0))*INDEX(EF!$H$116:$H$131,MATCH(Emissions!$D57,EF!$D$116:$D$131,0))*kgtoGg</f>
        <v>3.1731061461766159</v>
      </c>
      <c r="AU57" s="22">
        <f>INDEX('Activity data'!AU$24:AU$39,MATCH(Emissions!$D57,'Activity data'!$D$24:$D$39,0))*INDEX(EF!$H$84:$H$99,MATCH(Emissions!$D57,EF!$D$84:$D$99,0))*INDEX(EF!$H$100:$H$115,MATCH(Emissions!$D57,EF!$D$100:$D$115,0))*INDEX(EF!$H$116:$H$131,MATCH(Emissions!$D57,EF!$D$116:$D$131,0))*kgtoGg</f>
        <v>3.1772298306410764</v>
      </c>
      <c r="AV57" s="22">
        <f>INDEX('Activity data'!AV$24:AV$39,MATCH(Emissions!$D57,'Activity data'!$D$24:$D$39,0))*INDEX(EF!$H$84:$H$99,MATCH(Emissions!$D57,EF!$D$84:$D$99,0))*INDEX(EF!$H$100:$H$115,MATCH(Emissions!$D57,EF!$D$100:$D$115,0))*INDEX(EF!$H$116:$H$131,MATCH(Emissions!$D57,EF!$D$116:$D$131,0))*kgtoGg</f>
        <v>3.1813535151055365</v>
      </c>
      <c r="AW57" s="22">
        <f>INDEX('Activity data'!AW$24:AW$39,MATCH(Emissions!$D57,'Activity data'!$D$24:$D$39,0))*INDEX(EF!$H$84:$H$99,MATCH(Emissions!$D57,EF!$D$84:$D$99,0))*INDEX(EF!$H$100:$H$115,MATCH(Emissions!$D57,EF!$D$100:$D$115,0))*INDEX(EF!$H$116:$H$131,MATCH(Emissions!$D57,EF!$D$116:$D$131,0))*kgtoGg</f>
        <v>3.1673000034864489</v>
      </c>
      <c r="AX57" s="22">
        <f>INDEX('Activity data'!AX$24:AX$39,MATCH(Emissions!$D57,'Activity data'!$D$24:$D$39,0))*INDEX(EF!$H$84:$H$99,MATCH(Emissions!$D57,EF!$D$84:$D$99,0))*INDEX(EF!$H$100:$H$115,MATCH(Emissions!$D57,EF!$D$100:$D$115,0))*INDEX(EF!$H$116:$H$131,MATCH(Emissions!$D57,EF!$D$116:$D$131,0))*kgtoGg</f>
        <v>3.1532464918673613</v>
      </c>
      <c r="AY57" s="22">
        <f>INDEX('Activity data'!AY$24:AY$39,MATCH(Emissions!$D57,'Activity data'!$D$24:$D$39,0))*INDEX(EF!$H$84:$H$99,MATCH(Emissions!$D57,EF!$D$84:$D$99,0))*INDEX(EF!$H$100:$H$115,MATCH(Emissions!$D57,EF!$D$100:$D$115,0))*INDEX(EF!$H$116:$H$131,MATCH(Emissions!$D57,EF!$D$116:$D$131,0))*kgtoGg</f>
        <v>3.1391929802482736</v>
      </c>
      <c r="AZ57" s="22">
        <f>INDEX('Activity data'!AZ$24:AZ$39,MATCH(Emissions!$D57,'Activity data'!$D$24:$D$39,0))*INDEX(EF!$H$84:$H$99,MATCH(Emissions!$D57,EF!$D$84:$D$99,0))*INDEX(EF!$H$100:$H$115,MATCH(Emissions!$D57,EF!$D$100:$D$115,0))*INDEX(EF!$H$116:$H$131,MATCH(Emissions!$D57,EF!$D$116:$D$131,0))*kgtoGg</f>
        <v>3.1251394686291865</v>
      </c>
      <c r="BA57" s="22">
        <f>INDEX('Activity data'!BA$24:BA$39,MATCH(Emissions!$D57,'Activity data'!$D$24:$D$39,0))*INDEX(EF!$H$84:$H$99,MATCH(Emissions!$D57,EF!$D$84:$D$99,0))*INDEX(EF!$H$100:$H$115,MATCH(Emissions!$D57,EF!$D$100:$D$115,0))*INDEX(EF!$H$116:$H$131,MATCH(Emissions!$D57,EF!$D$116:$D$131,0))*kgtoGg</f>
        <v>3.1110859570100993</v>
      </c>
      <c r="BB57" s="22">
        <f>INDEX('Activity data'!BB$24:BB$39,MATCH(Emissions!$D57,'Activity data'!$D$24:$D$39,0))*INDEX(EF!$H$84:$H$99,MATCH(Emissions!$D57,EF!$D$84:$D$99,0))*INDEX(EF!$H$100:$H$115,MATCH(Emissions!$D57,EF!$D$100:$D$115,0))*INDEX(EF!$H$116:$H$131,MATCH(Emissions!$D57,EF!$D$116:$D$131,0))*kgtoGg</f>
        <v>3.0970324453910112</v>
      </c>
      <c r="BC57" s="22">
        <f>INDEX('Activity data'!BC$24:BC$39,MATCH(Emissions!$D57,'Activity data'!$D$24:$D$39,0))*INDEX(EF!$H$84:$H$99,MATCH(Emissions!$D57,EF!$D$84:$D$99,0))*INDEX(EF!$H$100:$H$115,MATCH(Emissions!$D57,EF!$D$100:$D$115,0))*INDEX(EF!$H$116:$H$131,MATCH(Emissions!$D57,EF!$D$116:$D$131,0))*kgtoGg</f>
        <v>3.082978933771924</v>
      </c>
      <c r="BD57" s="22">
        <f>INDEX('Activity data'!BD$24:BD$39,MATCH(Emissions!$D57,'Activity data'!$D$24:$D$39,0))*INDEX(EF!$H$84:$H$99,MATCH(Emissions!$D57,EF!$D$84:$D$99,0))*INDEX(EF!$H$100:$H$115,MATCH(Emissions!$D57,EF!$D$100:$D$115,0))*INDEX(EF!$H$116:$H$131,MATCH(Emissions!$D57,EF!$D$116:$D$131,0))*kgtoGg</f>
        <v>3.0689254221528368</v>
      </c>
      <c r="BE57" s="22">
        <f>INDEX('Activity data'!BE$24:BE$39,MATCH(Emissions!$D57,'Activity data'!$D$24:$D$39,0))*INDEX(EF!$H$84:$H$99,MATCH(Emissions!$D57,EF!$D$84:$D$99,0))*INDEX(EF!$H$100:$H$115,MATCH(Emissions!$D57,EF!$D$100:$D$115,0))*INDEX(EF!$H$116:$H$131,MATCH(Emissions!$D57,EF!$D$116:$D$131,0))*kgtoGg</f>
        <v>3.0507482260692895</v>
      </c>
      <c r="BF57" s="22">
        <f>INDEX('Activity data'!BF$24:BF$39,MATCH(Emissions!$D57,'Activity data'!$D$24:$D$39,0))*INDEX(EF!$H$84:$H$99,MATCH(Emissions!$D57,EF!$D$84:$D$99,0))*INDEX(EF!$H$100:$H$115,MATCH(Emissions!$D57,EF!$D$100:$D$115,0))*INDEX(EF!$H$116:$H$131,MATCH(Emissions!$D57,EF!$D$116:$D$131,0))*kgtoGg</f>
        <v>3.0325710299857409</v>
      </c>
      <c r="BG57" s="22">
        <f>INDEX('Activity data'!BG$24:BG$39,MATCH(Emissions!$D57,'Activity data'!$D$24:$D$39,0))*INDEX(EF!$H$84:$H$99,MATCH(Emissions!$D57,EF!$D$84:$D$99,0))*INDEX(EF!$H$100:$H$115,MATCH(Emissions!$D57,EF!$D$100:$D$115,0))*INDEX(EF!$H$116:$H$131,MATCH(Emissions!$D57,EF!$D$116:$D$131,0))*kgtoGg</f>
        <v>3.0143938339021941</v>
      </c>
      <c r="BH57" s="22">
        <f>INDEX('Activity data'!BH$24:BH$39,MATCH(Emissions!$D57,'Activity data'!$D$24:$D$39,0))*INDEX(EF!$H$84:$H$99,MATCH(Emissions!$D57,EF!$D$84:$D$99,0))*INDEX(EF!$H$100:$H$115,MATCH(Emissions!$D57,EF!$D$100:$D$115,0))*INDEX(EF!$H$116:$H$131,MATCH(Emissions!$D57,EF!$D$116:$D$131,0))*kgtoGg</f>
        <v>2.9962166378186468</v>
      </c>
      <c r="BI57" s="22">
        <f>INDEX('Activity data'!BI$24:BI$39,MATCH(Emissions!$D57,'Activity data'!$D$24:$D$39,0))*INDEX(EF!$H$84:$H$99,MATCH(Emissions!$D57,EF!$D$84:$D$99,0))*INDEX(EF!$H$100:$H$115,MATCH(Emissions!$D57,EF!$D$100:$D$115,0))*INDEX(EF!$H$116:$H$131,MATCH(Emissions!$D57,EF!$D$116:$D$131,0))*kgtoGg</f>
        <v>2.9780394417350995</v>
      </c>
      <c r="BJ57" s="22">
        <f>INDEX('Activity data'!BJ$24:BJ$39,MATCH(Emissions!$D57,'Activity data'!$D$24:$D$39,0))*INDEX(EF!$H$84:$H$99,MATCH(Emissions!$D57,EF!$D$84:$D$99,0))*INDEX(EF!$H$100:$H$115,MATCH(Emissions!$D57,EF!$D$100:$D$115,0))*INDEX(EF!$H$116:$H$131,MATCH(Emissions!$D57,EF!$D$116:$D$131,0))*kgtoGg</f>
        <v>2.9598622456515518</v>
      </c>
      <c r="BK57" s="22">
        <f>INDEX('Activity data'!BK$24:BK$39,MATCH(Emissions!$D57,'Activity data'!$D$24:$D$39,0))*INDEX(EF!$H$84:$H$99,MATCH(Emissions!$D57,EF!$D$84:$D$99,0))*INDEX(EF!$H$100:$H$115,MATCH(Emissions!$D57,EF!$D$100:$D$115,0))*INDEX(EF!$H$116:$H$131,MATCH(Emissions!$D57,EF!$D$116:$D$131,0))*kgtoGg</f>
        <v>2.9416850495680045</v>
      </c>
      <c r="BL57" s="22">
        <f>INDEX('Activity data'!BL$24:BL$39,MATCH(Emissions!$D57,'Activity data'!$D$24:$D$39,0))*INDEX(EF!$H$84:$H$99,MATCH(Emissions!$D57,EF!$D$84:$D$99,0))*INDEX(EF!$H$100:$H$115,MATCH(Emissions!$D57,EF!$D$100:$D$115,0))*INDEX(EF!$H$116:$H$131,MATCH(Emissions!$D57,EF!$D$116:$D$131,0))*kgtoGg</f>
        <v>2.9235078534844567</v>
      </c>
      <c r="BM57" s="22">
        <f>INDEX('Activity data'!BM$24:BM$39,MATCH(Emissions!$D57,'Activity data'!$D$24:$D$39,0))*INDEX(EF!$H$84:$H$99,MATCH(Emissions!$D57,EF!$D$84:$D$99,0))*INDEX(EF!$H$100:$H$115,MATCH(Emissions!$D57,EF!$D$100:$D$115,0))*INDEX(EF!$H$116:$H$131,MATCH(Emissions!$D57,EF!$D$116:$D$131,0))*kgtoGg</f>
        <v>2.9053306574009099</v>
      </c>
      <c r="BN57" s="22">
        <f>INDEX('Activity data'!BN$24:BN$39,MATCH(Emissions!$D57,'Activity data'!$D$24:$D$39,0))*INDEX(EF!$H$84:$H$99,MATCH(Emissions!$D57,EF!$D$84:$D$99,0))*INDEX(EF!$H$100:$H$115,MATCH(Emissions!$D57,EF!$D$100:$D$115,0))*INDEX(EF!$H$116:$H$131,MATCH(Emissions!$D57,EF!$D$116:$D$131,0))*kgtoGg</f>
        <v>2.8871534613173622</v>
      </c>
      <c r="BO57" s="22">
        <f>INDEX('Activity data'!BO$24:BO$39,MATCH(Emissions!$D57,'Activity data'!$D$24:$D$39,0))*INDEX(EF!$H$84:$H$99,MATCH(Emissions!$D57,EF!$D$84:$D$99,0))*INDEX(EF!$H$100:$H$115,MATCH(Emissions!$D57,EF!$D$100:$D$115,0))*INDEX(EF!$H$116:$H$131,MATCH(Emissions!$D57,EF!$D$116:$D$131,0))*kgtoGg</f>
        <v>2.8689762652338144</v>
      </c>
      <c r="BP57" s="22">
        <f>INDEX('Activity data'!BP$24:BP$39,MATCH(Emissions!$D57,'Activity data'!$D$24:$D$39,0))*INDEX(EF!$H$84:$H$99,MATCH(Emissions!$D57,EF!$D$84:$D$99,0))*INDEX(EF!$H$100:$H$115,MATCH(Emissions!$D57,EF!$D$100:$D$115,0))*INDEX(EF!$H$116:$H$131,MATCH(Emissions!$D57,EF!$D$116:$D$131,0))*kgtoGg</f>
        <v>2.8507990691502676</v>
      </c>
    </row>
    <row r="58" spans="1:68" x14ac:dyDescent="0.25">
      <c r="A58" t="str">
        <f t="shared" si="13"/>
        <v>3C Aggregated and non-CO2 emissions on land</v>
      </c>
      <c r="B58" t="str">
        <f t="shared" si="14"/>
        <v>3C1 Biomass burning (CH4)</v>
      </c>
      <c r="C58" t="str">
        <f>'IPCC Categories'!C60</f>
        <v>3C1b Biomass burning in Croplands</v>
      </c>
      <c r="D58" t="str">
        <f>EF!D88</f>
        <v>Annual non-pivot</v>
      </c>
      <c r="E58" t="s">
        <v>651</v>
      </c>
      <c r="F58" t="str">
        <f t="shared" si="16"/>
        <v>CH4</v>
      </c>
      <c r="G58" t="str">
        <f t="shared" si="17"/>
        <v>Gg CH4</v>
      </c>
      <c r="H58" s="22">
        <f>INDEX('Activity data'!H$24:H$39,MATCH(Emissions!$D58,'Activity data'!$D$24:$D$39,0))*INDEX(EF!$H$84:$H$99,MATCH(Emissions!$D58,EF!$D$84:$D$99,0))*INDEX(EF!$H$100:$H$115,MATCH(Emissions!$D58,EF!$D$100:$D$115,0))*INDEX(EF!$H$116:$H$131,MATCH(Emissions!$D58,EF!$D$116:$D$131,0))*kgtoGg</f>
        <v>0.56789038673711778</v>
      </c>
      <c r="I58" s="22">
        <f>INDEX('Activity data'!I$24:I$39,MATCH(Emissions!$D58,'Activity data'!$D$24:$D$39,0))*INDEX(EF!$H$84:$H$99,MATCH(Emissions!$D58,EF!$D$84:$D$99,0))*INDEX(EF!$H$100:$H$115,MATCH(Emissions!$D58,EF!$D$100:$D$115,0))*INDEX(EF!$H$116:$H$131,MATCH(Emissions!$D58,EF!$D$116:$D$131,0))*kgtoGg</f>
        <v>0.56789038673711778</v>
      </c>
      <c r="J58" s="22">
        <f>INDEX('Activity data'!J$24:J$39,MATCH(Emissions!$D58,'Activity data'!$D$24:$D$39,0))*INDEX(EF!$H$84:$H$99,MATCH(Emissions!$D58,EF!$D$84:$D$99,0))*INDEX(EF!$H$100:$H$115,MATCH(Emissions!$D58,EF!$D$100:$D$115,0))*INDEX(EF!$H$116:$H$131,MATCH(Emissions!$D58,EF!$D$116:$D$131,0))*kgtoGg</f>
        <v>0.56789038673711778</v>
      </c>
      <c r="K58" s="22">
        <f>INDEX('Activity data'!K$24:K$39,MATCH(Emissions!$D58,'Activity data'!$D$24:$D$39,0))*INDEX(EF!$H$84:$H$99,MATCH(Emissions!$D58,EF!$D$84:$D$99,0))*INDEX(EF!$H$100:$H$115,MATCH(Emissions!$D58,EF!$D$100:$D$115,0))*INDEX(EF!$H$116:$H$131,MATCH(Emissions!$D58,EF!$D$116:$D$131,0))*kgtoGg</f>
        <v>0.56789038673711778</v>
      </c>
      <c r="L58" s="22">
        <f>INDEX('Activity data'!L$24:L$39,MATCH(Emissions!$D58,'Activity data'!$D$24:$D$39,0))*INDEX(EF!$H$84:$H$99,MATCH(Emissions!$D58,EF!$D$84:$D$99,0))*INDEX(EF!$H$100:$H$115,MATCH(Emissions!$D58,EF!$D$100:$D$115,0))*INDEX(EF!$H$116:$H$131,MATCH(Emissions!$D58,EF!$D$116:$D$131,0))*kgtoGg</f>
        <v>0.56789038673711778</v>
      </c>
      <c r="M58" s="22">
        <f>INDEX('Activity data'!M$24:M$39,MATCH(Emissions!$D58,'Activity data'!$D$24:$D$39,0))*INDEX(EF!$H$84:$H$99,MATCH(Emissions!$D58,EF!$D$84:$D$99,0))*INDEX(EF!$H$100:$H$115,MATCH(Emissions!$D58,EF!$D$100:$D$115,0))*INDEX(EF!$H$116:$H$131,MATCH(Emissions!$D58,EF!$D$116:$D$131,0))*kgtoGg</f>
        <v>0.56789038673711778</v>
      </c>
      <c r="N58" s="22">
        <f>INDEX('Activity data'!N$24:N$39,MATCH(Emissions!$D58,'Activity data'!$D$24:$D$39,0))*INDEX(EF!$H$84:$H$99,MATCH(Emissions!$D58,EF!$D$84:$D$99,0))*INDEX(EF!$H$100:$H$115,MATCH(Emissions!$D58,EF!$D$100:$D$115,0))*INDEX(EF!$H$116:$H$131,MATCH(Emissions!$D58,EF!$D$116:$D$131,0))*kgtoGg</f>
        <v>0.56789038673711778</v>
      </c>
      <c r="O58" s="22">
        <f>INDEX('Activity data'!O$24:O$39,MATCH(Emissions!$D58,'Activity data'!$D$24:$D$39,0))*INDEX(EF!$H$84:$H$99,MATCH(Emissions!$D58,EF!$D$84:$D$99,0))*INDEX(EF!$H$100:$H$115,MATCH(Emissions!$D58,EF!$D$100:$D$115,0))*INDEX(EF!$H$116:$H$131,MATCH(Emissions!$D58,EF!$D$116:$D$131,0))*kgtoGg</f>
        <v>0.56789038673711778</v>
      </c>
      <c r="P58" s="22">
        <f>INDEX('Activity data'!P$24:P$39,MATCH(Emissions!$D58,'Activity data'!$D$24:$D$39,0))*INDEX(EF!$H$84:$H$99,MATCH(Emissions!$D58,EF!$D$84:$D$99,0))*INDEX(EF!$H$100:$H$115,MATCH(Emissions!$D58,EF!$D$100:$D$115,0))*INDEX(EF!$H$116:$H$131,MATCH(Emissions!$D58,EF!$D$116:$D$131,0))*kgtoGg</f>
        <v>0.56789038673711778</v>
      </c>
      <c r="Q58" s="22">
        <f>INDEX('Activity data'!Q$24:Q$39,MATCH(Emissions!$D58,'Activity data'!$D$24:$D$39,0))*INDEX(EF!$H$84:$H$99,MATCH(Emissions!$D58,EF!$D$84:$D$99,0))*INDEX(EF!$H$100:$H$115,MATCH(Emissions!$D58,EF!$D$100:$D$115,0))*INDEX(EF!$H$116:$H$131,MATCH(Emissions!$D58,EF!$D$116:$D$131,0))*kgtoGg</f>
        <v>0.56789038673711778</v>
      </c>
      <c r="R58" s="22">
        <f>INDEX('Activity data'!R$24:R$39,MATCH(Emissions!$D58,'Activity data'!$D$24:$D$39,0))*INDEX(EF!$H$84:$H$99,MATCH(Emissions!$D58,EF!$D$84:$D$99,0))*INDEX(EF!$H$100:$H$115,MATCH(Emissions!$D58,EF!$D$100:$D$115,0))*INDEX(EF!$H$116:$H$131,MATCH(Emissions!$D58,EF!$D$116:$D$131,0))*kgtoGg</f>
        <v>0.57739738292116727</v>
      </c>
      <c r="S58" s="22">
        <f>INDEX('Activity data'!S$24:S$39,MATCH(Emissions!$D58,'Activity data'!$D$24:$D$39,0))*INDEX(EF!$H$84:$H$99,MATCH(Emissions!$D58,EF!$D$84:$D$99,0))*INDEX(EF!$H$100:$H$115,MATCH(Emissions!$D58,EF!$D$100:$D$115,0))*INDEX(EF!$H$116:$H$131,MATCH(Emissions!$D58,EF!$D$116:$D$131,0))*kgtoGg</f>
        <v>0.45049206688637894</v>
      </c>
      <c r="T58" s="22">
        <f>INDEX('Activity data'!T$24:T$39,MATCH(Emissions!$D58,'Activity data'!$D$24:$D$39,0))*INDEX(EF!$H$84:$H$99,MATCH(Emissions!$D58,EF!$D$84:$D$99,0))*INDEX(EF!$H$100:$H$115,MATCH(Emissions!$D58,EF!$D$100:$D$115,0))*INDEX(EF!$H$116:$H$131,MATCH(Emissions!$D58,EF!$D$116:$D$131,0))*kgtoGg</f>
        <v>0.58568329702653155</v>
      </c>
      <c r="U58" s="22">
        <f>INDEX('Activity data'!U$24:U$39,MATCH(Emissions!$D58,'Activity data'!$D$24:$D$39,0))*INDEX(EF!$H$84:$H$99,MATCH(Emissions!$D58,EF!$D$84:$D$99,0))*INDEX(EF!$H$100:$H$115,MATCH(Emissions!$D58,EF!$D$100:$D$115,0))*INDEX(EF!$H$116:$H$131,MATCH(Emissions!$D58,EF!$D$116:$D$131,0))*kgtoGg</f>
        <v>0.54250932353016013</v>
      </c>
      <c r="V58" s="22">
        <f>INDEX('Activity data'!V$24:V$39,MATCH(Emissions!$D58,'Activity data'!$D$24:$D$39,0))*INDEX(EF!$H$84:$H$99,MATCH(Emissions!$D58,EF!$D$84:$D$99,0))*INDEX(EF!$H$100:$H$115,MATCH(Emissions!$D58,EF!$D$100:$D$115,0))*INDEX(EF!$H$116:$H$131,MATCH(Emissions!$D58,EF!$D$116:$D$131,0))*kgtoGg</f>
        <v>0.68336986332135119</v>
      </c>
      <c r="W58" s="22">
        <f>INDEX('Activity data'!W$24:W$39,MATCH(Emissions!$D58,'Activity data'!$D$24:$D$39,0))*INDEX(EF!$H$84:$H$99,MATCH(Emissions!$D58,EF!$D$84:$D$99,0))*INDEX(EF!$H$100:$H$115,MATCH(Emissions!$D58,EF!$D$100:$D$115,0))*INDEX(EF!$H$116:$H$131,MATCH(Emissions!$D58,EF!$D$116:$D$131,0))*kgtoGg</f>
        <v>0.75052937764903993</v>
      </c>
      <c r="X58" s="22">
        <f>INDEX('Activity data'!X$24:X$39,MATCH(Emissions!$D58,'Activity data'!$D$24:$D$39,0))*INDEX(EF!$H$84:$H$99,MATCH(Emissions!$D58,EF!$D$84:$D$99,0))*INDEX(EF!$H$100:$H$115,MATCH(Emissions!$D58,EF!$D$100:$D$115,0))*INDEX(EF!$H$116:$H$131,MATCH(Emissions!$D58,EF!$D$116:$D$131,0))*kgtoGg</f>
        <v>0.5625699576799893</v>
      </c>
      <c r="Y58" s="22">
        <f>INDEX('Activity data'!Y$24:Y$39,MATCH(Emissions!$D58,'Activity data'!$D$24:$D$39,0))*INDEX(EF!$H$84:$H$99,MATCH(Emissions!$D58,EF!$D$84:$D$99,0))*INDEX(EF!$H$100:$H$115,MATCH(Emissions!$D58,EF!$D$100:$D$115,0))*INDEX(EF!$H$116:$H$131,MATCH(Emissions!$D58,EF!$D$116:$D$131,0))*kgtoGg</f>
        <v>0.56431436064953955</v>
      </c>
      <c r="Z58" s="22">
        <f>INDEX('Activity data'!Z$24:Z$39,MATCH(Emissions!$D58,'Activity data'!$D$24:$D$39,0))*INDEX(EF!$H$84:$H$99,MATCH(Emissions!$D58,EF!$D$84:$D$99,0))*INDEX(EF!$H$100:$H$115,MATCH(Emissions!$D58,EF!$D$100:$D$115,0))*INDEX(EF!$H$116:$H$131,MATCH(Emissions!$D58,EF!$D$116:$D$131,0))*kgtoGg</f>
        <v>0.39859607854225587</v>
      </c>
      <c r="AA58" s="22">
        <f>INDEX('Activity data'!AA$24:AA$39,MATCH(Emissions!$D58,'Activity data'!$D$24:$D$39,0))*INDEX(EF!$H$84:$H$99,MATCH(Emissions!$D58,EF!$D$84:$D$99,0))*INDEX(EF!$H$100:$H$115,MATCH(Emissions!$D58,EF!$D$100:$D$115,0))*INDEX(EF!$H$116:$H$131,MATCH(Emissions!$D58,EF!$D$116:$D$131,0))*kgtoGg</f>
        <v>0.41385960452582149</v>
      </c>
      <c r="AB58" s="22">
        <f>INDEX('Activity data'!AB$24:AB$39,MATCH(Emissions!$D58,'Activity data'!$D$24:$D$39,0))*INDEX(EF!$H$84:$H$99,MATCH(Emissions!$D58,EF!$D$84:$D$99,0))*INDEX(EF!$H$100:$H$115,MATCH(Emissions!$D58,EF!$D$100:$D$115,0))*INDEX(EF!$H$116:$H$131,MATCH(Emissions!$D58,EF!$D$116:$D$131,0))*kgtoGg</f>
        <v>0.58478679</v>
      </c>
      <c r="AC58" s="22">
        <f>INDEX('Activity data'!AC$24:AC$39,MATCH(Emissions!$D58,'Activity data'!$D$24:$D$39,0))*INDEX(EF!$H$84:$H$99,MATCH(Emissions!$D58,EF!$D$84:$D$99,0))*INDEX(EF!$H$100:$H$115,MATCH(Emissions!$D58,EF!$D$100:$D$115,0))*INDEX(EF!$H$116:$H$131,MATCH(Emissions!$D58,EF!$D$116:$D$131,0))*kgtoGg</f>
        <v>0.584370045</v>
      </c>
      <c r="AD58" s="22">
        <f>INDEX('Activity data'!AD$24:AD$39,MATCH(Emissions!$D58,'Activity data'!$D$24:$D$39,0))*INDEX(EF!$H$84:$H$99,MATCH(Emissions!$D58,EF!$D$84:$D$99,0))*INDEX(EF!$H$100:$H$115,MATCH(Emissions!$D58,EF!$D$100:$D$115,0))*INDEX(EF!$H$116:$H$131,MATCH(Emissions!$D58,EF!$D$116:$D$131,0))*kgtoGg</f>
        <v>6.2297189589909543</v>
      </c>
      <c r="AE58" s="22">
        <f>INDEX('Activity data'!AE$24:AE$39,MATCH(Emissions!$D58,'Activity data'!$D$24:$D$39,0))*INDEX(EF!$H$84:$H$99,MATCH(Emissions!$D58,EF!$D$84:$D$99,0))*INDEX(EF!$H$100:$H$115,MATCH(Emissions!$D58,EF!$D$100:$D$115,0))*INDEX(EF!$H$116:$H$131,MATCH(Emissions!$D58,EF!$D$116:$D$131,0))*kgtoGg</f>
        <v>6.2126409419483526</v>
      </c>
      <c r="AF58" s="22">
        <f>INDEX('Activity data'!AF$24:AF$39,MATCH(Emissions!$D58,'Activity data'!$D$24:$D$39,0))*INDEX(EF!$H$84:$H$99,MATCH(Emissions!$D58,EF!$D$84:$D$99,0))*INDEX(EF!$H$100:$H$115,MATCH(Emissions!$D58,EF!$D$100:$D$115,0))*INDEX(EF!$H$116:$H$131,MATCH(Emissions!$D58,EF!$D$116:$D$131,0))*kgtoGg</f>
        <v>6.1955629249057527</v>
      </c>
      <c r="AG58" s="22">
        <f>INDEX('Activity data'!AG$24:AG$39,MATCH(Emissions!$D58,'Activity data'!$D$24:$D$39,0))*INDEX(EF!$H$84:$H$99,MATCH(Emissions!$D58,EF!$D$84:$D$99,0))*INDEX(EF!$H$100:$H$115,MATCH(Emissions!$D58,EF!$D$100:$D$115,0))*INDEX(EF!$H$116:$H$131,MATCH(Emissions!$D58,EF!$D$116:$D$131,0))*kgtoGg</f>
        <v>6.1784849078631501</v>
      </c>
      <c r="AH58" s="22">
        <f>INDEX('Activity data'!AH$24:AH$39,MATCH(Emissions!$D58,'Activity data'!$D$24:$D$39,0))*INDEX(EF!$H$84:$H$99,MATCH(Emissions!$D58,EF!$D$84:$D$99,0))*INDEX(EF!$H$100:$H$115,MATCH(Emissions!$D58,EF!$D$100:$D$115,0))*INDEX(EF!$H$116:$H$131,MATCH(Emissions!$D58,EF!$D$116:$D$131,0))*kgtoGg</f>
        <v>6.1614068908205484</v>
      </c>
      <c r="AI58" s="22">
        <f>INDEX('Activity data'!AI$24:AI$39,MATCH(Emissions!$D58,'Activity data'!$D$24:$D$39,0))*INDEX(EF!$H$84:$H$99,MATCH(Emissions!$D58,EF!$D$84:$D$99,0))*INDEX(EF!$H$100:$H$115,MATCH(Emissions!$D58,EF!$D$100:$D$115,0))*INDEX(EF!$H$116:$H$131,MATCH(Emissions!$D58,EF!$D$116:$D$131,0))*kgtoGg</f>
        <v>6.1443288737779493</v>
      </c>
      <c r="AJ58" s="22">
        <f>INDEX('Activity data'!AJ$24:AJ$39,MATCH(Emissions!$D58,'Activity data'!$D$24:$D$39,0))*INDEX(EF!$H$84:$H$99,MATCH(Emissions!$D58,EF!$D$84:$D$99,0))*INDEX(EF!$H$100:$H$115,MATCH(Emissions!$D58,EF!$D$100:$D$115,0))*INDEX(EF!$H$116:$H$131,MATCH(Emissions!$D58,EF!$D$116:$D$131,0))*kgtoGg</f>
        <v>6.1272508567353459</v>
      </c>
      <c r="AK58" s="22">
        <f>INDEX('Activity data'!AK$24:AK$39,MATCH(Emissions!$D58,'Activity data'!$D$24:$D$39,0))*INDEX(EF!$H$84:$H$99,MATCH(Emissions!$D58,EF!$D$84:$D$99,0))*INDEX(EF!$H$100:$H$115,MATCH(Emissions!$D58,EF!$D$100:$D$115,0))*INDEX(EF!$H$116:$H$131,MATCH(Emissions!$D58,EF!$D$116:$D$131,0))*kgtoGg</f>
        <v>6.1181056105238172</v>
      </c>
      <c r="AL58" s="22">
        <f>INDEX('Activity data'!AL$24:AL$39,MATCH(Emissions!$D58,'Activity data'!$D$24:$D$39,0))*INDEX(EF!$H$84:$H$99,MATCH(Emissions!$D58,EF!$D$84:$D$99,0))*INDEX(EF!$H$100:$H$115,MATCH(Emissions!$D58,EF!$D$100:$D$115,0))*INDEX(EF!$H$116:$H$131,MATCH(Emissions!$D58,EF!$D$116:$D$131,0))*kgtoGg</f>
        <v>6.1089603643122858</v>
      </c>
      <c r="AM58" s="22">
        <f>INDEX('Activity data'!AM$24:AM$39,MATCH(Emissions!$D58,'Activity data'!$D$24:$D$39,0))*INDEX(EF!$H$84:$H$99,MATCH(Emissions!$D58,EF!$D$84:$D$99,0))*INDEX(EF!$H$100:$H$115,MATCH(Emissions!$D58,EF!$D$100:$D$115,0))*INDEX(EF!$H$116:$H$131,MATCH(Emissions!$D58,EF!$D$116:$D$131,0))*kgtoGg</f>
        <v>6.0998151181007563</v>
      </c>
      <c r="AN58" s="22">
        <f>INDEX('Activity data'!AN$24:AN$39,MATCH(Emissions!$D58,'Activity data'!$D$24:$D$39,0))*INDEX(EF!$H$84:$H$99,MATCH(Emissions!$D58,EF!$D$84:$D$99,0))*INDEX(EF!$H$100:$H$115,MATCH(Emissions!$D58,EF!$D$100:$D$115,0))*INDEX(EF!$H$116:$H$131,MATCH(Emissions!$D58,EF!$D$116:$D$131,0))*kgtoGg</f>
        <v>6.0906698718892258</v>
      </c>
      <c r="AO58" s="22">
        <f>INDEX('Activity data'!AO$24:AO$39,MATCH(Emissions!$D58,'Activity data'!$D$24:$D$39,0))*INDEX(EF!$H$84:$H$99,MATCH(Emissions!$D58,EF!$D$84:$D$99,0))*INDEX(EF!$H$100:$H$115,MATCH(Emissions!$D58,EF!$D$100:$D$115,0))*INDEX(EF!$H$116:$H$131,MATCH(Emissions!$D58,EF!$D$116:$D$131,0))*kgtoGg</f>
        <v>6.0815246256776962</v>
      </c>
      <c r="AP58" s="22">
        <f>INDEX('Activity data'!AP$24:AP$39,MATCH(Emissions!$D58,'Activity data'!$D$24:$D$39,0))*INDEX(EF!$H$84:$H$99,MATCH(Emissions!$D58,EF!$D$84:$D$99,0))*INDEX(EF!$H$100:$H$115,MATCH(Emissions!$D58,EF!$D$100:$D$115,0))*INDEX(EF!$H$116:$H$131,MATCH(Emissions!$D58,EF!$D$116:$D$131,0))*kgtoGg</f>
        <v>6.0723793794661658</v>
      </c>
      <c r="AQ58" s="22">
        <f>INDEX('Activity data'!AQ$24:AQ$39,MATCH(Emissions!$D58,'Activity data'!$D$24:$D$39,0))*INDEX(EF!$H$84:$H$99,MATCH(Emissions!$D58,EF!$D$84:$D$99,0))*INDEX(EF!$H$100:$H$115,MATCH(Emissions!$D58,EF!$D$100:$D$115,0))*INDEX(EF!$H$116:$H$131,MATCH(Emissions!$D58,EF!$D$116:$D$131,0))*kgtoGg</f>
        <v>6.0632341332546362</v>
      </c>
      <c r="AR58" s="22">
        <f>INDEX('Activity data'!AR$24:AR$39,MATCH(Emissions!$D58,'Activity data'!$D$24:$D$39,0))*INDEX(EF!$H$84:$H$99,MATCH(Emissions!$D58,EF!$D$84:$D$99,0))*INDEX(EF!$H$100:$H$115,MATCH(Emissions!$D58,EF!$D$100:$D$115,0))*INDEX(EF!$H$116:$H$131,MATCH(Emissions!$D58,EF!$D$116:$D$131,0))*kgtoGg</f>
        <v>6.0540888870431049</v>
      </c>
      <c r="AS58" s="22">
        <f>INDEX('Activity data'!AS$24:AS$39,MATCH(Emissions!$D58,'Activity data'!$D$24:$D$39,0))*INDEX(EF!$H$84:$H$99,MATCH(Emissions!$D58,EF!$D$84:$D$99,0))*INDEX(EF!$H$100:$H$115,MATCH(Emissions!$D58,EF!$D$100:$D$115,0))*INDEX(EF!$H$116:$H$131,MATCH(Emissions!$D58,EF!$D$116:$D$131,0))*kgtoGg</f>
        <v>6.0449436408315753</v>
      </c>
      <c r="AT58" s="22">
        <f>INDEX('Activity data'!AT$24:AT$39,MATCH(Emissions!$D58,'Activity data'!$D$24:$D$39,0))*INDEX(EF!$H$84:$H$99,MATCH(Emissions!$D58,EF!$D$84:$D$99,0))*INDEX(EF!$H$100:$H$115,MATCH(Emissions!$D58,EF!$D$100:$D$115,0))*INDEX(EF!$H$116:$H$131,MATCH(Emissions!$D58,EF!$D$116:$D$131,0))*kgtoGg</f>
        <v>6.0357983946200457</v>
      </c>
      <c r="AU58" s="22">
        <f>INDEX('Activity data'!AU$24:AU$39,MATCH(Emissions!$D58,'Activity data'!$D$24:$D$39,0))*INDEX(EF!$H$84:$H$99,MATCH(Emissions!$D58,EF!$D$84:$D$99,0))*INDEX(EF!$H$100:$H$115,MATCH(Emissions!$D58,EF!$D$100:$D$115,0))*INDEX(EF!$H$116:$H$131,MATCH(Emissions!$D58,EF!$D$116:$D$131,0))*kgtoGg</f>
        <v>6.0266531484085162</v>
      </c>
      <c r="AV58" s="22">
        <f>INDEX('Activity data'!AV$24:AV$39,MATCH(Emissions!$D58,'Activity data'!$D$24:$D$39,0))*INDEX(EF!$H$84:$H$99,MATCH(Emissions!$D58,EF!$D$84:$D$99,0))*INDEX(EF!$H$100:$H$115,MATCH(Emissions!$D58,EF!$D$100:$D$115,0))*INDEX(EF!$H$116:$H$131,MATCH(Emissions!$D58,EF!$D$116:$D$131,0))*kgtoGg</f>
        <v>6.0175079021969848</v>
      </c>
      <c r="AW58" s="22">
        <f>INDEX('Activity data'!AW$24:AW$39,MATCH(Emissions!$D58,'Activity data'!$D$24:$D$39,0))*INDEX(EF!$H$84:$H$99,MATCH(Emissions!$D58,EF!$D$84:$D$99,0))*INDEX(EF!$H$100:$H$115,MATCH(Emissions!$D58,EF!$D$100:$D$115,0))*INDEX(EF!$H$116:$H$131,MATCH(Emissions!$D58,EF!$D$116:$D$131,0))*kgtoGg</f>
        <v>6.0083626559854544</v>
      </c>
      <c r="AX58" s="22">
        <f>INDEX('Activity data'!AX$24:AX$39,MATCH(Emissions!$D58,'Activity data'!$D$24:$D$39,0))*INDEX(EF!$H$84:$H$99,MATCH(Emissions!$D58,EF!$D$84:$D$99,0))*INDEX(EF!$H$100:$H$115,MATCH(Emissions!$D58,EF!$D$100:$D$115,0))*INDEX(EF!$H$116:$H$131,MATCH(Emissions!$D58,EF!$D$116:$D$131,0))*kgtoGg</f>
        <v>5.9992174097739257</v>
      </c>
      <c r="AY58" s="22">
        <f>INDEX('Activity data'!AY$24:AY$39,MATCH(Emissions!$D58,'Activity data'!$D$24:$D$39,0))*INDEX(EF!$H$84:$H$99,MATCH(Emissions!$D58,EF!$D$84:$D$99,0))*INDEX(EF!$H$100:$H$115,MATCH(Emissions!$D58,EF!$D$100:$D$115,0))*INDEX(EF!$H$116:$H$131,MATCH(Emissions!$D58,EF!$D$116:$D$131,0))*kgtoGg</f>
        <v>5.9900721635623952</v>
      </c>
      <c r="AZ58" s="22">
        <f>INDEX('Activity data'!AZ$24:AZ$39,MATCH(Emissions!$D58,'Activity data'!$D$24:$D$39,0))*INDEX(EF!$H$84:$H$99,MATCH(Emissions!$D58,EF!$D$84:$D$99,0))*INDEX(EF!$H$100:$H$115,MATCH(Emissions!$D58,EF!$D$100:$D$115,0))*INDEX(EF!$H$116:$H$131,MATCH(Emissions!$D58,EF!$D$116:$D$131,0))*kgtoGg</f>
        <v>5.9809269173508648</v>
      </c>
      <c r="BA58" s="22">
        <f>INDEX('Activity data'!BA$24:BA$39,MATCH(Emissions!$D58,'Activity data'!$D$24:$D$39,0))*INDEX(EF!$H$84:$H$99,MATCH(Emissions!$D58,EF!$D$84:$D$99,0))*INDEX(EF!$H$100:$H$115,MATCH(Emissions!$D58,EF!$D$100:$D$115,0))*INDEX(EF!$H$116:$H$131,MATCH(Emissions!$D58,EF!$D$116:$D$131,0))*kgtoGg</f>
        <v>5.9717816711393343</v>
      </c>
      <c r="BB58" s="22">
        <f>INDEX('Activity data'!BB$24:BB$39,MATCH(Emissions!$D58,'Activity data'!$D$24:$D$39,0))*INDEX(EF!$H$84:$H$99,MATCH(Emissions!$D58,EF!$D$84:$D$99,0))*INDEX(EF!$H$100:$H$115,MATCH(Emissions!$D58,EF!$D$100:$D$115,0))*INDEX(EF!$H$116:$H$131,MATCH(Emissions!$D58,EF!$D$116:$D$131,0))*kgtoGg</f>
        <v>5.9626364249278048</v>
      </c>
      <c r="BC58" s="22">
        <f>INDEX('Activity data'!BC$24:BC$39,MATCH(Emissions!$D58,'Activity data'!$D$24:$D$39,0))*INDEX(EF!$H$84:$H$99,MATCH(Emissions!$D58,EF!$D$84:$D$99,0))*INDEX(EF!$H$100:$H$115,MATCH(Emissions!$D58,EF!$D$100:$D$115,0))*INDEX(EF!$H$116:$H$131,MATCH(Emissions!$D58,EF!$D$116:$D$131,0))*kgtoGg</f>
        <v>5.9534911787162734</v>
      </c>
      <c r="BD58" s="22">
        <f>INDEX('Activity data'!BD$24:BD$39,MATCH(Emissions!$D58,'Activity data'!$D$24:$D$39,0))*INDEX(EF!$H$84:$H$99,MATCH(Emissions!$D58,EF!$D$84:$D$99,0))*INDEX(EF!$H$100:$H$115,MATCH(Emissions!$D58,EF!$D$100:$D$115,0))*INDEX(EF!$H$116:$H$131,MATCH(Emissions!$D58,EF!$D$116:$D$131,0))*kgtoGg</f>
        <v>5.9443459325047439</v>
      </c>
      <c r="BE58" s="22">
        <f>INDEX('Activity data'!BE$24:BE$39,MATCH(Emissions!$D58,'Activity data'!$D$24:$D$39,0))*INDEX(EF!$H$84:$H$99,MATCH(Emissions!$D58,EF!$D$84:$D$99,0))*INDEX(EF!$H$100:$H$115,MATCH(Emissions!$D58,EF!$D$100:$D$115,0))*INDEX(EF!$H$116:$H$131,MATCH(Emissions!$D58,EF!$D$116:$D$131,0))*kgtoGg</f>
        <v>5.9352006862932143</v>
      </c>
      <c r="BF58" s="22">
        <f>INDEX('Activity data'!BF$24:BF$39,MATCH(Emissions!$D58,'Activity data'!$D$24:$D$39,0))*INDEX(EF!$H$84:$H$99,MATCH(Emissions!$D58,EF!$D$84:$D$99,0))*INDEX(EF!$H$100:$H$115,MATCH(Emissions!$D58,EF!$D$100:$D$115,0))*INDEX(EF!$H$116:$H$131,MATCH(Emissions!$D58,EF!$D$116:$D$131,0))*kgtoGg</f>
        <v>5.9260554400816847</v>
      </c>
      <c r="BG58" s="22">
        <f>INDEX('Activity data'!BG$24:BG$39,MATCH(Emissions!$D58,'Activity data'!$D$24:$D$39,0))*INDEX(EF!$H$84:$H$99,MATCH(Emissions!$D58,EF!$D$84:$D$99,0))*INDEX(EF!$H$100:$H$115,MATCH(Emissions!$D58,EF!$D$100:$D$115,0))*INDEX(EF!$H$116:$H$131,MATCH(Emissions!$D58,EF!$D$116:$D$131,0))*kgtoGg</f>
        <v>5.9169101938701552</v>
      </c>
      <c r="BH58" s="22">
        <f>INDEX('Activity data'!BH$24:BH$39,MATCH(Emissions!$D58,'Activity data'!$D$24:$D$39,0))*INDEX(EF!$H$84:$H$99,MATCH(Emissions!$D58,EF!$D$84:$D$99,0))*INDEX(EF!$H$100:$H$115,MATCH(Emissions!$D58,EF!$D$100:$D$115,0))*INDEX(EF!$H$116:$H$131,MATCH(Emissions!$D58,EF!$D$116:$D$131,0))*kgtoGg</f>
        <v>5.9077649476586238</v>
      </c>
      <c r="BI58" s="22">
        <f>INDEX('Activity data'!BI$24:BI$39,MATCH(Emissions!$D58,'Activity data'!$D$24:$D$39,0))*INDEX(EF!$H$84:$H$99,MATCH(Emissions!$D58,EF!$D$84:$D$99,0))*INDEX(EF!$H$100:$H$115,MATCH(Emissions!$D58,EF!$D$100:$D$115,0))*INDEX(EF!$H$116:$H$131,MATCH(Emissions!$D58,EF!$D$116:$D$131,0))*kgtoGg</f>
        <v>5.8986197014470942</v>
      </c>
      <c r="BJ58" s="22">
        <f>INDEX('Activity data'!BJ$24:BJ$39,MATCH(Emissions!$D58,'Activity data'!$D$24:$D$39,0))*INDEX(EF!$H$84:$H$99,MATCH(Emissions!$D58,EF!$D$84:$D$99,0))*INDEX(EF!$H$100:$H$115,MATCH(Emissions!$D58,EF!$D$100:$D$115,0))*INDEX(EF!$H$116:$H$131,MATCH(Emissions!$D58,EF!$D$116:$D$131,0))*kgtoGg</f>
        <v>5.8894744552355647</v>
      </c>
      <c r="BK58" s="22">
        <f>INDEX('Activity data'!BK$24:BK$39,MATCH(Emissions!$D58,'Activity data'!$D$24:$D$39,0))*INDEX(EF!$H$84:$H$99,MATCH(Emissions!$D58,EF!$D$84:$D$99,0))*INDEX(EF!$H$100:$H$115,MATCH(Emissions!$D58,EF!$D$100:$D$115,0))*INDEX(EF!$H$116:$H$131,MATCH(Emissions!$D58,EF!$D$116:$D$131,0))*kgtoGg</f>
        <v>5.8803292090240351</v>
      </c>
      <c r="BL58" s="22">
        <f>INDEX('Activity data'!BL$24:BL$39,MATCH(Emissions!$D58,'Activity data'!$D$24:$D$39,0))*INDEX(EF!$H$84:$H$99,MATCH(Emissions!$D58,EF!$D$84:$D$99,0))*INDEX(EF!$H$100:$H$115,MATCH(Emissions!$D58,EF!$D$100:$D$115,0))*INDEX(EF!$H$116:$H$131,MATCH(Emissions!$D58,EF!$D$116:$D$131,0))*kgtoGg</f>
        <v>5.8711839628125055</v>
      </c>
      <c r="BM58" s="22">
        <f>INDEX('Activity data'!BM$24:BM$39,MATCH(Emissions!$D58,'Activity data'!$D$24:$D$39,0))*INDEX(EF!$H$84:$H$99,MATCH(Emissions!$D58,EF!$D$84:$D$99,0))*INDEX(EF!$H$100:$H$115,MATCH(Emissions!$D58,EF!$D$100:$D$115,0))*INDEX(EF!$H$116:$H$131,MATCH(Emissions!$D58,EF!$D$116:$D$131,0))*kgtoGg</f>
        <v>5.8620387166009751</v>
      </c>
      <c r="BN58" s="22">
        <f>INDEX('Activity data'!BN$24:BN$39,MATCH(Emissions!$D58,'Activity data'!$D$24:$D$39,0))*INDEX(EF!$H$84:$H$99,MATCH(Emissions!$D58,EF!$D$84:$D$99,0))*INDEX(EF!$H$100:$H$115,MATCH(Emissions!$D58,EF!$D$100:$D$115,0))*INDEX(EF!$H$116:$H$131,MATCH(Emissions!$D58,EF!$D$116:$D$131,0))*kgtoGg</f>
        <v>5.8528934703894437</v>
      </c>
      <c r="BO58" s="22">
        <f>INDEX('Activity data'!BO$24:BO$39,MATCH(Emissions!$D58,'Activity data'!$D$24:$D$39,0))*INDEX(EF!$H$84:$H$99,MATCH(Emissions!$D58,EF!$D$84:$D$99,0))*INDEX(EF!$H$100:$H$115,MATCH(Emissions!$D58,EF!$D$100:$D$115,0))*INDEX(EF!$H$116:$H$131,MATCH(Emissions!$D58,EF!$D$116:$D$131,0))*kgtoGg</f>
        <v>5.8437482241779151</v>
      </c>
      <c r="BP58" s="22">
        <f>INDEX('Activity data'!BP$24:BP$39,MATCH(Emissions!$D58,'Activity data'!$D$24:$D$39,0))*INDEX(EF!$H$84:$H$99,MATCH(Emissions!$D58,EF!$D$84:$D$99,0))*INDEX(EF!$H$100:$H$115,MATCH(Emissions!$D58,EF!$D$100:$D$115,0))*INDEX(EF!$H$116:$H$131,MATCH(Emissions!$D58,EF!$D$116:$D$131,0))*kgtoGg</f>
        <v>5.8346029779663855</v>
      </c>
    </row>
    <row r="59" spans="1:68" x14ac:dyDescent="0.25">
      <c r="A59" t="str">
        <f t="shared" si="13"/>
        <v>3C Aggregated and non-CO2 emissions on land</v>
      </c>
      <c r="B59" t="str">
        <f t="shared" si="14"/>
        <v>3C1 Biomass burning (CH4)</v>
      </c>
      <c r="C59" t="str">
        <f>C58</f>
        <v>3C1b Biomass burning in Croplands</v>
      </c>
      <c r="D59" t="str">
        <f>EF!D89</f>
        <v>Annual pivot</v>
      </c>
      <c r="E59" t="s">
        <v>652</v>
      </c>
      <c r="F59" t="str">
        <f t="shared" si="16"/>
        <v>CH4</v>
      </c>
      <c r="G59" t="str">
        <f t="shared" si="17"/>
        <v>Gg CH4</v>
      </c>
      <c r="H59" s="22">
        <f>INDEX('Activity data'!H$24:H$39,MATCH(Emissions!$D59,'Activity data'!$D$24:$D$39,0))*INDEX(EF!$H$84:$H$99,MATCH(Emissions!$D59,EF!$D$84:$D$99,0))*INDEX(EF!$H$100:$H$115,MATCH(Emissions!$D59,EF!$D$100:$D$115,0))*INDEX(EF!$H$116:$H$131,MATCH(Emissions!$D59,EF!$D$116:$D$131,0))*kgtoGg</f>
        <v>7.1890335181109197</v>
      </c>
      <c r="I59" s="22">
        <f>INDEX('Activity data'!I$24:I$39,MATCH(Emissions!$D59,'Activity data'!$D$24:$D$39,0))*INDEX(EF!$H$84:$H$99,MATCH(Emissions!$D59,EF!$D$84:$D$99,0))*INDEX(EF!$H$100:$H$115,MATCH(Emissions!$D59,EF!$D$100:$D$115,0))*INDEX(EF!$H$116:$H$131,MATCH(Emissions!$D59,EF!$D$116:$D$131,0))*kgtoGg</f>
        <v>7.1890335181109197</v>
      </c>
      <c r="J59" s="22">
        <f>INDEX('Activity data'!J$24:J$39,MATCH(Emissions!$D59,'Activity data'!$D$24:$D$39,0))*INDEX(EF!$H$84:$H$99,MATCH(Emissions!$D59,EF!$D$84:$D$99,0))*INDEX(EF!$H$100:$H$115,MATCH(Emissions!$D59,EF!$D$100:$D$115,0))*INDEX(EF!$H$116:$H$131,MATCH(Emissions!$D59,EF!$D$116:$D$131,0))*kgtoGg</f>
        <v>7.1890335181109197</v>
      </c>
      <c r="K59" s="22">
        <f>INDEX('Activity data'!K$24:K$39,MATCH(Emissions!$D59,'Activity data'!$D$24:$D$39,0))*INDEX(EF!$H$84:$H$99,MATCH(Emissions!$D59,EF!$D$84:$D$99,0))*INDEX(EF!$H$100:$H$115,MATCH(Emissions!$D59,EF!$D$100:$D$115,0))*INDEX(EF!$H$116:$H$131,MATCH(Emissions!$D59,EF!$D$116:$D$131,0))*kgtoGg</f>
        <v>7.1890335181109197</v>
      </c>
      <c r="L59" s="22">
        <f>INDEX('Activity data'!L$24:L$39,MATCH(Emissions!$D59,'Activity data'!$D$24:$D$39,0))*INDEX(EF!$H$84:$H$99,MATCH(Emissions!$D59,EF!$D$84:$D$99,0))*INDEX(EF!$H$100:$H$115,MATCH(Emissions!$D59,EF!$D$100:$D$115,0))*INDEX(EF!$H$116:$H$131,MATCH(Emissions!$D59,EF!$D$116:$D$131,0))*kgtoGg</f>
        <v>7.1890335181109197</v>
      </c>
      <c r="M59" s="22">
        <f>INDEX('Activity data'!M$24:M$39,MATCH(Emissions!$D59,'Activity data'!$D$24:$D$39,0))*INDEX(EF!$H$84:$H$99,MATCH(Emissions!$D59,EF!$D$84:$D$99,0))*INDEX(EF!$H$100:$H$115,MATCH(Emissions!$D59,EF!$D$100:$D$115,0))*INDEX(EF!$H$116:$H$131,MATCH(Emissions!$D59,EF!$D$116:$D$131,0))*kgtoGg</f>
        <v>7.1890335181109197</v>
      </c>
      <c r="N59" s="22">
        <f>INDEX('Activity data'!N$24:N$39,MATCH(Emissions!$D59,'Activity data'!$D$24:$D$39,0))*INDEX(EF!$H$84:$H$99,MATCH(Emissions!$D59,EF!$D$84:$D$99,0))*INDEX(EF!$H$100:$H$115,MATCH(Emissions!$D59,EF!$D$100:$D$115,0))*INDEX(EF!$H$116:$H$131,MATCH(Emissions!$D59,EF!$D$116:$D$131,0))*kgtoGg</f>
        <v>7.1890335181109197</v>
      </c>
      <c r="O59" s="22">
        <f>INDEX('Activity data'!O$24:O$39,MATCH(Emissions!$D59,'Activity data'!$D$24:$D$39,0))*INDEX(EF!$H$84:$H$99,MATCH(Emissions!$D59,EF!$D$84:$D$99,0))*INDEX(EF!$H$100:$H$115,MATCH(Emissions!$D59,EF!$D$100:$D$115,0))*INDEX(EF!$H$116:$H$131,MATCH(Emissions!$D59,EF!$D$116:$D$131,0))*kgtoGg</f>
        <v>7.1890335181109197</v>
      </c>
      <c r="P59" s="22">
        <f>INDEX('Activity data'!P$24:P$39,MATCH(Emissions!$D59,'Activity data'!$D$24:$D$39,0))*INDEX(EF!$H$84:$H$99,MATCH(Emissions!$D59,EF!$D$84:$D$99,0))*INDEX(EF!$H$100:$H$115,MATCH(Emissions!$D59,EF!$D$100:$D$115,0))*INDEX(EF!$H$116:$H$131,MATCH(Emissions!$D59,EF!$D$116:$D$131,0))*kgtoGg</f>
        <v>7.1890335181109197</v>
      </c>
      <c r="Q59" s="22">
        <f>INDEX('Activity data'!Q$24:Q$39,MATCH(Emissions!$D59,'Activity data'!$D$24:$D$39,0))*INDEX(EF!$H$84:$H$99,MATCH(Emissions!$D59,EF!$D$84:$D$99,0))*INDEX(EF!$H$100:$H$115,MATCH(Emissions!$D59,EF!$D$100:$D$115,0))*INDEX(EF!$H$116:$H$131,MATCH(Emissions!$D59,EF!$D$116:$D$131,0))*kgtoGg</f>
        <v>7.1890335181109197</v>
      </c>
      <c r="R59" s="22">
        <f>INDEX('Activity data'!R$24:R$39,MATCH(Emissions!$D59,'Activity data'!$D$24:$D$39,0))*INDEX(EF!$H$84:$H$99,MATCH(Emissions!$D59,EF!$D$84:$D$99,0))*INDEX(EF!$H$100:$H$115,MATCH(Emissions!$D59,EF!$D$100:$D$115,0))*INDEX(EF!$H$116:$H$131,MATCH(Emissions!$D59,EF!$D$116:$D$131,0))*kgtoGg</f>
        <v>7.7769845389978656</v>
      </c>
      <c r="S59" s="22">
        <f>INDEX('Activity data'!S$24:S$39,MATCH(Emissions!$D59,'Activity data'!$D$24:$D$39,0))*INDEX(EF!$H$84:$H$99,MATCH(Emissions!$D59,EF!$D$84:$D$99,0))*INDEX(EF!$H$100:$H$115,MATCH(Emissions!$D59,EF!$D$100:$D$115,0))*INDEX(EF!$H$116:$H$131,MATCH(Emissions!$D59,EF!$D$116:$D$131,0))*kgtoGg</f>
        <v>7.2043842642429627</v>
      </c>
      <c r="T59" s="22">
        <f>INDEX('Activity data'!T$24:T$39,MATCH(Emissions!$D59,'Activity data'!$D$24:$D$39,0))*INDEX(EF!$H$84:$H$99,MATCH(Emissions!$D59,EF!$D$84:$D$99,0))*INDEX(EF!$H$100:$H$115,MATCH(Emissions!$D59,EF!$D$100:$D$115,0))*INDEX(EF!$H$116:$H$131,MATCH(Emissions!$D59,EF!$D$116:$D$131,0))*kgtoGg</f>
        <v>8.8223180185009138</v>
      </c>
      <c r="U59" s="22">
        <f>INDEX('Activity data'!U$24:U$39,MATCH(Emissions!$D59,'Activity data'!$D$24:$D$39,0))*INDEX(EF!$H$84:$H$99,MATCH(Emissions!$D59,EF!$D$84:$D$99,0))*INDEX(EF!$H$100:$H$115,MATCH(Emissions!$D59,EF!$D$100:$D$115,0))*INDEX(EF!$H$116:$H$131,MATCH(Emissions!$D59,EF!$D$116:$D$131,0))*kgtoGg</f>
        <v>6.58642951227975</v>
      </c>
      <c r="V59" s="22">
        <f>INDEX('Activity data'!V$24:V$39,MATCH(Emissions!$D59,'Activity data'!$D$24:$D$39,0))*INDEX(EF!$H$84:$H$99,MATCH(Emissions!$D59,EF!$D$84:$D$99,0))*INDEX(EF!$H$100:$H$115,MATCH(Emissions!$D59,EF!$D$100:$D$115,0))*INDEX(EF!$H$116:$H$131,MATCH(Emissions!$D59,EF!$D$116:$D$131,0))*kgtoGg</f>
        <v>5.5550512565331021</v>
      </c>
      <c r="W59" s="22">
        <f>INDEX('Activity data'!W$24:W$39,MATCH(Emissions!$D59,'Activity data'!$D$24:$D$39,0))*INDEX(EF!$H$84:$H$99,MATCH(Emissions!$D59,EF!$D$84:$D$99,0))*INDEX(EF!$H$100:$H$115,MATCH(Emissions!$D59,EF!$D$100:$D$115,0))*INDEX(EF!$H$116:$H$131,MATCH(Emissions!$D59,EF!$D$116:$D$131,0))*kgtoGg</f>
        <v>9.4036403081035704</v>
      </c>
      <c r="X59" s="22">
        <f>INDEX('Activity data'!X$24:X$39,MATCH(Emissions!$D59,'Activity data'!$D$24:$D$39,0))*INDEX(EF!$H$84:$H$99,MATCH(Emissions!$D59,EF!$D$84:$D$99,0))*INDEX(EF!$H$100:$H$115,MATCH(Emissions!$D59,EF!$D$100:$D$115,0))*INDEX(EF!$H$116:$H$131,MATCH(Emissions!$D59,EF!$D$116:$D$131,0))*kgtoGg</f>
        <v>9.5850582169368082</v>
      </c>
      <c r="Y59" s="22">
        <f>INDEX('Activity data'!Y$24:Y$39,MATCH(Emissions!$D59,'Activity data'!$D$24:$D$39,0))*INDEX(EF!$H$84:$H$99,MATCH(Emissions!$D59,EF!$D$84:$D$99,0))*INDEX(EF!$H$100:$H$115,MATCH(Emissions!$D59,EF!$D$100:$D$115,0))*INDEX(EF!$H$116:$H$131,MATCH(Emissions!$D59,EF!$D$116:$D$131,0))*kgtoGg</f>
        <v>5.4189878249081751</v>
      </c>
      <c r="Z59" s="22">
        <f>INDEX('Activity data'!Z$24:Z$39,MATCH(Emissions!$D59,'Activity data'!$D$24:$D$39,0))*INDEX(EF!$H$84:$H$99,MATCH(Emissions!$D59,EF!$D$84:$D$99,0))*INDEX(EF!$H$100:$H$115,MATCH(Emissions!$D59,EF!$D$100:$D$115,0))*INDEX(EF!$H$116:$H$131,MATCH(Emissions!$D59,EF!$D$116:$D$131,0))*kgtoGg</f>
        <v>6.2693842725639728</v>
      </c>
      <c r="AA59" s="22">
        <f>INDEX('Activity data'!AA$24:AA$39,MATCH(Emissions!$D59,'Activity data'!$D$24:$D$39,0))*INDEX(EF!$H$84:$H$99,MATCH(Emissions!$D59,EF!$D$84:$D$99,0))*INDEX(EF!$H$100:$H$115,MATCH(Emissions!$D59,EF!$D$100:$D$115,0))*INDEX(EF!$H$116:$H$131,MATCH(Emissions!$D59,EF!$D$116:$D$131,0))*kgtoGg</f>
        <v>6.2022247582362837</v>
      </c>
      <c r="AB59" s="22">
        <f>INDEX('Activity data'!AB$24:AB$39,MATCH(Emissions!$D59,'Activity data'!$D$24:$D$39,0))*INDEX(EF!$H$84:$H$99,MATCH(Emissions!$D59,EF!$D$84:$D$99,0))*INDEX(EF!$H$100:$H$115,MATCH(Emissions!$D59,EF!$D$100:$D$115,0))*INDEX(EF!$H$116:$H$131,MATCH(Emissions!$D59,EF!$D$116:$D$131,0))*kgtoGg</f>
        <v>6.9937244370000009</v>
      </c>
      <c r="AC59" s="22">
        <f>INDEX('Activity data'!AC$24:AC$39,MATCH(Emissions!$D59,'Activity data'!$D$24:$D$39,0))*INDEX(EF!$H$84:$H$99,MATCH(Emissions!$D59,EF!$D$84:$D$99,0))*INDEX(EF!$H$100:$H$115,MATCH(Emissions!$D59,EF!$D$100:$D$115,0))*INDEX(EF!$H$116:$H$131,MATCH(Emissions!$D59,EF!$D$116:$D$131,0))*kgtoGg</f>
        <v>7.3062814859999996</v>
      </c>
      <c r="AD59" s="22">
        <f>INDEX('Activity data'!AD$24:AD$39,MATCH(Emissions!$D59,'Activity data'!$D$24:$D$39,0))*INDEX(EF!$H$84:$H$99,MATCH(Emissions!$D59,EF!$D$84:$D$99,0))*INDEX(EF!$H$100:$H$115,MATCH(Emissions!$D59,EF!$D$100:$D$115,0))*INDEX(EF!$H$116:$H$131,MATCH(Emissions!$D59,EF!$D$116:$D$131,0))*kgtoGg</f>
        <v>0.51545593822160218</v>
      </c>
      <c r="AE59" s="22">
        <f>INDEX('Activity data'!AE$24:AE$39,MATCH(Emissions!$D59,'Activity data'!$D$24:$D$39,0))*INDEX(EF!$H$84:$H$99,MATCH(Emissions!$D59,EF!$D$84:$D$99,0))*INDEX(EF!$H$100:$H$115,MATCH(Emissions!$D59,EF!$D$100:$D$115,0))*INDEX(EF!$H$116:$H$131,MATCH(Emissions!$D59,EF!$D$116:$D$131,0))*kgtoGg</f>
        <v>0.53112945404780765</v>
      </c>
      <c r="AF59" s="22">
        <f>INDEX('Activity data'!AF$24:AF$39,MATCH(Emissions!$D59,'Activity data'!$D$24:$D$39,0))*INDEX(EF!$H$84:$H$99,MATCH(Emissions!$D59,EF!$D$84:$D$99,0))*INDEX(EF!$H$100:$H$115,MATCH(Emissions!$D59,EF!$D$100:$D$115,0))*INDEX(EF!$H$116:$H$131,MATCH(Emissions!$D59,EF!$D$116:$D$131,0))*kgtoGg</f>
        <v>0.54680296987401311</v>
      </c>
      <c r="AG59" s="22">
        <f>INDEX('Activity data'!AG$24:AG$39,MATCH(Emissions!$D59,'Activity data'!$D$24:$D$39,0))*INDEX(EF!$H$84:$H$99,MATCH(Emissions!$D59,EF!$D$84:$D$99,0))*INDEX(EF!$H$100:$H$115,MATCH(Emissions!$D59,EF!$D$100:$D$115,0))*INDEX(EF!$H$116:$H$131,MATCH(Emissions!$D59,EF!$D$116:$D$131,0))*kgtoGg</f>
        <v>0.5624764857002188</v>
      </c>
      <c r="AH59" s="22">
        <f>INDEX('Activity data'!AH$24:AH$39,MATCH(Emissions!$D59,'Activity data'!$D$24:$D$39,0))*INDEX(EF!$H$84:$H$99,MATCH(Emissions!$D59,EF!$D$84:$D$99,0))*INDEX(EF!$H$100:$H$115,MATCH(Emissions!$D59,EF!$D$100:$D$115,0))*INDEX(EF!$H$116:$H$131,MATCH(Emissions!$D59,EF!$D$116:$D$131,0))*kgtoGg</f>
        <v>0.57815000152642426</v>
      </c>
      <c r="AI59" s="22">
        <f>INDEX('Activity data'!AI$24:AI$39,MATCH(Emissions!$D59,'Activity data'!$D$24:$D$39,0))*INDEX(EF!$H$84:$H$99,MATCH(Emissions!$D59,EF!$D$84:$D$99,0))*INDEX(EF!$H$100:$H$115,MATCH(Emissions!$D59,EF!$D$100:$D$115,0))*INDEX(EF!$H$116:$H$131,MATCH(Emissions!$D59,EF!$D$116:$D$131,0))*kgtoGg</f>
        <v>0.59382351735262984</v>
      </c>
      <c r="AJ59" s="22">
        <f>INDEX('Activity data'!AJ$24:AJ$39,MATCH(Emissions!$D59,'Activity data'!$D$24:$D$39,0))*INDEX(EF!$H$84:$H$99,MATCH(Emissions!$D59,EF!$D$84:$D$99,0))*INDEX(EF!$H$100:$H$115,MATCH(Emissions!$D59,EF!$D$100:$D$115,0))*INDEX(EF!$H$116:$H$131,MATCH(Emissions!$D59,EF!$D$116:$D$131,0))*kgtoGg</f>
        <v>0.6094970331788353</v>
      </c>
      <c r="AK59" s="22">
        <f>INDEX('Activity data'!AK$24:AK$39,MATCH(Emissions!$D59,'Activity data'!$D$24:$D$39,0))*INDEX(EF!$H$84:$H$99,MATCH(Emissions!$D59,EF!$D$84:$D$99,0))*INDEX(EF!$H$100:$H$115,MATCH(Emissions!$D59,EF!$D$100:$D$115,0))*INDEX(EF!$H$116:$H$131,MATCH(Emissions!$D59,EF!$D$116:$D$131,0))*kgtoGg</f>
        <v>0.62280260092540629</v>
      </c>
      <c r="AL59" s="22">
        <f>INDEX('Activity data'!AL$24:AL$39,MATCH(Emissions!$D59,'Activity data'!$D$24:$D$39,0))*INDEX(EF!$H$84:$H$99,MATCH(Emissions!$D59,EF!$D$84:$D$99,0))*INDEX(EF!$H$100:$H$115,MATCH(Emissions!$D59,EF!$D$100:$D$115,0))*INDEX(EF!$H$116:$H$131,MATCH(Emissions!$D59,EF!$D$116:$D$131,0))*kgtoGg</f>
        <v>0.63610816867197728</v>
      </c>
      <c r="AM59" s="22">
        <f>INDEX('Activity data'!AM$24:AM$39,MATCH(Emissions!$D59,'Activity data'!$D$24:$D$39,0))*INDEX(EF!$H$84:$H$99,MATCH(Emissions!$D59,EF!$D$84:$D$99,0))*INDEX(EF!$H$100:$H$115,MATCH(Emissions!$D59,EF!$D$100:$D$115,0))*INDEX(EF!$H$116:$H$131,MATCH(Emissions!$D59,EF!$D$116:$D$131,0))*kgtoGg</f>
        <v>0.64941373641854849</v>
      </c>
      <c r="AN59" s="22">
        <f>INDEX('Activity data'!AN$24:AN$39,MATCH(Emissions!$D59,'Activity data'!$D$24:$D$39,0))*INDEX(EF!$H$84:$H$99,MATCH(Emissions!$D59,EF!$D$84:$D$99,0))*INDEX(EF!$H$100:$H$115,MATCH(Emissions!$D59,EF!$D$100:$D$115,0))*INDEX(EF!$H$116:$H$131,MATCH(Emissions!$D59,EF!$D$116:$D$131,0))*kgtoGg</f>
        <v>0.66271930416511948</v>
      </c>
      <c r="AO59" s="22">
        <f>INDEX('Activity data'!AO$24:AO$39,MATCH(Emissions!$D59,'Activity data'!$D$24:$D$39,0))*INDEX(EF!$H$84:$H$99,MATCH(Emissions!$D59,EF!$D$84:$D$99,0))*INDEX(EF!$H$100:$H$115,MATCH(Emissions!$D59,EF!$D$100:$D$115,0))*INDEX(EF!$H$116:$H$131,MATCH(Emissions!$D59,EF!$D$116:$D$131,0))*kgtoGg</f>
        <v>0.67602487191169047</v>
      </c>
      <c r="AP59" s="22">
        <f>INDEX('Activity data'!AP$24:AP$39,MATCH(Emissions!$D59,'Activity data'!$D$24:$D$39,0))*INDEX(EF!$H$84:$H$99,MATCH(Emissions!$D59,EF!$D$84:$D$99,0))*INDEX(EF!$H$100:$H$115,MATCH(Emissions!$D59,EF!$D$100:$D$115,0))*INDEX(EF!$H$116:$H$131,MATCH(Emissions!$D59,EF!$D$116:$D$131,0))*kgtoGg</f>
        <v>0.68933043965826168</v>
      </c>
      <c r="AQ59" s="22">
        <f>INDEX('Activity data'!AQ$24:AQ$39,MATCH(Emissions!$D59,'Activity data'!$D$24:$D$39,0))*INDEX(EF!$H$84:$H$99,MATCH(Emissions!$D59,EF!$D$84:$D$99,0))*INDEX(EF!$H$100:$H$115,MATCH(Emissions!$D59,EF!$D$100:$D$115,0))*INDEX(EF!$H$116:$H$131,MATCH(Emissions!$D59,EF!$D$116:$D$131,0))*kgtoGg</f>
        <v>0.70263600740483267</v>
      </c>
      <c r="AR59" s="22">
        <f>INDEX('Activity data'!AR$24:AR$39,MATCH(Emissions!$D59,'Activity data'!$D$24:$D$39,0))*INDEX(EF!$H$84:$H$99,MATCH(Emissions!$D59,EF!$D$84:$D$99,0))*INDEX(EF!$H$100:$H$115,MATCH(Emissions!$D59,EF!$D$100:$D$115,0))*INDEX(EF!$H$116:$H$131,MATCH(Emissions!$D59,EF!$D$116:$D$131,0))*kgtoGg</f>
        <v>0.71594157515140378</v>
      </c>
      <c r="AS59" s="22">
        <f>INDEX('Activity data'!AS$24:AS$39,MATCH(Emissions!$D59,'Activity data'!$D$24:$D$39,0))*INDEX(EF!$H$84:$H$99,MATCH(Emissions!$D59,EF!$D$84:$D$99,0))*INDEX(EF!$H$100:$H$115,MATCH(Emissions!$D59,EF!$D$100:$D$115,0))*INDEX(EF!$H$116:$H$131,MATCH(Emissions!$D59,EF!$D$116:$D$131,0))*kgtoGg</f>
        <v>0.72924714289797476</v>
      </c>
      <c r="AT59" s="22">
        <f>INDEX('Activity data'!AT$24:AT$39,MATCH(Emissions!$D59,'Activity data'!$D$24:$D$39,0))*INDEX(EF!$H$84:$H$99,MATCH(Emissions!$D59,EF!$D$84:$D$99,0))*INDEX(EF!$H$100:$H$115,MATCH(Emissions!$D59,EF!$D$100:$D$115,0))*INDEX(EF!$H$116:$H$131,MATCH(Emissions!$D59,EF!$D$116:$D$131,0))*kgtoGg</f>
        <v>0.74255271064454609</v>
      </c>
      <c r="AU59" s="22">
        <f>INDEX('Activity data'!AU$24:AU$39,MATCH(Emissions!$D59,'Activity data'!$D$24:$D$39,0))*INDEX(EF!$H$84:$H$99,MATCH(Emissions!$D59,EF!$D$84:$D$99,0))*INDEX(EF!$H$100:$H$115,MATCH(Emissions!$D59,EF!$D$100:$D$115,0))*INDEX(EF!$H$116:$H$131,MATCH(Emissions!$D59,EF!$D$116:$D$131,0))*kgtoGg</f>
        <v>0.75585827839111708</v>
      </c>
      <c r="AV59" s="22">
        <f>INDEX('Activity data'!AV$24:AV$39,MATCH(Emissions!$D59,'Activity data'!$D$24:$D$39,0))*INDEX(EF!$H$84:$H$99,MATCH(Emissions!$D59,EF!$D$84:$D$99,0))*INDEX(EF!$H$100:$H$115,MATCH(Emissions!$D59,EF!$D$100:$D$115,0))*INDEX(EF!$H$116:$H$131,MATCH(Emissions!$D59,EF!$D$116:$D$131,0))*kgtoGg</f>
        <v>0.76916384613768829</v>
      </c>
      <c r="AW59" s="22">
        <f>INDEX('Activity data'!AW$24:AW$39,MATCH(Emissions!$D59,'Activity data'!$D$24:$D$39,0))*INDEX(EF!$H$84:$H$99,MATCH(Emissions!$D59,EF!$D$84:$D$99,0))*INDEX(EF!$H$100:$H$115,MATCH(Emissions!$D59,EF!$D$100:$D$115,0))*INDEX(EF!$H$116:$H$131,MATCH(Emissions!$D59,EF!$D$116:$D$131,0))*kgtoGg</f>
        <v>0.78246941388425928</v>
      </c>
      <c r="AX59" s="22">
        <f>INDEX('Activity data'!AX$24:AX$39,MATCH(Emissions!$D59,'Activity data'!$D$24:$D$39,0))*INDEX(EF!$H$84:$H$99,MATCH(Emissions!$D59,EF!$D$84:$D$99,0))*INDEX(EF!$H$100:$H$115,MATCH(Emissions!$D59,EF!$D$100:$D$115,0))*INDEX(EF!$H$116:$H$131,MATCH(Emissions!$D59,EF!$D$116:$D$131,0))*kgtoGg</f>
        <v>0.79577498163083005</v>
      </c>
      <c r="AY59" s="22">
        <f>INDEX('Activity data'!AY$24:AY$39,MATCH(Emissions!$D59,'Activity data'!$D$24:$D$39,0))*INDEX(EF!$H$84:$H$99,MATCH(Emissions!$D59,EF!$D$84:$D$99,0))*INDEX(EF!$H$100:$H$115,MATCH(Emissions!$D59,EF!$D$100:$D$115,0))*INDEX(EF!$H$116:$H$131,MATCH(Emissions!$D59,EF!$D$116:$D$131,0))*kgtoGg</f>
        <v>0.80908054937740104</v>
      </c>
      <c r="AZ59" s="22">
        <f>INDEX('Activity data'!AZ$24:AZ$39,MATCH(Emissions!$D59,'Activity data'!$D$24:$D$39,0))*INDEX(EF!$H$84:$H$99,MATCH(Emissions!$D59,EF!$D$84:$D$99,0))*INDEX(EF!$H$100:$H$115,MATCH(Emissions!$D59,EF!$D$100:$D$115,0))*INDEX(EF!$H$116:$H$131,MATCH(Emissions!$D59,EF!$D$116:$D$131,0))*kgtoGg</f>
        <v>0.82238611712397214</v>
      </c>
      <c r="BA59" s="22">
        <f>INDEX('Activity data'!BA$24:BA$39,MATCH(Emissions!$D59,'Activity data'!$D$24:$D$39,0))*INDEX(EF!$H$84:$H$99,MATCH(Emissions!$D59,EF!$D$84:$D$99,0))*INDEX(EF!$H$100:$H$115,MATCH(Emissions!$D59,EF!$D$100:$D$115,0))*INDEX(EF!$H$116:$H$131,MATCH(Emissions!$D59,EF!$D$116:$D$131,0))*kgtoGg</f>
        <v>0.83569168487054335</v>
      </c>
      <c r="BB59" s="22">
        <f>INDEX('Activity data'!BB$24:BB$39,MATCH(Emissions!$D59,'Activity data'!$D$24:$D$39,0))*INDEX(EF!$H$84:$H$99,MATCH(Emissions!$D59,EF!$D$84:$D$99,0))*INDEX(EF!$H$100:$H$115,MATCH(Emissions!$D59,EF!$D$100:$D$115,0))*INDEX(EF!$H$116:$H$131,MATCH(Emissions!$D59,EF!$D$116:$D$131,0))*kgtoGg</f>
        <v>0.84899725261711467</v>
      </c>
      <c r="BC59" s="22">
        <f>INDEX('Activity data'!BC$24:BC$39,MATCH(Emissions!$D59,'Activity data'!$D$24:$D$39,0))*INDEX(EF!$H$84:$H$99,MATCH(Emissions!$D59,EF!$D$84:$D$99,0))*INDEX(EF!$H$100:$H$115,MATCH(Emissions!$D59,EF!$D$100:$D$115,0))*INDEX(EF!$H$116:$H$131,MATCH(Emissions!$D59,EF!$D$116:$D$131,0))*kgtoGg</f>
        <v>0.86230282036368555</v>
      </c>
      <c r="BD59" s="22">
        <f>INDEX('Activity data'!BD$24:BD$39,MATCH(Emissions!$D59,'Activity data'!$D$24:$D$39,0))*INDEX(EF!$H$84:$H$99,MATCH(Emissions!$D59,EF!$D$84:$D$99,0))*INDEX(EF!$H$100:$H$115,MATCH(Emissions!$D59,EF!$D$100:$D$115,0))*INDEX(EF!$H$116:$H$131,MATCH(Emissions!$D59,EF!$D$116:$D$131,0))*kgtoGg</f>
        <v>0.87560838811025643</v>
      </c>
      <c r="BE59" s="22">
        <f>INDEX('Activity data'!BE$24:BE$39,MATCH(Emissions!$D59,'Activity data'!$D$24:$D$39,0))*INDEX(EF!$H$84:$H$99,MATCH(Emissions!$D59,EF!$D$84:$D$99,0))*INDEX(EF!$H$100:$H$115,MATCH(Emissions!$D59,EF!$D$100:$D$115,0))*INDEX(EF!$H$116:$H$131,MATCH(Emissions!$D59,EF!$D$116:$D$131,0))*kgtoGg</f>
        <v>0.88891395585682798</v>
      </c>
      <c r="BF59" s="22">
        <f>INDEX('Activity data'!BF$24:BF$39,MATCH(Emissions!$D59,'Activity data'!$D$24:$D$39,0))*INDEX(EF!$H$84:$H$99,MATCH(Emissions!$D59,EF!$D$84:$D$99,0))*INDEX(EF!$H$100:$H$115,MATCH(Emissions!$D59,EF!$D$100:$D$115,0))*INDEX(EF!$H$116:$H$131,MATCH(Emissions!$D59,EF!$D$116:$D$131,0))*kgtoGg</f>
        <v>0.90221952360339874</v>
      </c>
      <c r="BG59" s="22">
        <f>INDEX('Activity data'!BG$24:BG$39,MATCH(Emissions!$D59,'Activity data'!$D$24:$D$39,0))*INDEX(EF!$H$84:$H$99,MATCH(Emissions!$D59,EF!$D$84:$D$99,0))*INDEX(EF!$H$100:$H$115,MATCH(Emissions!$D59,EF!$D$100:$D$115,0))*INDEX(EF!$H$116:$H$131,MATCH(Emissions!$D59,EF!$D$116:$D$131,0))*kgtoGg</f>
        <v>0.91552509134996984</v>
      </c>
      <c r="BH59" s="22">
        <f>INDEX('Activity data'!BH$24:BH$39,MATCH(Emissions!$D59,'Activity data'!$D$24:$D$39,0))*INDEX(EF!$H$84:$H$99,MATCH(Emissions!$D59,EF!$D$84:$D$99,0))*INDEX(EF!$H$100:$H$115,MATCH(Emissions!$D59,EF!$D$100:$D$115,0))*INDEX(EF!$H$116:$H$131,MATCH(Emissions!$D59,EF!$D$116:$D$131,0))*kgtoGg</f>
        <v>0.92883065909654072</v>
      </c>
      <c r="BI59" s="22">
        <f>INDEX('Activity data'!BI$24:BI$39,MATCH(Emissions!$D59,'Activity data'!$D$24:$D$39,0))*INDEX(EF!$H$84:$H$99,MATCH(Emissions!$D59,EF!$D$84:$D$99,0))*INDEX(EF!$H$100:$H$115,MATCH(Emissions!$D59,EF!$D$100:$D$115,0))*INDEX(EF!$H$116:$H$131,MATCH(Emissions!$D59,EF!$D$116:$D$131,0))*kgtoGg</f>
        <v>0.94213622684311193</v>
      </c>
      <c r="BJ59" s="22">
        <f>INDEX('Activity data'!BJ$24:BJ$39,MATCH(Emissions!$D59,'Activity data'!$D$24:$D$39,0))*INDEX(EF!$H$84:$H$99,MATCH(Emissions!$D59,EF!$D$84:$D$99,0))*INDEX(EF!$H$100:$H$115,MATCH(Emissions!$D59,EF!$D$100:$D$115,0))*INDEX(EF!$H$116:$H$131,MATCH(Emissions!$D59,EF!$D$116:$D$131,0))*kgtoGg</f>
        <v>0.95544179458968292</v>
      </c>
      <c r="BK59" s="22">
        <f>INDEX('Activity data'!BK$24:BK$39,MATCH(Emissions!$D59,'Activity data'!$D$24:$D$39,0))*INDEX(EF!$H$84:$H$99,MATCH(Emissions!$D59,EF!$D$84:$D$99,0))*INDEX(EF!$H$100:$H$115,MATCH(Emissions!$D59,EF!$D$100:$D$115,0))*INDEX(EF!$H$116:$H$131,MATCH(Emissions!$D59,EF!$D$116:$D$131,0))*kgtoGg</f>
        <v>0.96874736233625414</v>
      </c>
      <c r="BL59" s="22">
        <f>INDEX('Activity data'!BL$24:BL$39,MATCH(Emissions!$D59,'Activity data'!$D$24:$D$39,0))*INDEX(EF!$H$84:$H$99,MATCH(Emissions!$D59,EF!$D$84:$D$99,0))*INDEX(EF!$H$100:$H$115,MATCH(Emissions!$D59,EF!$D$100:$D$115,0))*INDEX(EF!$H$116:$H$131,MATCH(Emissions!$D59,EF!$D$116:$D$131,0))*kgtoGg</f>
        <v>0.98205293008282513</v>
      </c>
      <c r="BM59" s="22">
        <f>INDEX('Activity data'!BM$24:BM$39,MATCH(Emissions!$D59,'Activity data'!$D$24:$D$39,0))*INDEX(EF!$H$84:$H$99,MATCH(Emissions!$D59,EF!$D$84:$D$99,0))*INDEX(EF!$H$100:$H$115,MATCH(Emissions!$D59,EF!$D$100:$D$115,0))*INDEX(EF!$H$116:$H$131,MATCH(Emissions!$D59,EF!$D$116:$D$131,0))*kgtoGg</f>
        <v>0.99535849782939623</v>
      </c>
      <c r="BN59" s="22">
        <f>INDEX('Activity data'!BN$24:BN$39,MATCH(Emissions!$D59,'Activity data'!$D$24:$D$39,0))*INDEX(EF!$H$84:$H$99,MATCH(Emissions!$D59,EF!$D$84:$D$99,0))*INDEX(EF!$H$100:$H$115,MATCH(Emissions!$D59,EF!$D$100:$D$115,0))*INDEX(EF!$H$116:$H$131,MATCH(Emissions!$D59,EF!$D$116:$D$131,0))*kgtoGg</f>
        <v>1.0086640655759671</v>
      </c>
      <c r="BO59" s="22">
        <f>INDEX('Activity data'!BO$24:BO$39,MATCH(Emissions!$D59,'Activity data'!$D$24:$D$39,0))*INDEX(EF!$H$84:$H$99,MATCH(Emissions!$D59,EF!$D$84:$D$99,0))*INDEX(EF!$H$100:$H$115,MATCH(Emissions!$D59,EF!$D$100:$D$115,0))*INDEX(EF!$H$116:$H$131,MATCH(Emissions!$D59,EF!$D$116:$D$131,0))*kgtoGg</f>
        <v>1.0219696333225383</v>
      </c>
      <c r="BP59" s="22">
        <f>INDEX('Activity data'!BP$24:BP$39,MATCH(Emissions!$D59,'Activity data'!$D$24:$D$39,0))*INDEX(EF!$H$84:$H$99,MATCH(Emissions!$D59,EF!$D$84:$D$99,0))*INDEX(EF!$H$100:$H$115,MATCH(Emissions!$D59,EF!$D$100:$D$115,0))*INDEX(EF!$H$116:$H$131,MATCH(Emissions!$D59,EF!$D$116:$D$131,0))*kgtoGg</f>
        <v>1.0352752010691093</v>
      </c>
    </row>
    <row r="60" spans="1:68" x14ac:dyDescent="0.25">
      <c r="A60" t="str">
        <f t="shared" si="13"/>
        <v>3C Aggregated and non-CO2 emissions on land</v>
      </c>
      <c r="B60" t="str">
        <f>B59</f>
        <v>3C1 Biomass burning (CH4)</v>
      </c>
      <c r="C60" t="str">
        <f t="shared" ref="C60:C62" si="18">C59</f>
        <v>3C1b Biomass burning in Croplands</v>
      </c>
      <c r="D60" t="str">
        <f>EF!D90</f>
        <v>Perennial orchards</v>
      </c>
      <c r="E60" t="s">
        <v>653</v>
      </c>
      <c r="F60" t="str">
        <f>F59</f>
        <v>CH4</v>
      </c>
      <c r="G60" t="str">
        <f>G59</f>
        <v>Gg CH4</v>
      </c>
      <c r="H60" s="22">
        <f>INDEX('Activity data'!H$24:H$39,MATCH(Emissions!$D60,'Activity data'!$D$24:$D$39,0))*INDEX(EF!$H$84:$H$99,MATCH(Emissions!$D60,EF!$D$84:$D$99,0))*INDEX(EF!$H$100:$H$115,MATCH(Emissions!$D60,EF!$D$100:$D$115,0))*INDEX(EF!$H$116:$H$131,MATCH(Emissions!$D60,EF!$D$116:$D$131,0))*kgtoGg</f>
        <v>5.1372667453257928E-2</v>
      </c>
      <c r="I60" s="22">
        <f>INDEX('Activity data'!I$24:I$39,MATCH(Emissions!$D60,'Activity data'!$D$24:$D$39,0))*INDEX(EF!$H$84:$H$99,MATCH(Emissions!$D60,EF!$D$84:$D$99,0))*INDEX(EF!$H$100:$H$115,MATCH(Emissions!$D60,EF!$D$100:$D$115,0))*INDEX(EF!$H$116:$H$131,MATCH(Emissions!$D60,EF!$D$116:$D$131,0))*kgtoGg</f>
        <v>5.1372667453257928E-2</v>
      </c>
      <c r="J60" s="22">
        <f>INDEX('Activity data'!J$24:J$39,MATCH(Emissions!$D60,'Activity data'!$D$24:$D$39,0))*INDEX(EF!$H$84:$H$99,MATCH(Emissions!$D60,EF!$D$84:$D$99,0))*INDEX(EF!$H$100:$H$115,MATCH(Emissions!$D60,EF!$D$100:$D$115,0))*INDEX(EF!$H$116:$H$131,MATCH(Emissions!$D60,EF!$D$116:$D$131,0))*kgtoGg</f>
        <v>5.1372667453257928E-2</v>
      </c>
      <c r="K60" s="22">
        <f>INDEX('Activity data'!K$24:K$39,MATCH(Emissions!$D60,'Activity data'!$D$24:$D$39,0))*INDEX(EF!$H$84:$H$99,MATCH(Emissions!$D60,EF!$D$84:$D$99,0))*INDEX(EF!$H$100:$H$115,MATCH(Emissions!$D60,EF!$D$100:$D$115,0))*INDEX(EF!$H$116:$H$131,MATCH(Emissions!$D60,EF!$D$116:$D$131,0))*kgtoGg</f>
        <v>5.1372667453257928E-2</v>
      </c>
      <c r="L60" s="22">
        <f>INDEX('Activity data'!L$24:L$39,MATCH(Emissions!$D60,'Activity data'!$D$24:$D$39,0))*INDEX(EF!$H$84:$H$99,MATCH(Emissions!$D60,EF!$D$84:$D$99,0))*INDEX(EF!$H$100:$H$115,MATCH(Emissions!$D60,EF!$D$100:$D$115,0))*INDEX(EF!$H$116:$H$131,MATCH(Emissions!$D60,EF!$D$116:$D$131,0))*kgtoGg</f>
        <v>5.1372667453257928E-2</v>
      </c>
      <c r="M60" s="22">
        <f>INDEX('Activity data'!M$24:M$39,MATCH(Emissions!$D60,'Activity data'!$D$24:$D$39,0))*INDEX(EF!$H$84:$H$99,MATCH(Emissions!$D60,EF!$D$84:$D$99,0))*INDEX(EF!$H$100:$H$115,MATCH(Emissions!$D60,EF!$D$100:$D$115,0))*INDEX(EF!$H$116:$H$131,MATCH(Emissions!$D60,EF!$D$116:$D$131,0))*kgtoGg</f>
        <v>5.1372667453257928E-2</v>
      </c>
      <c r="N60" s="22">
        <f>INDEX('Activity data'!N$24:N$39,MATCH(Emissions!$D60,'Activity data'!$D$24:$D$39,0))*INDEX(EF!$H$84:$H$99,MATCH(Emissions!$D60,EF!$D$84:$D$99,0))*INDEX(EF!$H$100:$H$115,MATCH(Emissions!$D60,EF!$D$100:$D$115,0))*INDEX(EF!$H$116:$H$131,MATCH(Emissions!$D60,EF!$D$116:$D$131,0))*kgtoGg</f>
        <v>5.1372667453257928E-2</v>
      </c>
      <c r="O60" s="22">
        <f>INDEX('Activity data'!O$24:O$39,MATCH(Emissions!$D60,'Activity data'!$D$24:$D$39,0))*INDEX(EF!$H$84:$H$99,MATCH(Emissions!$D60,EF!$D$84:$D$99,0))*INDEX(EF!$H$100:$H$115,MATCH(Emissions!$D60,EF!$D$100:$D$115,0))*INDEX(EF!$H$116:$H$131,MATCH(Emissions!$D60,EF!$D$116:$D$131,0))*kgtoGg</f>
        <v>5.1372667453257928E-2</v>
      </c>
      <c r="P60" s="22">
        <f>INDEX('Activity data'!P$24:P$39,MATCH(Emissions!$D60,'Activity data'!$D$24:$D$39,0))*INDEX(EF!$H$84:$H$99,MATCH(Emissions!$D60,EF!$D$84:$D$99,0))*INDEX(EF!$H$100:$H$115,MATCH(Emissions!$D60,EF!$D$100:$D$115,0))*INDEX(EF!$H$116:$H$131,MATCH(Emissions!$D60,EF!$D$116:$D$131,0))*kgtoGg</f>
        <v>5.1372667453257928E-2</v>
      </c>
      <c r="Q60" s="22">
        <f>INDEX('Activity data'!Q$24:Q$39,MATCH(Emissions!$D60,'Activity data'!$D$24:$D$39,0))*INDEX(EF!$H$84:$H$99,MATCH(Emissions!$D60,EF!$D$84:$D$99,0))*INDEX(EF!$H$100:$H$115,MATCH(Emissions!$D60,EF!$D$100:$D$115,0))*INDEX(EF!$H$116:$H$131,MATCH(Emissions!$D60,EF!$D$116:$D$131,0))*kgtoGg</f>
        <v>5.1372667453257928E-2</v>
      </c>
      <c r="R60" s="22">
        <f>INDEX('Activity data'!R$24:R$39,MATCH(Emissions!$D60,'Activity data'!$D$24:$D$39,0))*INDEX(EF!$H$84:$H$99,MATCH(Emissions!$D60,EF!$D$84:$D$99,0))*INDEX(EF!$H$100:$H$115,MATCH(Emissions!$D60,EF!$D$100:$D$115,0))*INDEX(EF!$H$116:$H$131,MATCH(Emissions!$D60,EF!$D$116:$D$131,0))*kgtoGg</f>
        <v>3.9249066814882973E-2</v>
      </c>
      <c r="S60" s="22">
        <f>INDEX('Activity data'!S$24:S$39,MATCH(Emissions!$D60,'Activity data'!$D$24:$D$39,0))*INDEX(EF!$H$84:$H$99,MATCH(Emissions!$D60,EF!$D$84:$D$99,0))*INDEX(EF!$H$100:$H$115,MATCH(Emissions!$D60,EF!$D$100:$D$115,0))*INDEX(EF!$H$116:$H$131,MATCH(Emissions!$D60,EF!$D$116:$D$131,0))*kgtoGg</f>
        <v>7.5445428433052811E-2</v>
      </c>
      <c r="T60" s="22">
        <f>INDEX('Activity data'!T$24:T$39,MATCH(Emissions!$D60,'Activity data'!$D$24:$D$39,0))*INDEX(EF!$H$84:$H$99,MATCH(Emissions!$D60,EF!$D$84:$D$99,0))*INDEX(EF!$H$100:$H$115,MATCH(Emissions!$D60,EF!$D$100:$D$115,0))*INDEX(EF!$H$116:$H$131,MATCH(Emissions!$D60,EF!$D$116:$D$131,0))*kgtoGg</f>
        <v>5.494869354083616E-2</v>
      </c>
      <c r="U60" s="22">
        <f>INDEX('Activity data'!U$24:U$39,MATCH(Emissions!$D60,'Activity data'!$D$24:$D$39,0))*INDEX(EF!$H$84:$H$99,MATCH(Emissions!$D60,EF!$D$84:$D$99,0))*INDEX(EF!$H$100:$H$115,MATCH(Emissions!$D60,EF!$D$100:$D$115,0))*INDEX(EF!$H$116:$H$131,MATCH(Emissions!$D60,EF!$D$116:$D$131,0))*kgtoGg</f>
        <v>5.6256995767998919E-2</v>
      </c>
      <c r="V60" s="22">
        <f>INDEX('Activity data'!V$24:V$39,MATCH(Emissions!$D60,'Activity data'!$D$24:$D$39,0))*INDEX(EF!$H$84:$H$99,MATCH(Emissions!$D60,EF!$D$84:$D$99,0))*INDEX(EF!$H$100:$H$115,MATCH(Emissions!$D60,EF!$D$100:$D$115,0))*INDEX(EF!$H$116:$H$131,MATCH(Emissions!$D60,EF!$D$116:$D$131,0))*kgtoGg</f>
        <v>3.0963152709518785E-2</v>
      </c>
      <c r="W60" s="22">
        <f>INDEX('Activity data'!W$24:W$39,MATCH(Emissions!$D60,'Activity data'!$D$24:$D$39,0))*INDEX(EF!$H$84:$H$99,MATCH(Emissions!$D60,EF!$D$84:$D$99,0))*INDEX(EF!$H$100:$H$115,MATCH(Emissions!$D60,EF!$D$100:$D$115,0))*INDEX(EF!$H$116:$H$131,MATCH(Emissions!$D60,EF!$D$116:$D$131,0))*kgtoGg</f>
        <v>6.977611878201416E-2</v>
      </c>
      <c r="X60" s="22">
        <f>INDEX('Activity data'!X$24:X$39,MATCH(Emissions!$D60,'Activity data'!$D$24:$D$39,0))*INDEX(EF!$H$84:$H$99,MATCH(Emissions!$D60,EF!$D$84:$D$99,0))*INDEX(EF!$H$100:$H$115,MATCH(Emissions!$D60,EF!$D$100:$D$115,0))*INDEX(EF!$H$116:$H$131,MATCH(Emissions!$D60,EF!$D$116:$D$131,0))*kgtoGg</f>
        <v>4.8407182405022328E-2</v>
      </c>
      <c r="Y60" s="22">
        <f>INDEX('Activity data'!Y$24:Y$39,MATCH(Emissions!$D60,'Activity data'!$D$24:$D$39,0))*INDEX(EF!$H$84:$H$99,MATCH(Emissions!$D60,EF!$D$84:$D$99,0))*INDEX(EF!$H$100:$H$115,MATCH(Emissions!$D60,EF!$D$100:$D$115,0))*INDEX(EF!$H$116:$H$131,MATCH(Emissions!$D60,EF!$D$116:$D$131,0))*kgtoGg</f>
        <v>8.4167443280804582E-2</v>
      </c>
      <c r="Z60" s="22">
        <f>INDEX('Activity data'!Z$24:Z$39,MATCH(Emissions!$D60,'Activity data'!$D$24:$D$39,0))*INDEX(EF!$H$84:$H$99,MATCH(Emissions!$D60,EF!$D$84:$D$99,0))*INDEX(EF!$H$100:$H$115,MATCH(Emissions!$D60,EF!$D$100:$D$115,0))*INDEX(EF!$H$116:$H$131,MATCH(Emissions!$D60,EF!$D$116:$D$131,0))*kgtoGg</f>
        <v>0.10728078262734679</v>
      </c>
      <c r="AA60" s="22">
        <f>INDEX('Activity data'!AA$24:AA$39,MATCH(Emissions!$D60,'Activity data'!$D$24:$D$39,0))*INDEX(EF!$H$84:$H$99,MATCH(Emissions!$D60,EF!$D$84:$D$99,0))*INDEX(EF!$H$100:$H$115,MATCH(Emissions!$D60,EF!$D$100:$D$115,0))*INDEX(EF!$H$116:$H$131,MATCH(Emissions!$D60,EF!$D$116:$D$131,0))*kgtoGg</f>
        <v>4.5790577950696791E-2</v>
      </c>
      <c r="AB60" s="22">
        <f>INDEX('Activity data'!AB$24:AB$39,MATCH(Emissions!$D60,'Activity data'!$D$24:$D$39,0))*INDEX(EF!$H$84:$H$99,MATCH(Emissions!$D60,EF!$D$84:$D$99,0))*INDEX(EF!$H$100:$H$115,MATCH(Emissions!$D60,EF!$D$100:$D$115,0))*INDEX(EF!$H$116:$H$131,MATCH(Emissions!$D60,EF!$D$116:$D$131,0))*kgtoGg</f>
        <v>7.6968548999999997E-2</v>
      </c>
      <c r="AC60" s="22">
        <f>INDEX('Activity data'!AC$24:AC$39,MATCH(Emissions!$D60,'Activity data'!$D$24:$D$39,0))*INDEX(EF!$H$84:$H$99,MATCH(Emissions!$D60,EF!$D$84:$D$99,0))*INDEX(EF!$H$100:$H$115,MATCH(Emissions!$D60,EF!$D$100:$D$115,0))*INDEX(EF!$H$116:$H$131,MATCH(Emissions!$D60,EF!$D$116:$D$131,0))*kgtoGg</f>
        <v>5.8869908999999998E-2</v>
      </c>
      <c r="AD60" s="22">
        <f>INDEX('Activity data'!AD$24:AD$39,MATCH(Emissions!$D60,'Activity data'!$D$24:$D$39,0))*INDEX(EF!$H$84:$H$99,MATCH(Emissions!$D60,EF!$D$84:$D$99,0))*INDEX(EF!$H$100:$H$115,MATCH(Emissions!$D60,EF!$D$100:$D$115,0))*INDEX(EF!$H$116:$H$131,MATCH(Emissions!$D60,EF!$D$116:$D$131,0))*kgtoGg</f>
        <v>6.1007970305663753E-2</v>
      </c>
      <c r="AE60" s="22">
        <f>INDEX('Activity data'!AE$24:AE$39,MATCH(Emissions!$D60,'Activity data'!$D$24:$D$39,0))*INDEX(EF!$H$84:$H$99,MATCH(Emissions!$D60,EF!$D$84:$D$99,0))*INDEX(EF!$H$100:$H$115,MATCH(Emissions!$D60,EF!$D$100:$D$115,0))*INDEX(EF!$H$116:$H$131,MATCH(Emissions!$D60,EF!$D$116:$D$131,0))*kgtoGg</f>
        <v>6.1529004605947853E-2</v>
      </c>
      <c r="AF60" s="22">
        <f>INDEX('Activity data'!AF$24:AF$39,MATCH(Emissions!$D60,'Activity data'!$D$24:$D$39,0))*INDEX(EF!$H$84:$H$99,MATCH(Emissions!$D60,EF!$D$84:$D$99,0))*INDEX(EF!$H$100:$H$115,MATCH(Emissions!$D60,EF!$D$100:$D$115,0))*INDEX(EF!$H$116:$H$131,MATCH(Emissions!$D60,EF!$D$116:$D$131,0))*kgtoGg</f>
        <v>6.2050038906231952E-2</v>
      </c>
      <c r="AG60" s="22">
        <f>INDEX('Activity data'!AG$24:AG$39,MATCH(Emissions!$D60,'Activity data'!$D$24:$D$39,0))*INDEX(EF!$H$84:$H$99,MATCH(Emissions!$D60,EF!$D$84:$D$99,0))*INDEX(EF!$H$100:$H$115,MATCH(Emissions!$D60,EF!$D$100:$D$115,0))*INDEX(EF!$H$116:$H$131,MATCH(Emissions!$D60,EF!$D$116:$D$131,0))*kgtoGg</f>
        <v>6.2571073206516031E-2</v>
      </c>
      <c r="AH60" s="22">
        <f>INDEX('Activity data'!AH$24:AH$39,MATCH(Emissions!$D60,'Activity data'!$D$24:$D$39,0))*INDEX(EF!$H$84:$H$99,MATCH(Emissions!$D60,EF!$D$84:$D$99,0))*INDEX(EF!$H$100:$H$115,MATCH(Emissions!$D60,EF!$D$100:$D$115,0))*INDEX(EF!$H$116:$H$131,MATCH(Emissions!$D60,EF!$D$116:$D$131,0))*kgtoGg</f>
        <v>6.3092107506800124E-2</v>
      </c>
      <c r="AI60" s="22">
        <f>INDEX('Activity data'!AI$24:AI$39,MATCH(Emissions!$D60,'Activity data'!$D$24:$D$39,0))*INDEX(EF!$H$84:$H$99,MATCH(Emissions!$D60,EF!$D$84:$D$99,0))*INDEX(EF!$H$100:$H$115,MATCH(Emissions!$D60,EF!$D$100:$D$115,0))*INDEX(EF!$H$116:$H$131,MATCH(Emissions!$D60,EF!$D$116:$D$131,0))*kgtoGg</f>
        <v>6.3613141807084217E-2</v>
      </c>
      <c r="AJ60" s="22">
        <f>INDEX('Activity data'!AJ$24:AJ$39,MATCH(Emissions!$D60,'Activity data'!$D$24:$D$39,0))*INDEX(EF!$H$84:$H$99,MATCH(Emissions!$D60,EF!$D$84:$D$99,0))*INDEX(EF!$H$100:$H$115,MATCH(Emissions!$D60,EF!$D$100:$D$115,0))*INDEX(EF!$H$116:$H$131,MATCH(Emissions!$D60,EF!$D$116:$D$131,0))*kgtoGg</f>
        <v>6.413417610736831E-2</v>
      </c>
      <c r="AK60" s="22">
        <f>INDEX('Activity data'!AK$24:AK$39,MATCH(Emissions!$D60,'Activity data'!$D$24:$D$39,0))*INDEX(EF!$H$84:$H$99,MATCH(Emissions!$D60,EF!$D$84:$D$99,0))*INDEX(EF!$H$100:$H$115,MATCH(Emissions!$D60,EF!$D$100:$D$115,0))*INDEX(EF!$H$116:$H$131,MATCH(Emissions!$D60,EF!$D$116:$D$131,0))*kgtoGg</f>
        <v>6.4446966907391254E-2</v>
      </c>
      <c r="AL60" s="22">
        <f>INDEX('Activity data'!AL$24:AL$39,MATCH(Emissions!$D60,'Activity data'!$D$24:$D$39,0))*INDEX(EF!$H$84:$H$99,MATCH(Emissions!$D60,EF!$D$84:$D$99,0))*INDEX(EF!$H$100:$H$115,MATCH(Emissions!$D60,EF!$D$100:$D$115,0))*INDEX(EF!$H$116:$H$131,MATCH(Emissions!$D60,EF!$D$116:$D$131,0))*kgtoGg</f>
        <v>6.475975770741417E-2</v>
      </c>
      <c r="AM60" s="22">
        <f>INDEX('Activity data'!AM$24:AM$39,MATCH(Emissions!$D60,'Activity data'!$D$24:$D$39,0))*INDEX(EF!$H$84:$H$99,MATCH(Emissions!$D60,EF!$D$84:$D$99,0))*INDEX(EF!$H$100:$H$115,MATCH(Emissions!$D60,EF!$D$100:$D$115,0))*INDEX(EF!$H$116:$H$131,MATCH(Emissions!$D60,EF!$D$116:$D$131,0))*kgtoGg</f>
        <v>6.5072548507437114E-2</v>
      </c>
      <c r="AN60" s="22">
        <f>INDEX('Activity data'!AN$24:AN$39,MATCH(Emissions!$D60,'Activity data'!$D$24:$D$39,0))*INDEX(EF!$H$84:$H$99,MATCH(Emissions!$D60,EF!$D$84:$D$99,0))*INDEX(EF!$H$100:$H$115,MATCH(Emissions!$D60,EF!$D$100:$D$115,0))*INDEX(EF!$H$116:$H$131,MATCH(Emissions!$D60,EF!$D$116:$D$131,0))*kgtoGg</f>
        <v>6.5385339307460044E-2</v>
      </c>
      <c r="AO60" s="22">
        <f>INDEX('Activity data'!AO$24:AO$39,MATCH(Emissions!$D60,'Activity data'!$D$24:$D$39,0))*INDEX(EF!$H$84:$H$99,MATCH(Emissions!$D60,EF!$D$84:$D$99,0))*INDEX(EF!$H$100:$H$115,MATCH(Emissions!$D60,EF!$D$100:$D$115,0))*INDEX(EF!$H$116:$H$131,MATCH(Emissions!$D60,EF!$D$116:$D$131,0))*kgtoGg</f>
        <v>6.5698130107482988E-2</v>
      </c>
      <c r="AP60" s="22">
        <f>INDEX('Activity data'!AP$24:AP$39,MATCH(Emissions!$D60,'Activity data'!$D$24:$D$39,0))*INDEX(EF!$H$84:$H$99,MATCH(Emissions!$D60,EF!$D$84:$D$99,0))*INDEX(EF!$H$100:$H$115,MATCH(Emissions!$D60,EF!$D$100:$D$115,0))*INDEX(EF!$H$116:$H$131,MATCH(Emissions!$D60,EF!$D$116:$D$131,0))*kgtoGg</f>
        <v>6.6010920907505932E-2</v>
      </c>
      <c r="AQ60" s="22">
        <f>INDEX('Activity data'!AQ$24:AQ$39,MATCH(Emissions!$D60,'Activity data'!$D$24:$D$39,0))*INDEX(EF!$H$84:$H$99,MATCH(Emissions!$D60,EF!$D$84:$D$99,0))*INDEX(EF!$H$100:$H$115,MATCH(Emissions!$D60,EF!$D$100:$D$115,0))*INDEX(EF!$H$116:$H$131,MATCH(Emissions!$D60,EF!$D$116:$D$131,0))*kgtoGg</f>
        <v>6.6323711707528862E-2</v>
      </c>
      <c r="AR60" s="22">
        <f>INDEX('Activity data'!AR$24:AR$39,MATCH(Emissions!$D60,'Activity data'!$D$24:$D$39,0))*INDEX(EF!$H$84:$H$99,MATCH(Emissions!$D60,EF!$D$84:$D$99,0))*INDEX(EF!$H$100:$H$115,MATCH(Emissions!$D60,EF!$D$100:$D$115,0))*INDEX(EF!$H$116:$H$131,MATCH(Emissions!$D60,EF!$D$116:$D$131,0))*kgtoGg</f>
        <v>6.663650250755182E-2</v>
      </c>
      <c r="AS60" s="22">
        <f>INDEX('Activity data'!AS$24:AS$39,MATCH(Emissions!$D60,'Activity data'!$D$24:$D$39,0))*INDEX(EF!$H$84:$H$99,MATCH(Emissions!$D60,EF!$D$84:$D$99,0))*INDEX(EF!$H$100:$H$115,MATCH(Emissions!$D60,EF!$D$100:$D$115,0))*INDEX(EF!$H$116:$H$131,MATCH(Emissions!$D60,EF!$D$116:$D$131,0))*kgtoGg</f>
        <v>6.694929330757475E-2</v>
      </c>
      <c r="AT60" s="22">
        <f>INDEX('Activity data'!AT$24:AT$39,MATCH(Emissions!$D60,'Activity data'!$D$24:$D$39,0))*INDEX(EF!$H$84:$H$99,MATCH(Emissions!$D60,EF!$D$84:$D$99,0))*INDEX(EF!$H$100:$H$115,MATCH(Emissions!$D60,EF!$D$100:$D$115,0))*INDEX(EF!$H$116:$H$131,MATCH(Emissions!$D60,EF!$D$116:$D$131,0))*kgtoGg</f>
        <v>6.7262084107597694E-2</v>
      </c>
      <c r="AU60" s="22">
        <f>INDEX('Activity data'!AU$24:AU$39,MATCH(Emissions!$D60,'Activity data'!$D$24:$D$39,0))*INDEX(EF!$H$84:$H$99,MATCH(Emissions!$D60,EF!$D$84:$D$99,0))*INDEX(EF!$H$100:$H$115,MATCH(Emissions!$D60,EF!$D$100:$D$115,0))*INDEX(EF!$H$116:$H$131,MATCH(Emissions!$D60,EF!$D$116:$D$131,0))*kgtoGg</f>
        <v>6.7574874907620625E-2</v>
      </c>
      <c r="AV60" s="22">
        <f>INDEX('Activity data'!AV$24:AV$39,MATCH(Emissions!$D60,'Activity data'!$D$24:$D$39,0))*INDEX(EF!$H$84:$H$99,MATCH(Emissions!$D60,EF!$D$84:$D$99,0))*INDEX(EF!$H$100:$H$115,MATCH(Emissions!$D60,EF!$D$100:$D$115,0))*INDEX(EF!$H$116:$H$131,MATCH(Emissions!$D60,EF!$D$116:$D$131,0))*kgtoGg</f>
        <v>6.7887665707643582E-2</v>
      </c>
      <c r="AW60" s="22">
        <f>INDEX('Activity data'!AW$24:AW$39,MATCH(Emissions!$D60,'Activity data'!$D$24:$D$39,0))*INDEX(EF!$H$84:$H$99,MATCH(Emissions!$D60,EF!$D$84:$D$99,0))*INDEX(EF!$H$100:$H$115,MATCH(Emissions!$D60,EF!$D$100:$D$115,0))*INDEX(EF!$H$116:$H$131,MATCH(Emissions!$D60,EF!$D$116:$D$131,0))*kgtoGg</f>
        <v>6.8200456507666485E-2</v>
      </c>
      <c r="AX60" s="22">
        <f>INDEX('Activity data'!AX$24:AX$39,MATCH(Emissions!$D60,'Activity data'!$D$24:$D$39,0))*INDEX(EF!$H$84:$H$99,MATCH(Emissions!$D60,EF!$D$84:$D$99,0))*INDEX(EF!$H$100:$H$115,MATCH(Emissions!$D60,EF!$D$100:$D$115,0))*INDEX(EF!$H$116:$H$131,MATCH(Emissions!$D60,EF!$D$116:$D$131,0))*kgtoGg</f>
        <v>6.8513247307689429E-2</v>
      </c>
      <c r="AY60" s="22">
        <f>INDEX('Activity data'!AY$24:AY$39,MATCH(Emissions!$D60,'Activity data'!$D$24:$D$39,0))*INDEX(EF!$H$84:$H$99,MATCH(Emissions!$D60,EF!$D$84:$D$99,0))*INDEX(EF!$H$100:$H$115,MATCH(Emissions!$D60,EF!$D$100:$D$115,0))*INDEX(EF!$H$116:$H$131,MATCH(Emissions!$D60,EF!$D$116:$D$131,0))*kgtoGg</f>
        <v>6.8826038107712359E-2</v>
      </c>
      <c r="AZ60" s="22">
        <f>INDEX('Activity data'!AZ$24:AZ$39,MATCH(Emissions!$D60,'Activity data'!$D$24:$D$39,0))*INDEX(EF!$H$84:$H$99,MATCH(Emissions!$D60,EF!$D$84:$D$99,0))*INDEX(EF!$H$100:$H$115,MATCH(Emissions!$D60,EF!$D$100:$D$115,0))*INDEX(EF!$H$116:$H$131,MATCH(Emissions!$D60,EF!$D$116:$D$131,0))*kgtoGg</f>
        <v>6.9138828907735317E-2</v>
      </c>
      <c r="BA60" s="22">
        <f>INDEX('Activity data'!BA$24:BA$39,MATCH(Emissions!$D60,'Activity data'!$D$24:$D$39,0))*INDEX(EF!$H$84:$H$99,MATCH(Emissions!$D60,EF!$D$84:$D$99,0))*INDEX(EF!$H$100:$H$115,MATCH(Emissions!$D60,EF!$D$100:$D$115,0))*INDEX(EF!$H$116:$H$131,MATCH(Emissions!$D60,EF!$D$116:$D$131,0))*kgtoGg</f>
        <v>6.9451619707758247E-2</v>
      </c>
      <c r="BB60" s="22">
        <f>INDEX('Activity data'!BB$24:BB$39,MATCH(Emissions!$D60,'Activity data'!$D$24:$D$39,0))*INDEX(EF!$H$84:$H$99,MATCH(Emissions!$D60,EF!$D$84:$D$99,0))*INDEX(EF!$H$100:$H$115,MATCH(Emissions!$D60,EF!$D$100:$D$115,0))*INDEX(EF!$H$116:$H$131,MATCH(Emissions!$D60,EF!$D$116:$D$131,0))*kgtoGg</f>
        <v>6.9764410507781191E-2</v>
      </c>
      <c r="BC60" s="22">
        <f>INDEX('Activity data'!BC$24:BC$39,MATCH(Emissions!$D60,'Activity data'!$D$24:$D$39,0))*INDEX(EF!$H$84:$H$99,MATCH(Emissions!$D60,EF!$D$84:$D$99,0))*INDEX(EF!$H$100:$H$115,MATCH(Emissions!$D60,EF!$D$100:$D$115,0))*INDEX(EF!$H$116:$H$131,MATCH(Emissions!$D60,EF!$D$116:$D$131,0))*kgtoGg</f>
        <v>7.0077201307804121E-2</v>
      </c>
      <c r="BD60" s="22">
        <f>INDEX('Activity data'!BD$24:BD$39,MATCH(Emissions!$D60,'Activity data'!$D$24:$D$39,0))*INDEX(EF!$H$84:$H$99,MATCH(Emissions!$D60,EF!$D$84:$D$99,0))*INDEX(EF!$H$100:$H$115,MATCH(Emissions!$D60,EF!$D$100:$D$115,0))*INDEX(EF!$H$116:$H$131,MATCH(Emissions!$D60,EF!$D$116:$D$131,0))*kgtoGg</f>
        <v>7.0389992107827065E-2</v>
      </c>
      <c r="BE60" s="22">
        <f>INDEX('Activity data'!BE$24:BE$39,MATCH(Emissions!$D60,'Activity data'!$D$24:$D$39,0))*INDEX(EF!$H$84:$H$99,MATCH(Emissions!$D60,EF!$D$84:$D$99,0))*INDEX(EF!$H$100:$H$115,MATCH(Emissions!$D60,EF!$D$100:$D$115,0))*INDEX(EF!$H$116:$H$131,MATCH(Emissions!$D60,EF!$D$116:$D$131,0))*kgtoGg</f>
        <v>7.0702782907850009E-2</v>
      </c>
      <c r="BF60" s="22">
        <f>INDEX('Activity data'!BF$24:BF$39,MATCH(Emissions!$D60,'Activity data'!$D$24:$D$39,0))*INDEX(EF!$H$84:$H$99,MATCH(Emissions!$D60,EF!$D$84:$D$99,0))*INDEX(EF!$H$100:$H$115,MATCH(Emissions!$D60,EF!$D$100:$D$115,0))*INDEX(EF!$H$116:$H$131,MATCH(Emissions!$D60,EF!$D$116:$D$131,0))*kgtoGg</f>
        <v>7.1015573707872939E-2</v>
      </c>
      <c r="BG60" s="22">
        <f>INDEX('Activity data'!BG$24:BG$39,MATCH(Emissions!$D60,'Activity data'!$D$24:$D$39,0))*INDEX(EF!$H$84:$H$99,MATCH(Emissions!$D60,EF!$D$84:$D$99,0))*INDEX(EF!$H$100:$H$115,MATCH(Emissions!$D60,EF!$D$100:$D$115,0))*INDEX(EF!$H$116:$H$131,MATCH(Emissions!$D60,EF!$D$116:$D$131,0))*kgtoGg</f>
        <v>7.1328364507895883E-2</v>
      </c>
      <c r="BH60" s="22">
        <f>INDEX('Activity data'!BH$24:BH$39,MATCH(Emissions!$D60,'Activity data'!$D$24:$D$39,0))*INDEX(EF!$H$84:$H$99,MATCH(Emissions!$D60,EF!$D$84:$D$99,0))*INDEX(EF!$H$100:$H$115,MATCH(Emissions!$D60,EF!$D$100:$D$115,0))*INDEX(EF!$H$116:$H$131,MATCH(Emissions!$D60,EF!$D$116:$D$131,0))*kgtoGg</f>
        <v>7.1641155307918827E-2</v>
      </c>
      <c r="BI60" s="22">
        <f>INDEX('Activity data'!BI$24:BI$39,MATCH(Emissions!$D60,'Activity data'!$D$24:$D$39,0))*INDEX(EF!$H$84:$H$99,MATCH(Emissions!$D60,EF!$D$84:$D$99,0))*INDEX(EF!$H$100:$H$115,MATCH(Emissions!$D60,EF!$D$100:$D$115,0))*INDEX(EF!$H$116:$H$131,MATCH(Emissions!$D60,EF!$D$116:$D$131,0))*kgtoGg</f>
        <v>7.1953946107941744E-2</v>
      </c>
      <c r="BJ60" s="22">
        <f>INDEX('Activity data'!BJ$24:BJ$39,MATCH(Emissions!$D60,'Activity data'!$D$24:$D$39,0))*INDEX(EF!$H$84:$H$99,MATCH(Emissions!$D60,EF!$D$84:$D$99,0))*INDEX(EF!$H$100:$H$115,MATCH(Emissions!$D60,EF!$D$100:$D$115,0))*INDEX(EF!$H$116:$H$131,MATCH(Emissions!$D60,EF!$D$116:$D$131,0))*kgtoGg</f>
        <v>7.2266736907964688E-2</v>
      </c>
      <c r="BK60" s="22">
        <f>INDEX('Activity data'!BK$24:BK$39,MATCH(Emissions!$D60,'Activity data'!$D$24:$D$39,0))*INDEX(EF!$H$84:$H$99,MATCH(Emissions!$D60,EF!$D$84:$D$99,0))*INDEX(EF!$H$100:$H$115,MATCH(Emissions!$D60,EF!$D$100:$D$115,0))*INDEX(EF!$H$116:$H$131,MATCH(Emissions!$D60,EF!$D$116:$D$131,0))*kgtoGg</f>
        <v>7.2579527707987618E-2</v>
      </c>
      <c r="BL60" s="22">
        <f>INDEX('Activity data'!BL$24:BL$39,MATCH(Emissions!$D60,'Activity data'!$D$24:$D$39,0))*INDEX(EF!$H$84:$H$99,MATCH(Emissions!$D60,EF!$D$84:$D$99,0))*INDEX(EF!$H$100:$H$115,MATCH(Emissions!$D60,EF!$D$100:$D$115,0))*INDEX(EF!$H$116:$H$131,MATCH(Emissions!$D60,EF!$D$116:$D$131,0))*kgtoGg</f>
        <v>7.2892318508010562E-2</v>
      </c>
      <c r="BM60" s="22">
        <f>INDEX('Activity data'!BM$24:BM$39,MATCH(Emissions!$D60,'Activity data'!$D$24:$D$39,0))*INDEX(EF!$H$84:$H$99,MATCH(Emissions!$D60,EF!$D$84:$D$99,0))*INDEX(EF!$H$100:$H$115,MATCH(Emissions!$D60,EF!$D$100:$D$115,0))*INDEX(EF!$H$116:$H$131,MATCH(Emissions!$D60,EF!$D$116:$D$131,0))*kgtoGg</f>
        <v>7.3205109308033492E-2</v>
      </c>
      <c r="BN60" s="22">
        <f>INDEX('Activity data'!BN$24:BN$39,MATCH(Emissions!$D60,'Activity data'!$D$24:$D$39,0))*INDEX(EF!$H$84:$H$99,MATCH(Emissions!$D60,EF!$D$84:$D$99,0))*INDEX(EF!$H$100:$H$115,MATCH(Emissions!$D60,EF!$D$100:$D$115,0))*INDEX(EF!$H$116:$H$131,MATCH(Emissions!$D60,EF!$D$116:$D$131,0))*kgtoGg</f>
        <v>7.3517900108056436E-2</v>
      </c>
      <c r="BO60" s="22">
        <f>INDEX('Activity data'!BO$24:BO$39,MATCH(Emissions!$D60,'Activity data'!$D$24:$D$39,0))*INDEX(EF!$H$84:$H$99,MATCH(Emissions!$D60,EF!$D$84:$D$99,0))*INDEX(EF!$H$100:$H$115,MATCH(Emissions!$D60,EF!$D$100:$D$115,0))*INDEX(EF!$H$116:$H$131,MATCH(Emissions!$D60,EF!$D$116:$D$131,0))*kgtoGg</f>
        <v>7.3830690908079366E-2</v>
      </c>
      <c r="BP60" s="22">
        <f>INDEX('Activity data'!BP$24:BP$39,MATCH(Emissions!$D60,'Activity data'!$D$24:$D$39,0))*INDEX(EF!$H$84:$H$99,MATCH(Emissions!$D60,EF!$D$84:$D$99,0))*INDEX(EF!$H$100:$H$115,MATCH(Emissions!$D60,EF!$D$100:$D$115,0))*INDEX(EF!$H$116:$H$131,MATCH(Emissions!$D60,EF!$D$116:$D$131,0))*kgtoGg</f>
        <v>7.414348170810231E-2</v>
      </c>
    </row>
    <row r="61" spans="1:68" x14ac:dyDescent="0.25">
      <c r="A61" t="str">
        <f t="shared" ref="A61:A85" si="19">A60</f>
        <v>3C Aggregated and non-CO2 emissions on land</v>
      </c>
      <c r="B61" t="str">
        <f t="shared" ref="B61:B69" si="20">B60</f>
        <v>3C1 Biomass burning (CH4)</v>
      </c>
      <c r="C61" t="str">
        <f t="shared" si="18"/>
        <v>3C1b Biomass burning in Croplands</v>
      </c>
      <c r="D61" t="str">
        <f>EF!D91</f>
        <v>Perennial vineyards</v>
      </c>
      <c r="E61" t="s">
        <v>654</v>
      </c>
      <c r="F61" t="str">
        <f>F60</f>
        <v>CH4</v>
      </c>
      <c r="G61" t="str">
        <f>G60</f>
        <v>Gg CH4</v>
      </c>
      <c r="H61" s="22">
        <f>INDEX('Activity data'!H$24:H$39,MATCH(Emissions!$D61,'Activity data'!$D$24:$D$39,0))*INDEX(EF!$H$84:$H$99,MATCH(Emissions!$D61,EF!$D$84:$D$99,0))*INDEX(EF!$H$100:$H$115,MATCH(Emissions!$D61,EF!$D$100:$D$115,0))*INDEX(EF!$H$116:$H$131,MATCH(Emissions!$D61,EF!$D$116:$D$131,0))*kgtoGg</f>
        <v>1.2298040935329995E-2</v>
      </c>
      <c r="I61" s="22">
        <f>INDEX('Activity data'!I$24:I$39,MATCH(Emissions!$D61,'Activity data'!$D$24:$D$39,0))*INDEX(EF!$H$84:$H$99,MATCH(Emissions!$D61,EF!$D$84:$D$99,0))*INDEX(EF!$H$100:$H$115,MATCH(Emissions!$D61,EF!$D$100:$D$115,0))*INDEX(EF!$H$116:$H$131,MATCH(Emissions!$D61,EF!$D$116:$D$131,0))*kgtoGg</f>
        <v>1.2298040935329995E-2</v>
      </c>
      <c r="J61" s="22">
        <f>INDEX('Activity data'!J$24:J$39,MATCH(Emissions!$D61,'Activity data'!$D$24:$D$39,0))*INDEX(EF!$H$84:$H$99,MATCH(Emissions!$D61,EF!$D$84:$D$99,0))*INDEX(EF!$H$100:$H$115,MATCH(Emissions!$D61,EF!$D$100:$D$115,0))*INDEX(EF!$H$116:$H$131,MATCH(Emissions!$D61,EF!$D$116:$D$131,0))*kgtoGg</f>
        <v>1.2298040935329995E-2</v>
      </c>
      <c r="K61" s="22">
        <f>INDEX('Activity data'!K$24:K$39,MATCH(Emissions!$D61,'Activity data'!$D$24:$D$39,0))*INDEX(EF!$H$84:$H$99,MATCH(Emissions!$D61,EF!$D$84:$D$99,0))*INDEX(EF!$H$100:$H$115,MATCH(Emissions!$D61,EF!$D$100:$D$115,0))*INDEX(EF!$H$116:$H$131,MATCH(Emissions!$D61,EF!$D$116:$D$131,0))*kgtoGg</f>
        <v>1.2298040935329995E-2</v>
      </c>
      <c r="L61" s="22">
        <f>INDEX('Activity data'!L$24:L$39,MATCH(Emissions!$D61,'Activity data'!$D$24:$D$39,0))*INDEX(EF!$H$84:$H$99,MATCH(Emissions!$D61,EF!$D$84:$D$99,0))*INDEX(EF!$H$100:$H$115,MATCH(Emissions!$D61,EF!$D$100:$D$115,0))*INDEX(EF!$H$116:$H$131,MATCH(Emissions!$D61,EF!$D$116:$D$131,0))*kgtoGg</f>
        <v>1.2298040935329995E-2</v>
      </c>
      <c r="M61" s="22">
        <f>INDEX('Activity data'!M$24:M$39,MATCH(Emissions!$D61,'Activity data'!$D$24:$D$39,0))*INDEX(EF!$H$84:$H$99,MATCH(Emissions!$D61,EF!$D$84:$D$99,0))*INDEX(EF!$H$100:$H$115,MATCH(Emissions!$D61,EF!$D$100:$D$115,0))*INDEX(EF!$H$116:$H$131,MATCH(Emissions!$D61,EF!$D$116:$D$131,0))*kgtoGg</f>
        <v>1.2298040935329995E-2</v>
      </c>
      <c r="N61" s="22">
        <f>INDEX('Activity data'!N$24:N$39,MATCH(Emissions!$D61,'Activity data'!$D$24:$D$39,0))*INDEX(EF!$H$84:$H$99,MATCH(Emissions!$D61,EF!$D$84:$D$99,0))*INDEX(EF!$H$100:$H$115,MATCH(Emissions!$D61,EF!$D$100:$D$115,0))*INDEX(EF!$H$116:$H$131,MATCH(Emissions!$D61,EF!$D$116:$D$131,0))*kgtoGg</f>
        <v>1.2298040935329995E-2</v>
      </c>
      <c r="O61" s="22">
        <f>INDEX('Activity data'!O$24:O$39,MATCH(Emissions!$D61,'Activity data'!$D$24:$D$39,0))*INDEX(EF!$H$84:$H$99,MATCH(Emissions!$D61,EF!$D$84:$D$99,0))*INDEX(EF!$H$100:$H$115,MATCH(Emissions!$D61,EF!$D$100:$D$115,0))*INDEX(EF!$H$116:$H$131,MATCH(Emissions!$D61,EF!$D$116:$D$131,0))*kgtoGg</f>
        <v>1.2298040935329995E-2</v>
      </c>
      <c r="P61" s="22">
        <f>INDEX('Activity data'!P$24:P$39,MATCH(Emissions!$D61,'Activity data'!$D$24:$D$39,0))*INDEX(EF!$H$84:$H$99,MATCH(Emissions!$D61,EF!$D$84:$D$99,0))*INDEX(EF!$H$100:$H$115,MATCH(Emissions!$D61,EF!$D$100:$D$115,0))*INDEX(EF!$H$116:$H$131,MATCH(Emissions!$D61,EF!$D$116:$D$131,0))*kgtoGg</f>
        <v>1.2298040935329995E-2</v>
      </c>
      <c r="Q61" s="22">
        <f>INDEX('Activity data'!Q$24:Q$39,MATCH(Emissions!$D61,'Activity data'!$D$24:$D$39,0))*INDEX(EF!$H$84:$H$99,MATCH(Emissions!$D61,EF!$D$84:$D$99,0))*INDEX(EF!$H$100:$H$115,MATCH(Emissions!$D61,EF!$D$100:$D$115,0))*INDEX(EF!$H$116:$H$131,MATCH(Emissions!$D61,EF!$D$116:$D$131,0))*kgtoGg</f>
        <v>1.2298040935329995E-2</v>
      </c>
      <c r="R61" s="22">
        <f>INDEX('Activity data'!R$24:R$39,MATCH(Emissions!$D61,'Activity data'!$D$24:$D$39,0))*INDEX(EF!$H$84:$H$99,MATCH(Emissions!$D61,EF!$D$84:$D$99,0))*INDEX(EF!$H$100:$H$115,MATCH(Emissions!$D61,EF!$D$100:$D$115,0))*INDEX(EF!$H$116:$H$131,MATCH(Emissions!$D61,EF!$D$116:$D$131,0))*kgtoGg</f>
        <v>1.9188432665053896E-2</v>
      </c>
      <c r="S61" s="22">
        <f>INDEX('Activity data'!S$24:S$39,MATCH(Emissions!$D61,'Activity data'!$D$24:$D$39,0))*INDEX(EF!$H$84:$H$99,MATCH(Emissions!$D61,EF!$D$84:$D$99,0))*INDEX(EF!$H$100:$H$115,MATCH(Emissions!$D61,EF!$D$100:$D$115,0))*INDEX(EF!$H$116:$H$131,MATCH(Emissions!$D61,EF!$D$116:$D$131,0))*kgtoGg</f>
        <v>1.2646921529240067E-2</v>
      </c>
      <c r="T61" s="22">
        <f>INDEX('Activity data'!T$24:T$39,MATCH(Emissions!$D61,'Activity data'!$D$24:$D$39,0))*INDEX(EF!$H$84:$H$99,MATCH(Emissions!$D61,EF!$D$84:$D$99,0))*INDEX(EF!$H$100:$H$115,MATCH(Emissions!$D61,EF!$D$100:$D$115,0))*INDEX(EF!$H$116:$H$131,MATCH(Emissions!$D61,EF!$D$116:$D$131,0))*kgtoGg</f>
        <v>1.0030317074914535E-2</v>
      </c>
      <c r="U61" s="22">
        <f>INDEX('Activity data'!U$24:U$39,MATCH(Emissions!$D61,'Activity data'!$D$24:$D$39,0))*INDEX(EF!$H$84:$H$99,MATCH(Emissions!$D61,EF!$D$84:$D$99,0))*INDEX(EF!$H$100:$H$115,MATCH(Emissions!$D61,EF!$D$100:$D$115,0))*INDEX(EF!$H$116:$H$131,MATCH(Emissions!$D61,EF!$D$116:$D$131,0))*kgtoGg</f>
        <v>1.5699626725953191E-2</v>
      </c>
      <c r="V61" s="22">
        <f>INDEX('Activity data'!V$24:V$39,MATCH(Emissions!$D61,'Activity data'!$D$24:$D$39,0))*INDEX(EF!$H$84:$H$99,MATCH(Emissions!$D61,EF!$D$84:$D$99,0))*INDEX(EF!$H$100:$H$115,MATCH(Emissions!$D61,EF!$D$100:$D$115,0))*INDEX(EF!$H$116:$H$131,MATCH(Emissions!$D61,EF!$D$116:$D$131,0))*kgtoGg</f>
        <v>3.9249066814882978E-3</v>
      </c>
      <c r="W61" s="22">
        <f>INDEX('Activity data'!W$24:W$39,MATCH(Emissions!$D61,'Activity data'!$D$24:$D$39,0))*INDEX(EF!$H$84:$H$99,MATCH(Emissions!$D61,EF!$D$84:$D$99,0))*INDEX(EF!$H$100:$H$115,MATCH(Emissions!$D61,EF!$D$100:$D$115,0))*INDEX(EF!$H$116:$H$131,MATCH(Emissions!$D61,EF!$D$116:$D$131,0))*kgtoGg</f>
        <v>1.0902518559689715E-2</v>
      </c>
      <c r="X61" s="22">
        <f>INDEX('Activity data'!X$24:X$39,MATCH(Emissions!$D61,'Activity data'!$D$24:$D$39,0))*INDEX(EF!$H$84:$H$99,MATCH(Emissions!$D61,EF!$D$84:$D$99,0))*INDEX(EF!$H$100:$H$115,MATCH(Emissions!$D61,EF!$D$100:$D$115,0))*INDEX(EF!$H$116:$H$131,MATCH(Emissions!$D61,EF!$D$116:$D$131,0))*kgtoGg</f>
        <v>2.1805037119379429E-2</v>
      </c>
      <c r="Y61" s="22">
        <f>INDEX('Activity data'!Y$24:Y$39,MATCH(Emissions!$D61,'Activity data'!$D$24:$D$39,0))*INDEX(EF!$H$84:$H$99,MATCH(Emissions!$D61,EF!$D$84:$D$99,0))*INDEX(EF!$H$100:$H$115,MATCH(Emissions!$D61,EF!$D$100:$D$115,0))*INDEX(EF!$H$116:$H$131,MATCH(Emissions!$D61,EF!$D$116:$D$131,0))*kgtoGg</f>
        <v>1.0466417817302124E-2</v>
      </c>
      <c r="Z61" s="22">
        <f>INDEX('Activity data'!Z$24:Z$39,MATCH(Emissions!$D61,'Activity data'!$D$24:$D$39,0))*INDEX(EF!$H$84:$H$99,MATCH(Emissions!$D61,EF!$D$84:$D$99,0))*INDEX(EF!$H$100:$H$115,MATCH(Emissions!$D61,EF!$D$100:$D$115,0))*INDEX(EF!$H$116:$H$131,MATCH(Emissions!$D61,EF!$D$116:$D$131,0))*kgtoGg</f>
        <v>7.8498133629765956E-3</v>
      </c>
      <c r="AA61" s="22">
        <f>INDEX('Activity data'!AA$24:AA$39,MATCH(Emissions!$D61,'Activity data'!$D$24:$D$39,0))*INDEX(EF!$H$84:$H$99,MATCH(Emissions!$D61,EF!$D$84:$D$99,0))*INDEX(EF!$H$100:$H$115,MATCH(Emissions!$D61,EF!$D$100:$D$115,0))*INDEX(EF!$H$116:$H$131,MATCH(Emissions!$D61,EF!$D$116:$D$131,0))*kgtoGg</f>
        <v>1.1774720044464891E-2</v>
      </c>
      <c r="AB61" s="22">
        <f>INDEX('Activity data'!AB$24:AB$39,MATCH(Emissions!$D61,'Activity data'!$D$24:$D$39,0))*INDEX(EF!$H$84:$H$99,MATCH(Emissions!$D61,EF!$D$84:$D$99,0))*INDEX(EF!$H$100:$H$115,MATCH(Emissions!$D61,EF!$D$100:$D$115,0))*INDEX(EF!$H$116:$H$131,MATCH(Emissions!$D61,EF!$D$116:$D$131,0))*kgtoGg</f>
        <v>1.9544489999999998E-2</v>
      </c>
      <c r="AC61" s="22">
        <f>INDEX('Activity data'!AC$24:AC$39,MATCH(Emissions!$D61,'Activity data'!$D$24:$D$39,0))*INDEX(EF!$H$84:$H$99,MATCH(Emissions!$D61,EF!$D$84:$D$99,0))*INDEX(EF!$H$100:$H$115,MATCH(Emissions!$D61,EF!$D$100:$D$115,0))*INDEX(EF!$H$116:$H$131,MATCH(Emissions!$D61,EF!$D$116:$D$131,0))*kgtoGg</f>
        <v>5.1569217000000007E-2</v>
      </c>
      <c r="AD61" s="22">
        <f>INDEX('Activity data'!AD$24:AD$39,MATCH(Emissions!$D61,'Activity data'!$D$24:$D$39,0))*INDEX(EF!$H$84:$H$99,MATCH(Emissions!$D61,EF!$D$84:$D$99,0))*INDEX(EF!$H$100:$H$115,MATCH(Emissions!$D61,EF!$D$100:$D$115,0))*INDEX(EF!$H$116:$H$131,MATCH(Emissions!$D61,EF!$D$116:$D$131,0))*kgtoGg</f>
        <v>1.6859607769005278E-2</v>
      </c>
      <c r="AE61" s="22">
        <f>INDEX('Activity data'!AE$24:AE$39,MATCH(Emissions!$D61,'Activity data'!$D$24:$D$39,0))*INDEX(EF!$H$84:$H$99,MATCH(Emissions!$D61,EF!$D$84:$D$99,0))*INDEX(EF!$H$100:$H$115,MATCH(Emissions!$D61,EF!$D$100:$D$115,0))*INDEX(EF!$H$116:$H$131,MATCH(Emissions!$D61,EF!$D$116:$D$131,0))*kgtoGg</f>
        <v>1.6970620595071061E-2</v>
      </c>
      <c r="AF61" s="22">
        <f>INDEX('Activity data'!AF$24:AF$39,MATCH(Emissions!$D61,'Activity data'!$D$24:$D$39,0))*INDEX(EF!$H$84:$H$99,MATCH(Emissions!$D61,EF!$D$84:$D$99,0))*INDEX(EF!$H$100:$H$115,MATCH(Emissions!$D61,EF!$D$100:$D$115,0))*INDEX(EF!$H$116:$H$131,MATCH(Emissions!$D61,EF!$D$116:$D$131,0))*kgtoGg</f>
        <v>1.7081633421136833E-2</v>
      </c>
      <c r="AG61" s="22">
        <f>INDEX('Activity data'!AG$24:AG$39,MATCH(Emissions!$D61,'Activity data'!$D$24:$D$39,0))*INDEX(EF!$H$84:$H$99,MATCH(Emissions!$D61,EF!$D$84:$D$99,0))*INDEX(EF!$H$100:$H$115,MATCH(Emissions!$D61,EF!$D$100:$D$115,0))*INDEX(EF!$H$116:$H$131,MATCH(Emissions!$D61,EF!$D$116:$D$131,0))*kgtoGg</f>
        <v>1.7192646247202611E-2</v>
      </c>
      <c r="AH61" s="22">
        <f>INDEX('Activity data'!AH$24:AH$39,MATCH(Emissions!$D61,'Activity data'!$D$24:$D$39,0))*INDEX(EF!$H$84:$H$99,MATCH(Emissions!$D61,EF!$D$84:$D$99,0))*INDEX(EF!$H$100:$H$115,MATCH(Emissions!$D61,EF!$D$100:$D$115,0))*INDEX(EF!$H$116:$H$131,MATCH(Emissions!$D61,EF!$D$116:$D$131,0))*kgtoGg</f>
        <v>1.7303659073268383E-2</v>
      </c>
      <c r="AI61" s="22">
        <f>INDEX('Activity data'!AI$24:AI$39,MATCH(Emissions!$D61,'Activity data'!$D$24:$D$39,0))*INDEX(EF!$H$84:$H$99,MATCH(Emissions!$D61,EF!$D$84:$D$99,0))*INDEX(EF!$H$100:$H$115,MATCH(Emissions!$D61,EF!$D$100:$D$115,0))*INDEX(EF!$H$116:$H$131,MATCH(Emissions!$D61,EF!$D$116:$D$131,0))*kgtoGg</f>
        <v>1.7414671899334159E-2</v>
      </c>
      <c r="AJ61" s="22">
        <f>INDEX('Activity data'!AJ$24:AJ$39,MATCH(Emissions!$D61,'Activity data'!$D$24:$D$39,0))*INDEX(EF!$H$84:$H$99,MATCH(Emissions!$D61,EF!$D$84:$D$99,0))*INDEX(EF!$H$100:$H$115,MATCH(Emissions!$D61,EF!$D$100:$D$115,0))*INDEX(EF!$H$116:$H$131,MATCH(Emissions!$D61,EF!$D$116:$D$131,0))*kgtoGg</f>
        <v>1.7525684725399934E-2</v>
      </c>
      <c r="AK61" s="22">
        <f>INDEX('Activity data'!AK$24:AK$39,MATCH(Emissions!$D61,'Activity data'!$D$24:$D$39,0))*INDEX(EF!$H$84:$H$99,MATCH(Emissions!$D61,EF!$D$84:$D$99,0))*INDEX(EF!$H$100:$H$115,MATCH(Emissions!$D61,EF!$D$100:$D$115,0))*INDEX(EF!$H$116:$H$131,MATCH(Emissions!$D61,EF!$D$116:$D$131,0))*kgtoGg</f>
        <v>1.7620629694994023E-2</v>
      </c>
      <c r="AL61" s="22">
        <f>INDEX('Activity data'!AL$24:AL$39,MATCH(Emissions!$D61,'Activity data'!$D$24:$D$39,0))*INDEX(EF!$H$84:$H$99,MATCH(Emissions!$D61,EF!$D$84:$D$99,0))*INDEX(EF!$H$100:$H$115,MATCH(Emissions!$D61,EF!$D$100:$D$115,0))*INDEX(EF!$H$116:$H$131,MATCH(Emissions!$D61,EF!$D$116:$D$131,0))*kgtoGg</f>
        <v>1.7715574664588101E-2</v>
      </c>
      <c r="AM61" s="22">
        <f>INDEX('Activity data'!AM$24:AM$39,MATCH(Emissions!$D61,'Activity data'!$D$24:$D$39,0))*INDEX(EF!$H$84:$H$99,MATCH(Emissions!$D61,EF!$D$84:$D$99,0))*INDEX(EF!$H$100:$H$115,MATCH(Emissions!$D61,EF!$D$100:$D$115,0))*INDEX(EF!$H$116:$H$131,MATCH(Emissions!$D61,EF!$D$116:$D$131,0))*kgtoGg</f>
        <v>1.7810519634182186E-2</v>
      </c>
      <c r="AN61" s="22">
        <f>INDEX('Activity data'!AN$24:AN$39,MATCH(Emissions!$D61,'Activity data'!$D$24:$D$39,0))*INDEX(EF!$H$84:$H$99,MATCH(Emissions!$D61,EF!$D$84:$D$99,0))*INDEX(EF!$H$100:$H$115,MATCH(Emissions!$D61,EF!$D$100:$D$115,0))*INDEX(EF!$H$116:$H$131,MATCH(Emissions!$D61,EF!$D$116:$D$131,0))*kgtoGg</f>
        <v>1.7905464603776268E-2</v>
      </c>
      <c r="AO61" s="22">
        <f>INDEX('Activity data'!AO$24:AO$39,MATCH(Emissions!$D61,'Activity data'!$D$24:$D$39,0))*INDEX(EF!$H$84:$H$99,MATCH(Emissions!$D61,EF!$D$84:$D$99,0))*INDEX(EF!$H$100:$H$115,MATCH(Emissions!$D61,EF!$D$100:$D$115,0))*INDEX(EF!$H$116:$H$131,MATCH(Emissions!$D61,EF!$D$116:$D$131,0))*kgtoGg</f>
        <v>1.800040957337035E-2</v>
      </c>
      <c r="AP61" s="22">
        <f>INDEX('Activity data'!AP$24:AP$39,MATCH(Emissions!$D61,'Activity data'!$D$24:$D$39,0))*INDEX(EF!$H$84:$H$99,MATCH(Emissions!$D61,EF!$D$84:$D$99,0))*INDEX(EF!$H$100:$H$115,MATCH(Emissions!$D61,EF!$D$100:$D$115,0))*INDEX(EF!$H$116:$H$131,MATCH(Emissions!$D61,EF!$D$116:$D$131,0))*kgtoGg</f>
        <v>1.8095354542964431E-2</v>
      </c>
      <c r="AQ61" s="22">
        <f>INDEX('Activity data'!AQ$24:AQ$39,MATCH(Emissions!$D61,'Activity data'!$D$24:$D$39,0))*INDEX(EF!$H$84:$H$99,MATCH(Emissions!$D61,EF!$D$84:$D$99,0))*INDEX(EF!$H$100:$H$115,MATCH(Emissions!$D61,EF!$D$100:$D$115,0))*INDEX(EF!$H$116:$H$131,MATCH(Emissions!$D61,EF!$D$116:$D$131,0))*kgtoGg</f>
        <v>1.8190299512558517E-2</v>
      </c>
      <c r="AR61" s="22">
        <f>INDEX('Activity data'!AR$24:AR$39,MATCH(Emissions!$D61,'Activity data'!$D$24:$D$39,0))*INDEX(EF!$H$84:$H$99,MATCH(Emissions!$D61,EF!$D$84:$D$99,0))*INDEX(EF!$H$100:$H$115,MATCH(Emissions!$D61,EF!$D$100:$D$115,0))*INDEX(EF!$H$116:$H$131,MATCH(Emissions!$D61,EF!$D$116:$D$131,0))*kgtoGg</f>
        <v>1.8285244482152598E-2</v>
      </c>
      <c r="AS61" s="22">
        <f>INDEX('Activity data'!AS$24:AS$39,MATCH(Emissions!$D61,'Activity data'!$D$24:$D$39,0))*INDEX(EF!$H$84:$H$99,MATCH(Emissions!$D61,EF!$D$84:$D$99,0))*INDEX(EF!$H$100:$H$115,MATCH(Emissions!$D61,EF!$D$100:$D$115,0))*INDEX(EF!$H$116:$H$131,MATCH(Emissions!$D61,EF!$D$116:$D$131,0))*kgtoGg</f>
        <v>1.8380189451746683E-2</v>
      </c>
      <c r="AT61" s="22">
        <f>INDEX('Activity data'!AT$24:AT$39,MATCH(Emissions!$D61,'Activity data'!$D$24:$D$39,0))*INDEX(EF!$H$84:$H$99,MATCH(Emissions!$D61,EF!$D$84:$D$99,0))*INDEX(EF!$H$100:$H$115,MATCH(Emissions!$D61,EF!$D$100:$D$115,0))*INDEX(EF!$H$116:$H$131,MATCH(Emissions!$D61,EF!$D$116:$D$131,0))*kgtoGg</f>
        <v>1.8475134421340765E-2</v>
      </c>
      <c r="AU61" s="22">
        <f>INDEX('Activity data'!AU$24:AU$39,MATCH(Emissions!$D61,'Activity data'!$D$24:$D$39,0))*INDEX(EF!$H$84:$H$99,MATCH(Emissions!$D61,EF!$D$84:$D$99,0))*INDEX(EF!$H$100:$H$115,MATCH(Emissions!$D61,EF!$D$100:$D$115,0))*INDEX(EF!$H$116:$H$131,MATCH(Emissions!$D61,EF!$D$116:$D$131,0))*kgtoGg</f>
        <v>1.857007939093485E-2</v>
      </c>
      <c r="AV61" s="22">
        <f>INDEX('Activity data'!AV$24:AV$39,MATCH(Emissions!$D61,'Activity data'!$D$24:$D$39,0))*INDEX(EF!$H$84:$H$99,MATCH(Emissions!$D61,EF!$D$84:$D$99,0))*INDEX(EF!$H$100:$H$115,MATCH(Emissions!$D61,EF!$D$100:$D$115,0))*INDEX(EF!$H$116:$H$131,MATCH(Emissions!$D61,EF!$D$116:$D$131,0))*kgtoGg</f>
        <v>1.8665024360528928E-2</v>
      </c>
      <c r="AW61" s="22">
        <f>INDEX('Activity data'!AW$24:AW$39,MATCH(Emissions!$D61,'Activity data'!$D$24:$D$39,0))*INDEX(EF!$H$84:$H$99,MATCH(Emissions!$D61,EF!$D$84:$D$99,0))*INDEX(EF!$H$100:$H$115,MATCH(Emissions!$D61,EF!$D$100:$D$115,0))*INDEX(EF!$H$116:$H$131,MATCH(Emissions!$D61,EF!$D$116:$D$131,0))*kgtoGg</f>
        <v>1.8759969330123017E-2</v>
      </c>
      <c r="AX61" s="22">
        <f>INDEX('Activity data'!AX$24:AX$39,MATCH(Emissions!$D61,'Activity data'!$D$24:$D$39,0))*INDEX(EF!$H$84:$H$99,MATCH(Emissions!$D61,EF!$D$84:$D$99,0))*INDEX(EF!$H$100:$H$115,MATCH(Emissions!$D61,EF!$D$100:$D$115,0))*INDEX(EF!$H$116:$H$131,MATCH(Emissions!$D61,EF!$D$116:$D$131,0))*kgtoGg</f>
        <v>1.8854914299717095E-2</v>
      </c>
      <c r="AY61" s="22">
        <f>INDEX('Activity data'!AY$24:AY$39,MATCH(Emissions!$D61,'Activity data'!$D$24:$D$39,0))*INDEX(EF!$H$84:$H$99,MATCH(Emissions!$D61,EF!$D$84:$D$99,0))*INDEX(EF!$H$100:$H$115,MATCH(Emissions!$D61,EF!$D$100:$D$115,0))*INDEX(EF!$H$116:$H$131,MATCH(Emissions!$D61,EF!$D$116:$D$131,0))*kgtoGg</f>
        <v>1.8949859269311177E-2</v>
      </c>
      <c r="AZ61" s="22">
        <f>INDEX('Activity data'!AZ$24:AZ$39,MATCH(Emissions!$D61,'Activity data'!$D$24:$D$39,0))*INDEX(EF!$H$84:$H$99,MATCH(Emissions!$D61,EF!$D$84:$D$99,0))*INDEX(EF!$H$100:$H$115,MATCH(Emissions!$D61,EF!$D$100:$D$115,0))*INDEX(EF!$H$116:$H$131,MATCH(Emissions!$D61,EF!$D$116:$D$131,0))*kgtoGg</f>
        <v>1.9044804238905259E-2</v>
      </c>
      <c r="BA61" s="22">
        <f>INDEX('Activity data'!BA$24:BA$39,MATCH(Emissions!$D61,'Activity data'!$D$24:$D$39,0))*INDEX(EF!$H$84:$H$99,MATCH(Emissions!$D61,EF!$D$84:$D$99,0))*INDEX(EF!$H$100:$H$115,MATCH(Emissions!$D61,EF!$D$100:$D$115,0))*INDEX(EF!$H$116:$H$131,MATCH(Emissions!$D61,EF!$D$116:$D$131,0))*kgtoGg</f>
        <v>1.9139749208499344E-2</v>
      </c>
      <c r="BB61" s="22">
        <f>INDEX('Activity data'!BB$24:BB$39,MATCH(Emissions!$D61,'Activity data'!$D$24:$D$39,0))*INDEX(EF!$H$84:$H$99,MATCH(Emissions!$D61,EF!$D$84:$D$99,0))*INDEX(EF!$H$100:$H$115,MATCH(Emissions!$D61,EF!$D$100:$D$115,0))*INDEX(EF!$H$116:$H$131,MATCH(Emissions!$D61,EF!$D$116:$D$131,0))*kgtoGg</f>
        <v>1.9234694178093432E-2</v>
      </c>
      <c r="BC61" s="22">
        <f>INDEX('Activity data'!BC$24:BC$39,MATCH(Emissions!$D61,'Activity data'!$D$24:$D$39,0))*INDEX(EF!$H$84:$H$99,MATCH(Emissions!$D61,EF!$D$84:$D$99,0))*INDEX(EF!$H$100:$H$115,MATCH(Emissions!$D61,EF!$D$100:$D$115,0))*INDEX(EF!$H$116:$H$131,MATCH(Emissions!$D61,EF!$D$116:$D$131,0))*kgtoGg</f>
        <v>1.9329639147687514E-2</v>
      </c>
      <c r="BD61" s="22">
        <f>INDEX('Activity data'!BD$24:BD$39,MATCH(Emissions!$D61,'Activity data'!$D$24:$D$39,0))*INDEX(EF!$H$84:$H$99,MATCH(Emissions!$D61,EF!$D$84:$D$99,0))*INDEX(EF!$H$100:$H$115,MATCH(Emissions!$D61,EF!$D$100:$D$115,0))*INDEX(EF!$H$116:$H$131,MATCH(Emissions!$D61,EF!$D$116:$D$131,0))*kgtoGg</f>
        <v>1.9424584117281596E-2</v>
      </c>
      <c r="BE61" s="22">
        <f>INDEX('Activity data'!BE$24:BE$39,MATCH(Emissions!$D61,'Activity data'!$D$24:$D$39,0))*INDEX(EF!$H$84:$H$99,MATCH(Emissions!$D61,EF!$D$84:$D$99,0))*INDEX(EF!$H$100:$H$115,MATCH(Emissions!$D61,EF!$D$100:$D$115,0))*INDEX(EF!$H$116:$H$131,MATCH(Emissions!$D61,EF!$D$116:$D$131,0))*kgtoGg</f>
        <v>1.9519529086875674E-2</v>
      </c>
      <c r="BF61" s="22">
        <f>INDEX('Activity data'!BF$24:BF$39,MATCH(Emissions!$D61,'Activity data'!$D$24:$D$39,0))*INDEX(EF!$H$84:$H$99,MATCH(Emissions!$D61,EF!$D$84:$D$99,0))*INDEX(EF!$H$100:$H$115,MATCH(Emissions!$D61,EF!$D$100:$D$115,0))*INDEX(EF!$H$116:$H$131,MATCH(Emissions!$D61,EF!$D$116:$D$131,0))*kgtoGg</f>
        <v>1.9614474056469763E-2</v>
      </c>
      <c r="BG61" s="22">
        <f>INDEX('Activity data'!BG$24:BG$39,MATCH(Emissions!$D61,'Activity data'!$D$24:$D$39,0))*INDEX(EF!$H$84:$H$99,MATCH(Emissions!$D61,EF!$D$84:$D$99,0))*INDEX(EF!$H$100:$H$115,MATCH(Emissions!$D61,EF!$D$100:$D$115,0))*INDEX(EF!$H$116:$H$131,MATCH(Emissions!$D61,EF!$D$116:$D$131,0))*kgtoGg</f>
        <v>1.9709419026063844E-2</v>
      </c>
      <c r="BH61" s="22">
        <f>INDEX('Activity data'!BH$24:BH$39,MATCH(Emissions!$D61,'Activity data'!$D$24:$D$39,0))*INDEX(EF!$H$84:$H$99,MATCH(Emissions!$D61,EF!$D$84:$D$99,0))*INDEX(EF!$H$100:$H$115,MATCH(Emissions!$D61,EF!$D$100:$D$115,0))*INDEX(EF!$H$116:$H$131,MATCH(Emissions!$D61,EF!$D$116:$D$131,0))*kgtoGg</f>
        <v>1.980436399565793E-2</v>
      </c>
      <c r="BI61" s="22">
        <f>INDEX('Activity data'!BI$24:BI$39,MATCH(Emissions!$D61,'Activity data'!$D$24:$D$39,0))*INDEX(EF!$H$84:$H$99,MATCH(Emissions!$D61,EF!$D$84:$D$99,0))*INDEX(EF!$H$100:$H$115,MATCH(Emissions!$D61,EF!$D$100:$D$115,0))*INDEX(EF!$H$116:$H$131,MATCH(Emissions!$D61,EF!$D$116:$D$131,0))*kgtoGg</f>
        <v>1.9899308965252004E-2</v>
      </c>
      <c r="BJ61" s="22">
        <f>INDEX('Activity data'!BJ$24:BJ$39,MATCH(Emissions!$D61,'Activity data'!$D$24:$D$39,0))*INDEX(EF!$H$84:$H$99,MATCH(Emissions!$D61,EF!$D$84:$D$99,0))*INDEX(EF!$H$100:$H$115,MATCH(Emissions!$D61,EF!$D$100:$D$115,0))*INDEX(EF!$H$116:$H$131,MATCH(Emissions!$D61,EF!$D$116:$D$131,0))*kgtoGg</f>
        <v>1.9994253934846093E-2</v>
      </c>
      <c r="BK61" s="22">
        <f>INDEX('Activity data'!BK$24:BK$39,MATCH(Emissions!$D61,'Activity data'!$D$24:$D$39,0))*INDEX(EF!$H$84:$H$99,MATCH(Emissions!$D61,EF!$D$84:$D$99,0))*INDEX(EF!$H$100:$H$115,MATCH(Emissions!$D61,EF!$D$100:$D$115,0))*INDEX(EF!$H$116:$H$131,MATCH(Emissions!$D61,EF!$D$116:$D$131,0))*kgtoGg</f>
        <v>2.0089198904440175E-2</v>
      </c>
      <c r="BL61" s="22">
        <f>INDEX('Activity data'!BL$24:BL$39,MATCH(Emissions!$D61,'Activity data'!$D$24:$D$39,0))*INDEX(EF!$H$84:$H$99,MATCH(Emissions!$D61,EF!$D$84:$D$99,0))*INDEX(EF!$H$100:$H$115,MATCH(Emissions!$D61,EF!$D$100:$D$115,0))*INDEX(EF!$H$116:$H$131,MATCH(Emissions!$D61,EF!$D$116:$D$131,0))*kgtoGg</f>
        <v>2.0184143874034256E-2</v>
      </c>
      <c r="BM61" s="22">
        <f>INDEX('Activity data'!BM$24:BM$39,MATCH(Emissions!$D61,'Activity data'!$D$24:$D$39,0))*INDEX(EF!$H$84:$H$99,MATCH(Emissions!$D61,EF!$D$84:$D$99,0))*INDEX(EF!$H$100:$H$115,MATCH(Emissions!$D61,EF!$D$100:$D$115,0))*INDEX(EF!$H$116:$H$131,MATCH(Emissions!$D61,EF!$D$116:$D$131,0))*kgtoGg</f>
        <v>2.0279088843628338E-2</v>
      </c>
      <c r="BN61" s="22">
        <f>INDEX('Activity data'!BN$24:BN$39,MATCH(Emissions!$D61,'Activity data'!$D$24:$D$39,0))*INDEX(EF!$H$84:$H$99,MATCH(Emissions!$D61,EF!$D$84:$D$99,0))*INDEX(EF!$H$100:$H$115,MATCH(Emissions!$D61,EF!$D$100:$D$115,0))*INDEX(EF!$H$116:$H$131,MATCH(Emissions!$D61,EF!$D$116:$D$131,0))*kgtoGg</f>
        <v>2.037403381322242E-2</v>
      </c>
      <c r="BO61" s="22">
        <f>INDEX('Activity data'!BO$24:BO$39,MATCH(Emissions!$D61,'Activity data'!$D$24:$D$39,0))*INDEX(EF!$H$84:$H$99,MATCH(Emissions!$D61,EF!$D$84:$D$99,0))*INDEX(EF!$H$100:$H$115,MATCH(Emissions!$D61,EF!$D$100:$D$115,0))*INDEX(EF!$H$116:$H$131,MATCH(Emissions!$D61,EF!$D$116:$D$131,0))*kgtoGg</f>
        <v>2.0468978782816501E-2</v>
      </c>
      <c r="BP61" s="22">
        <f>INDEX('Activity data'!BP$24:BP$39,MATCH(Emissions!$D61,'Activity data'!$D$24:$D$39,0))*INDEX(EF!$H$84:$H$99,MATCH(Emissions!$D61,EF!$D$84:$D$99,0))*INDEX(EF!$H$100:$H$115,MATCH(Emissions!$D61,EF!$D$100:$D$115,0))*INDEX(EF!$H$116:$H$131,MATCH(Emissions!$D61,EF!$D$116:$D$131,0))*kgtoGg</f>
        <v>2.056392375241058E-2</v>
      </c>
    </row>
    <row r="62" spans="1:68" x14ac:dyDescent="0.25">
      <c r="A62" t="str">
        <f t="shared" si="19"/>
        <v>3C Aggregated and non-CO2 emissions on land</v>
      </c>
      <c r="B62" t="str">
        <f t="shared" si="20"/>
        <v>3C1 Biomass burning (CH4)</v>
      </c>
      <c r="C62" t="str">
        <f t="shared" si="18"/>
        <v>3C1b Biomass burning in Croplands</v>
      </c>
      <c r="D62" t="str">
        <f>EF!D92</f>
        <v>Cropland subsistence</v>
      </c>
      <c r="E62" t="s">
        <v>655</v>
      </c>
      <c r="F62" t="str">
        <f t="shared" ref="F62:F65" si="21">F61</f>
        <v>CH4</v>
      </c>
      <c r="G62" t="str">
        <f t="shared" ref="G62:G65" si="22">G61</f>
        <v>Gg CH4</v>
      </c>
      <c r="H62" s="22">
        <f>INDEX('Activity data'!H$24:H$39,MATCH(Emissions!$D62,'Activity data'!$D$24:$D$39,0))*INDEX(EF!$H$84:$H$99,MATCH(Emissions!$D62,EF!$D$84:$D$99,0))*INDEX(EF!$H$100:$H$115,MATCH(Emissions!$D62,EF!$D$100:$D$115,0))*INDEX(EF!$H$116:$H$131,MATCH(Emissions!$D62,EF!$D$116:$D$131,0))*kgtoGg</f>
        <v>2.2958959683736984</v>
      </c>
      <c r="I62" s="22">
        <f>INDEX('Activity data'!I$24:I$39,MATCH(Emissions!$D62,'Activity data'!$D$24:$D$39,0))*INDEX(EF!$H$84:$H$99,MATCH(Emissions!$D62,EF!$D$84:$D$99,0))*INDEX(EF!$H$100:$H$115,MATCH(Emissions!$D62,EF!$D$100:$D$115,0))*INDEX(EF!$H$116:$H$131,MATCH(Emissions!$D62,EF!$D$116:$D$131,0))*kgtoGg</f>
        <v>2.2958959683736984</v>
      </c>
      <c r="J62" s="22">
        <f>INDEX('Activity data'!J$24:J$39,MATCH(Emissions!$D62,'Activity data'!$D$24:$D$39,0))*INDEX(EF!$H$84:$H$99,MATCH(Emissions!$D62,EF!$D$84:$D$99,0))*INDEX(EF!$H$100:$H$115,MATCH(Emissions!$D62,EF!$D$100:$D$115,0))*INDEX(EF!$H$116:$H$131,MATCH(Emissions!$D62,EF!$D$116:$D$131,0))*kgtoGg</f>
        <v>2.2958959683736984</v>
      </c>
      <c r="K62" s="22">
        <f>INDEX('Activity data'!K$24:K$39,MATCH(Emissions!$D62,'Activity data'!$D$24:$D$39,0))*INDEX(EF!$H$84:$H$99,MATCH(Emissions!$D62,EF!$D$84:$D$99,0))*INDEX(EF!$H$100:$H$115,MATCH(Emissions!$D62,EF!$D$100:$D$115,0))*INDEX(EF!$H$116:$H$131,MATCH(Emissions!$D62,EF!$D$116:$D$131,0))*kgtoGg</f>
        <v>2.2958959683736984</v>
      </c>
      <c r="L62" s="22">
        <f>INDEX('Activity data'!L$24:L$39,MATCH(Emissions!$D62,'Activity data'!$D$24:$D$39,0))*INDEX(EF!$H$84:$H$99,MATCH(Emissions!$D62,EF!$D$84:$D$99,0))*INDEX(EF!$H$100:$H$115,MATCH(Emissions!$D62,EF!$D$100:$D$115,0))*INDEX(EF!$H$116:$H$131,MATCH(Emissions!$D62,EF!$D$116:$D$131,0))*kgtoGg</f>
        <v>2.2958959683736984</v>
      </c>
      <c r="M62" s="22">
        <f>INDEX('Activity data'!M$24:M$39,MATCH(Emissions!$D62,'Activity data'!$D$24:$D$39,0))*INDEX(EF!$H$84:$H$99,MATCH(Emissions!$D62,EF!$D$84:$D$99,0))*INDEX(EF!$H$100:$H$115,MATCH(Emissions!$D62,EF!$D$100:$D$115,0))*INDEX(EF!$H$116:$H$131,MATCH(Emissions!$D62,EF!$D$116:$D$131,0))*kgtoGg</f>
        <v>2.2958959683736984</v>
      </c>
      <c r="N62" s="22">
        <f>INDEX('Activity data'!N$24:N$39,MATCH(Emissions!$D62,'Activity data'!$D$24:$D$39,0))*INDEX(EF!$H$84:$H$99,MATCH(Emissions!$D62,EF!$D$84:$D$99,0))*INDEX(EF!$H$100:$H$115,MATCH(Emissions!$D62,EF!$D$100:$D$115,0))*INDEX(EF!$H$116:$H$131,MATCH(Emissions!$D62,EF!$D$116:$D$131,0))*kgtoGg</f>
        <v>2.2958959683736984</v>
      </c>
      <c r="O62" s="22">
        <f>INDEX('Activity data'!O$24:O$39,MATCH(Emissions!$D62,'Activity data'!$D$24:$D$39,0))*INDEX(EF!$H$84:$H$99,MATCH(Emissions!$D62,EF!$D$84:$D$99,0))*INDEX(EF!$H$100:$H$115,MATCH(Emissions!$D62,EF!$D$100:$D$115,0))*INDEX(EF!$H$116:$H$131,MATCH(Emissions!$D62,EF!$D$116:$D$131,0))*kgtoGg</f>
        <v>2.2958959683736984</v>
      </c>
      <c r="P62" s="22">
        <f>INDEX('Activity data'!P$24:P$39,MATCH(Emissions!$D62,'Activity data'!$D$24:$D$39,0))*INDEX(EF!$H$84:$H$99,MATCH(Emissions!$D62,EF!$D$84:$D$99,0))*INDEX(EF!$H$100:$H$115,MATCH(Emissions!$D62,EF!$D$100:$D$115,0))*INDEX(EF!$H$116:$H$131,MATCH(Emissions!$D62,EF!$D$116:$D$131,0))*kgtoGg</f>
        <v>2.2958959683736984</v>
      </c>
      <c r="Q62" s="22">
        <f>INDEX('Activity data'!Q$24:Q$39,MATCH(Emissions!$D62,'Activity data'!$D$24:$D$39,0))*INDEX(EF!$H$84:$H$99,MATCH(Emissions!$D62,EF!$D$84:$D$99,0))*INDEX(EF!$H$100:$H$115,MATCH(Emissions!$D62,EF!$D$100:$D$115,0))*INDEX(EF!$H$116:$H$131,MATCH(Emissions!$D62,EF!$D$116:$D$131,0))*kgtoGg</f>
        <v>2.2958959683736984</v>
      </c>
      <c r="R62" s="22">
        <f>INDEX('Activity data'!R$24:R$39,MATCH(Emissions!$D62,'Activity data'!$D$24:$D$39,0))*INDEX(EF!$H$84:$H$99,MATCH(Emissions!$D62,EF!$D$84:$D$99,0))*INDEX(EF!$H$100:$H$115,MATCH(Emissions!$D62,EF!$D$100:$D$115,0))*INDEX(EF!$H$116:$H$131,MATCH(Emissions!$D62,EF!$D$116:$D$131,0))*kgtoGg</f>
        <v>2.0976445708843015</v>
      </c>
      <c r="S62" s="22">
        <f>INDEX('Activity data'!S$24:S$39,MATCH(Emissions!$D62,'Activity data'!$D$24:$D$39,0))*INDEX(EF!$H$84:$H$99,MATCH(Emissions!$D62,EF!$D$84:$D$99,0))*INDEX(EF!$H$100:$H$115,MATCH(Emissions!$D62,EF!$D$100:$D$115,0))*INDEX(EF!$H$116:$H$131,MATCH(Emissions!$D62,EF!$D$116:$D$131,0))*kgtoGg</f>
        <v>3.1399253451906373</v>
      </c>
      <c r="T62" s="22">
        <f>INDEX('Activity data'!T$24:T$39,MATCH(Emissions!$D62,'Activity data'!$D$24:$D$39,0))*INDEX(EF!$H$84:$H$99,MATCH(Emissions!$D62,EF!$D$84:$D$99,0))*INDEX(EF!$H$100:$H$115,MATCH(Emissions!$D62,EF!$D$100:$D$115,0))*INDEX(EF!$H$116:$H$131,MATCH(Emissions!$D62,EF!$D$116:$D$131,0))*kgtoGg</f>
        <v>2.47225510859524</v>
      </c>
      <c r="U62" s="22">
        <f>INDEX('Activity data'!U$24:U$39,MATCH(Emissions!$D62,'Activity data'!$D$24:$D$39,0))*INDEX(EF!$H$84:$H$99,MATCH(Emissions!$D62,EF!$D$84:$D$99,0))*INDEX(EF!$H$100:$H$115,MATCH(Emissions!$D62,EF!$D$100:$D$115,0))*INDEX(EF!$H$116:$H$131,MATCH(Emissions!$D62,EF!$D$116:$D$131,0))*kgtoGg</f>
        <v>2.0972084701419136</v>
      </c>
      <c r="V62" s="22">
        <f>INDEX('Activity data'!V$24:V$39,MATCH(Emissions!$D62,'Activity data'!$D$24:$D$39,0))*INDEX(EF!$H$84:$H$99,MATCH(Emissions!$D62,EF!$D$84:$D$99,0))*INDEX(EF!$H$100:$H$115,MATCH(Emissions!$D62,EF!$D$100:$D$115,0))*INDEX(EF!$H$116:$H$131,MATCH(Emissions!$D62,EF!$D$116:$D$131,0))*kgtoGg</f>
        <v>1.6724463470564022</v>
      </c>
      <c r="W62" s="22">
        <f>INDEX('Activity data'!W$24:W$39,MATCH(Emissions!$D62,'Activity data'!$D$24:$D$39,0))*INDEX(EF!$H$84:$H$99,MATCH(Emissions!$D62,EF!$D$84:$D$99,0))*INDEX(EF!$H$100:$H$115,MATCH(Emissions!$D62,EF!$D$100:$D$115,0))*INDEX(EF!$H$116:$H$131,MATCH(Emissions!$D62,EF!$D$116:$D$131,0))*kgtoGg</f>
        <v>3.6253054714680237</v>
      </c>
      <c r="X62" s="22">
        <f>INDEX('Activity data'!X$24:X$39,MATCH(Emissions!$D62,'Activity data'!$D$24:$D$39,0))*INDEX(EF!$H$84:$H$99,MATCH(Emissions!$D62,EF!$D$84:$D$99,0))*INDEX(EF!$H$100:$H$115,MATCH(Emissions!$D62,EF!$D$100:$D$115,0))*INDEX(EF!$H$116:$H$131,MATCH(Emissions!$D62,EF!$D$116:$D$131,0))*kgtoGg</f>
        <v>2.840760235912752</v>
      </c>
      <c r="Y62" s="22">
        <f>INDEX('Activity data'!Y$24:Y$39,MATCH(Emissions!$D62,'Activity data'!$D$24:$D$39,0))*INDEX(EF!$H$84:$H$99,MATCH(Emissions!$D62,EF!$D$84:$D$99,0))*INDEX(EF!$H$100:$H$115,MATCH(Emissions!$D62,EF!$D$100:$D$115,0))*INDEX(EF!$H$116:$H$131,MATCH(Emissions!$D62,EF!$D$116:$D$131,0))*kgtoGg</f>
        <v>4.3989481884636055</v>
      </c>
      <c r="Z62" s="22">
        <f>INDEX('Activity data'!Z$24:Z$39,MATCH(Emissions!$D62,'Activity data'!$D$24:$D$39,0))*INDEX(EF!$H$84:$H$99,MATCH(Emissions!$D62,EF!$D$84:$D$99,0))*INDEX(EF!$H$100:$H$115,MATCH(Emissions!$D62,EF!$D$100:$D$115,0))*INDEX(EF!$H$116:$H$131,MATCH(Emissions!$D62,EF!$D$116:$D$131,0))*kgtoGg</f>
        <v>2.6466954055502754</v>
      </c>
      <c r="AA62" s="22">
        <f>INDEX('Activity data'!AA$24:AA$39,MATCH(Emissions!$D62,'Activity data'!$D$24:$D$39,0))*INDEX(EF!$H$84:$H$99,MATCH(Emissions!$D62,EF!$D$84:$D$99,0))*INDEX(EF!$H$100:$H$115,MATCH(Emissions!$D62,EF!$D$100:$D$115,0))*INDEX(EF!$H$116:$H$131,MATCH(Emissions!$D62,EF!$D$116:$D$131,0))*kgtoGg</f>
        <v>3.1307672296004982</v>
      </c>
      <c r="AB62" s="22">
        <f>INDEX('Activity data'!AB$24:AB$39,MATCH(Emissions!$D62,'Activity data'!$D$24:$D$39,0))*INDEX(EF!$H$84:$H$99,MATCH(Emissions!$D62,EF!$D$84:$D$99,0))*INDEX(EF!$H$100:$H$115,MATCH(Emissions!$D62,EF!$D$100:$D$115,0))*INDEX(EF!$H$116:$H$131,MATCH(Emissions!$D62,EF!$D$116:$D$131,0))*kgtoGg</f>
        <v>2.1033375300000001</v>
      </c>
      <c r="AC62" s="22">
        <f>INDEX('Activity data'!AC$24:AC$39,MATCH(Emissions!$D62,'Activity data'!$D$24:$D$39,0))*INDEX(EF!$H$84:$H$99,MATCH(Emissions!$D62,EF!$D$84:$D$99,0))*INDEX(EF!$H$100:$H$115,MATCH(Emissions!$D62,EF!$D$100:$D$115,0))*INDEX(EF!$H$116:$H$131,MATCH(Emissions!$D62,EF!$D$116:$D$131,0))*kgtoGg</f>
        <v>1.4277904830000001</v>
      </c>
      <c r="AD62" s="22">
        <f>INDEX('Activity data'!AD$24:AD$39,MATCH(Emissions!$D62,'Activity data'!$D$24:$D$39,0))*INDEX(EF!$H$84:$H$99,MATCH(Emissions!$D62,EF!$D$84:$D$99,0))*INDEX(EF!$H$100:$H$115,MATCH(Emissions!$D62,EF!$D$100:$D$115,0))*INDEX(EF!$H$116:$H$131,MATCH(Emissions!$D62,EF!$D$116:$D$131,0))*kgtoGg</f>
        <v>2.1063465196390041</v>
      </c>
      <c r="AE62" s="22">
        <f>INDEX('Activity data'!AE$24:AE$39,MATCH(Emissions!$D62,'Activity data'!$D$24:$D$39,0))*INDEX(EF!$H$84:$H$99,MATCH(Emissions!$D62,EF!$D$84:$D$99,0))*INDEX(EF!$H$100:$H$115,MATCH(Emissions!$D62,EF!$D$100:$D$115,0))*INDEX(EF!$H$116:$H$131,MATCH(Emissions!$D62,EF!$D$116:$D$131,0))*kgtoGg</f>
        <v>2.1066609711212716</v>
      </c>
      <c r="AF62" s="22">
        <f>INDEX('Activity data'!AF$24:AF$39,MATCH(Emissions!$D62,'Activity data'!$D$24:$D$39,0))*INDEX(EF!$H$84:$H$99,MATCH(Emissions!$D62,EF!$D$84:$D$99,0))*INDEX(EF!$H$100:$H$115,MATCH(Emissions!$D62,EF!$D$100:$D$115,0))*INDEX(EF!$H$116:$H$131,MATCH(Emissions!$D62,EF!$D$116:$D$131,0))*kgtoGg</f>
        <v>2.1069754226035395</v>
      </c>
      <c r="AG62" s="22">
        <f>INDEX('Activity data'!AG$24:AG$39,MATCH(Emissions!$D62,'Activity data'!$D$24:$D$39,0))*INDEX(EF!$H$84:$H$99,MATCH(Emissions!$D62,EF!$D$84:$D$99,0))*INDEX(EF!$H$100:$H$115,MATCH(Emissions!$D62,EF!$D$100:$D$115,0))*INDEX(EF!$H$116:$H$131,MATCH(Emissions!$D62,EF!$D$116:$D$131,0))*kgtoGg</f>
        <v>2.1072898740858075</v>
      </c>
      <c r="AH62" s="22">
        <f>INDEX('Activity data'!AH$24:AH$39,MATCH(Emissions!$D62,'Activity data'!$D$24:$D$39,0))*INDEX(EF!$H$84:$H$99,MATCH(Emissions!$D62,EF!$D$84:$D$99,0))*INDEX(EF!$H$100:$H$115,MATCH(Emissions!$D62,EF!$D$100:$D$115,0))*INDEX(EF!$H$116:$H$131,MATCH(Emissions!$D62,EF!$D$116:$D$131,0))*kgtoGg</f>
        <v>2.1076043255680759</v>
      </c>
      <c r="AI62" s="22">
        <f>INDEX('Activity data'!AI$24:AI$39,MATCH(Emissions!$D62,'Activity data'!$D$24:$D$39,0))*INDEX(EF!$H$84:$H$99,MATCH(Emissions!$D62,EF!$D$84:$D$99,0))*INDEX(EF!$H$100:$H$115,MATCH(Emissions!$D62,EF!$D$100:$D$115,0))*INDEX(EF!$H$116:$H$131,MATCH(Emissions!$D62,EF!$D$116:$D$131,0))*kgtoGg</f>
        <v>2.1079187770503438</v>
      </c>
      <c r="AJ62" s="22">
        <f>INDEX('Activity data'!AJ$24:AJ$39,MATCH(Emissions!$D62,'Activity data'!$D$24:$D$39,0))*INDEX(EF!$H$84:$H$99,MATCH(Emissions!$D62,EF!$D$84:$D$99,0))*INDEX(EF!$H$100:$H$115,MATCH(Emissions!$D62,EF!$D$100:$D$115,0))*INDEX(EF!$H$116:$H$131,MATCH(Emissions!$D62,EF!$D$116:$D$131,0))*kgtoGg</f>
        <v>2.1082332285326113</v>
      </c>
      <c r="AK62" s="22">
        <f>INDEX('Activity data'!AK$24:AK$39,MATCH(Emissions!$D62,'Activity data'!$D$24:$D$39,0))*INDEX(EF!$H$84:$H$99,MATCH(Emissions!$D62,EF!$D$84:$D$99,0))*INDEX(EF!$H$100:$H$115,MATCH(Emissions!$D62,EF!$D$100:$D$115,0))*INDEX(EF!$H$116:$H$131,MATCH(Emissions!$D62,EF!$D$116:$D$131,0))*kgtoGg</f>
        <v>2.1080420531293567</v>
      </c>
      <c r="AL62" s="22">
        <f>INDEX('Activity data'!AL$24:AL$39,MATCH(Emissions!$D62,'Activity data'!$D$24:$D$39,0))*INDEX(EF!$H$84:$H$99,MATCH(Emissions!$D62,EF!$D$84:$D$99,0))*INDEX(EF!$H$100:$H$115,MATCH(Emissions!$D62,EF!$D$100:$D$115,0))*INDEX(EF!$H$116:$H$131,MATCH(Emissions!$D62,EF!$D$116:$D$131,0))*kgtoGg</f>
        <v>2.1078508777261011</v>
      </c>
      <c r="AM62" s="22">
        <f>INDEX('Activity data'!AM$24:AM$39,MATCH(Emissions!$D62,'Activity data'!$D$24:$D$39,0))*INDEX(EF!$H$84:$H$99,MATCH(Emissions!$D62,EF!$D$84:$D$99,0))*INDEX(EF!$H$100:$H$115,MATCH(Emissions!$D62,EF!$D$100:$D$115,0))*INDEX(EF!$H$116:$H$131,MATCH(Emissions!$D62,EF!$D$116:$D$131,0))*kgtoGg</f>
        <v>2.1076597023228461</v>
      </c>
      <c r="AN62" s="22">
        <f>INDEX('Activity data'!AN$24:AN$39,MATCH(Emissions!$D62,'Activity data'!$D$24:$D$39,0))*INDEX(EF!$H$84:$H$99,MATCH(Emissions!$D62,EF!$D$84:$D$99,0))*INDEX(EF!$H$100:$H$115,MATCH(Emissions!$D62,EF!$D$100:$D$115,0))*INDEX(EF!$H$116:$H$131,MATCH(Emissions!$D62,EF!$D$116:$D$131,0))*kgtoGg</f>
        <v>2.1074685269195919</v>
      </c>
      <c r="AO62" s="22">
        <f>INDEX('Activity data'!AO$24:AO$39,MATCH(Emissions!$D62,'Activity data'!$D$24:$D$39,0))*INDEX(EF!$H$84:$H$99,MATCH(Emissions!$D62,EF!$D$84:$D$99,0))*INDEX(EF!$H$100:$H$115,MATCH(Emissions!$D62,EF!$D$100:$D$115,0))*INDEX(EF!$H$116:$H$131,MATCH(Emissions!$D62,EF!$D$116:$D$131,0))*kgtoGg</f>
        <v>2.1072773515163368</v>
      </c>
      <c r="AP62" s="22">
        <f>INDEX('Activity data'!AP$24:AP$39,MATCH(Emissions!$D62,'Activity data'!$D$24:$D$39,0))*INDEX(EF!$H$84:$H$99,MATCH(Emissions!$D62,EF!$D$84:$D$99,0))*INDEX(EF!$H$100:$H$115,MATCH(Emissions!$D62,EF!$D$100:$D$115,0))*INDEX(EF!$H$116:$H$131,MATCH(Emissions!$D62,EF!$D$116:$D$131,0))*kgtoGg</f>
        <v>2.1070861761130812</v>
      </c>
      <c r="AQ62" s="22">
        <f>INDEX('Activity data'!AQ$24:AQ$39,MATCH(Emissions!$D62,'Activity data'!$D$24:$D$39,0))*INDEX(EF!$H$84:$H$99,MATCH(Emissions!$D62,EF!$D$84:$D$99,0))*INDEX(EF!$H$100:$H$115,MATCH(Emissions!$D62,EF!$D$100:$D$115,0))*INDEX(EF!$H$116:$H$131,MATCH(Emissions!$D62,EF!$D$116:$D$131,0))*kgtoGg</f>
        <v>2.1068950007098262</v>
      </c>
      <c r="AR62" s="22">
        <f>INDEX('Activity data'!AR$24:AR$39,MATCH(Emissions!$D62,'Activity data'!$D$24:$D$39,0))*INDEX(EF!$H$84:$H$99,MATCH(Emissions!$D62,EF!$D$84:$D$99,0))*INDEX(EF!$H$100:$H$115,MATCH(Emissions!$D62,EF!$D$100:$D$115,0))*INDEX(EF!$H$116:$H$131,MATCH(Emissions!$D62,EF!$D$116:$D$131,0))*kgtoGg</f>
        <v>2.1067038253065715</v>
      </c>
      <c r="AS62" s="22">
        <f>INDEX('Activity data'!AS$24:AS$39,MATCH(Emissions!$D62,'Activity data'!$D$24:$D$39,0))*INDEX(EF!$H$84:$H$99,MATCH(Emissions!$D62,EF!$D$84:$D$99,0))*INDEX(EF!$H$100:$H$115,MATCH(Emissions!$D62,EF!$D$100:$D$115,0))*INDEX(EF!$H$116:$H$131,MATCH(Emissions!$D62,EF!$D$116:$D$131,0))*kgtoGg</f>
        <v>2.106512649903316</v>
      </c>
      <c r="AT62" s="22">
        <f>INDEX('Activity data'!AT$24:AT$39,MATCH(Emissions!$D62,'Activity data'!$D$24:$D$39,0))*INDEX(EF!$H$84:$H$99,MATCH(Emissions!$D62,EF!$D$84:$D$99,0))*INDEX(EF!$H$100:$H$115,MATCH(Emissions!$D62,EF!$D$100:$D$115,0))*INDEX(EF!$H$116:$H$131,MATCH(Emissions!$D62,EF!$D$116:$D$131,0))*kgtoGg</f>
        <v>2.1063214745000609</v>
      </c>
      <c r="AU62" s="22">
        <f>INDEX('Activity data'!AU$24:AU$39,MATCH(Emissions!$D62,'Activity data'!$D$24:$D$39,0))*INDEX(EF!$H$84:$H$99,MATCH(Emissions!$D62,EF!$D$84:$D$99,0))*INDEX(EF!$H$100:$H$115,MATCH(Emissions!$D62,EF!$D$100:$D$115,0))*INDEX(EF!$H$116:$H$131,MATCH(Emissions!$D62,EF!$D$116:$D$131,0))*kgtoGg</f>
        <v>2.1061302990968054</v>
      </c>
      <c r="AV62" s="22">
        <f>INDEX('Activity data'!AV$24:AV$39,MATCH(Emissions!$D62,'Activity data'!$D$24:$D$39,0))*INDEX(EF!$H$84:$H$99,MATCH(Emissions!$D62,EF!$D$84:$D$99,0))*INDEX(EF!$H$100:$H$115,MATCH(Emissions!$D62,EF!$D$100:$D$115,0))*INDEX(EF!$H$116:$H$131,MATCH(Emissions!$D62,EF!$D$116:$D$131,0))*kgtoGg</f>
        <v>2.1059391236935507</v>
      </c>
      <c r="AW62" s="22">
        <f>INDEX('Activity data'!AW$24:AW$39,MATCH(Emissions!$D62,'Activity data'!$D$24:$D$39,0))*INDEX(EF!$H$84:$H$99,MATCH(Emissions!$D62,EF!$D$84:$D$99,0))*INDEX(EF!$H$100:$H$115,MATCH(Emissions!$D62,EF!$D$100:$D$115,0))*INDEX(EF!$H$116:$H$131,MATCH(Emissions!$D62,EF!$D$116:$D$131,0))*kgtoGg</f>
        <v>2.1057479482902957</v>
      </c>
      <c r="AX62" s="22">
        <f>INDEX('Activity data'!AX$24:AX$39,MATCH(Emissions!$D62,'Activity data'!$D$24:$D$39,0))*INDEX(EF!$H$84:$H$99,MATCH(Emissions!$D62,EF!$D$84:$D$99,0))*INDEX(EF!$H$100:$H$115,MATCH(Emissions!$D62,EF!$D$100:$D$115,0))*INDEX(EF!$H$116:$H$131,MATCH(Emissions!$D62,EF!$D$116:$D$131,0))*kgtoGg</f>
        <v>2.1055567728870401</v>
      </c>
      <c r="AY62" s="22">
        <f>INDEX('Activity data'!AY$24:AY$39,MATCH(Emissions!$D62,'Activity data'!$D$24:$D$39,0))*INDEX(EF!$H$84:$H$99,MATCH(Emissions!$D62,EF!$D$84:$D$99,0))*INDEX(EF!$H$100:$H$115,MATCH(Emissions!$D62,EF!$D$100:$D$115,0))*INDEX(EF!$H$116:$H$131,MATCH(Emissions!$D62,EF!$D$116:$D$131,0))*kgtoGg</f>
        <v>2.1053655974837859</v>
      </c>
      <c r="AZ62" s="22">
        <f>INDEX('Activity data'!AZ$24:AZ$39,MATCH(Emissions!$D62,'Activity data'!$D$24:$D$39,0))*INDEX(EF!$H$84:$H$99,MATCH(Emissions!$D62,EF!$D$84:$D$99,0))*INDEX(EF!$H$100:$H$115,MATCH(Emissions!$D62,EF!$D$100:$D$115,0))*INDEX(EF!$H$116:$H$131,MATCH(Emissions!$D62,EF!$D$116:$D$131,0))*kgtoGg</f>
        <v>2.1051744220805304</v>
      </c>
      <c r="BA62" s="22">
        <f>INDEX('Activity data'!BA$24:BA$39,MATCH(Emissions!$D62,'Activity data'!$D$24:$D$39,0))*INDEX(EF!$H$84:$H$99,MATCH(Emissions!$D62,EF!$D$84:$D$99,0))*INDEX(EF!$H$100:$H$115,MATCH(Emissions!$D62,EF!$D$100:$D$115,0))*INDEX(EF!$H$116:$H$131,MATCH(Emissions!$D62,EF!$D$116:$D$131,0))*kgtoGg</f>
        <v>2.1049832466772753</v>
      </c>
      <c r="BB62" s="22">
        <f>INDEX('Activity data'!BB$24:BB$39,MATCH(Emissions!$D62,'Activity data'!$D$24:$D$39,0))*INDEX(EF!$H$84:$H$99,MATCH(Emissions!$D62,EF!$D$84:$D$99,0))*INDEX(EF!$H$100:$H$115,MATCH(Emissions!$D62,EF!$D$100:$D$115,0))*INDEX(EF!$H$116:$H$131,MATCH(Emissions!$D62,EF!$D$116:$D$131,0))*kgtoGg</f>
        <v>2.1047920712740202</v>
      </c>
      <c r="BC62" s="22">
        <f>INDEX('Activity data'!BC$24:BC$39,MATCH(Emissions!$D62,'Activity data'!$D$24:$D$39,0))*INDEX(EF!$H$84:$H$99,MATCH(Emissions!$D62,EF!$D$84:$D$99,0))*INDEX(EF!$H$100:$H$115,MATCH(Emissions!$D62,EF!$D$100:$D$115,0))*INDEX(EF!$H$116:$H$131,MATCH(Emissions!$D62,EF!$D$116:$D$131,0))*kgtoGg</f>
        <v>2.1046008958707647</v>
      </c>
      <c r="BD62" s="22">
        <f>INDEX('Activity data'!BD$24:BD$39,MATCH(Emissions!$D62,'Activity data'!$D$24:$D$39,0))*INDEX(EF!$H$84:$H$99,MATCH(Emissions!$D62,EF!$D$84:$D$99,0))*INDEX(EF!$H$100:$H$115,MATCH(Emissions!$D62,EF!$D$100:$D$115,0))*INDEX(EF!$H$116:$H$131,MATCH(Emissions!$D62,EF!$D$116:$D$131,0))*kgtoGg</f>
        <v>2.1044097204675101</v>
      </c>
      <c r="BE62" s="22">
        <f>INDEX('Activity data'!BE$24:BE$39,MATCH(Emissions!$D62,'Activity data'!$D$24:$D$39,0))*INDEX(EF!$H$84:$H$99,MATCH(Emissions!$D62,EF!$D$84:$D$99,0))*INDEX(EF!$H$100:$H$115,MATCH(Emissions!$D62,EF!$D$100:$D$115,0))*INDEX(EF!$H$116:$H$131,MATCH(Emissions!$D62,EF!$D$116:$D$131,0))*kgtoGg</f>
        <v>2.1042185450642545</v>
      </c>
      <c r="BF62" s="22">
        <f>INDEX('Activity data'!BF$24:BF$39,MATCH(Emissions!$D62,'Activity data'!$D$24:$D$39,0))*INDEX(EF!$H$84:$H$99,MATCH(Emissions!$D62,EF!$D$84:$D$99,0))*INDEX(EF!$H$100:$H$115,MATCH(Emissions!$D62,EF!$D$100:$D$115,0))*INDEX(EF!$H$116:$H$131,MATCH(Emissions!$D62,EF!$D$116:$D$131,0))*kgtoGg</f>
        <v>2.1040273696609995</v>
      </c>
      <c r="BG62" s="22">
        <f>INDEX('Activity data'!BG$24:BG$39,MATCH(Emissions!$D62,'Activity data'!$D$24:$D$39,0))*INDEX(EF!$H$84:$H$99,MATCH(Emissions!$D62,EF!$D$84:$D$99,0))*INDEX(EF!$H$100:$H$115,MATCH(Emissions!$D62,EF!$D$100:$D$115,0))*INDEX(EF!$H$116:$H$131,MATCH(Emissions!$D62,EF!$D$116:$D$131,0))*kgtoGg</f>
        <v>2.1038361942577439</v>
      </c>
      <c r="BH62" s="22">
        <f>INDEX('Activity data'!BH$24:BH$39,MATCH(Emissions!$D62,'Activity data'!$D$24:$D$39,0))*INDEX(EF!$H$84:$H$99,MATCH(Emissions!$D62,EF!$D$84:$D$99,0))*INDEX(EF!$H$100:$H$115,MATCH(Emissions!$D62,EF!$D$100:$D$115,0))*INDEX(EF!$H$116:$H$131,MATCH(Emissions!$D62,EF!$D$116:$D$131,0))*kgtoGg</f>
        <v>2.1036450188544884</v>
      </c>
      <c r="BI62" s="22">
        <f>INDEX('Activity data'!BI$24:BI$39,MATCH(Emissions!$D62,'Activity data'!$D$24:$D$39,0))*INDEX(EF!$H$84:$H$99,MATCH(Emissions!$D62,EF!$D$84:$D$99,0))*INDEX(EF!$H$100:$H$115,MATCH(Emissions!$D62,EF!$D$100:$D$115,0))*INDEX(EF!$H$116:$H$131,MATCH(Emissions!$D62,EF!$D$116:$D$131,0))*kgtoGg</f>
        <v>2.1034538434512338</v>
      </c>
      <c r="BJ62" s="22">
        <f>INDEX('Activity data'!BJ$24:BJ$39,MATCH(Emissions!$D62,'Activity data'!$D$24:$D$39,0))*INDEX(EF!$H$84:$H$99,MATCH(Emissions!$D62,EF!$D$84:$D$99,0))*INDEX(EF!$H$100:$H$115,MATCH(Emissions!$D62,EF!$D$100:$D$115,0))*INDEX(EF!$H$116:$H$131,MATCH(Emissions!$D62,EF!$D$116:$D$131,0))*kgtoGg</f>
        <v>2.1032626680479791</v>
      </c>
      <c r="BK62" s="22">
        <f>INDEX('Activity data'!BK$24:BK$39,MATCH(Emissions!$D62,'Activity data'!$D$24:$D$39,0))*INDEX(EF!$H$84:$H$99,MATCH(Emissions!$D62,EF!$D$84:$D$99,0))*INDEX(EF!$H$100:$H$115,MATCH(Emissions!$D62,EF!$D$100:$D$115,0))*INDEX(EF!$H$116:$H$131,MATCH(Emissions!$D62,EF!$D$116:$D$131,0))*kgtoGg</f>
        <v>2.1030714926447236</v>
      </c>
      <c r="BL62" s="22">
        <f>INDEX('Activity data'!BL$24:BL$39,MATCH(Emissions!$D62,'Activity data'!$D$24:$D$39,0))*INDEX(EF!$H$84:$H$99,MATCH(Emissions!$D62,EF!$D$84:$D$99,0))*INDEX(EF!$H$100:$H$115,MATCH(Emissions!$D62,EF!$D$100:$D$115,0))*INDEX(EF!$H$116:$H$131,MATCH(Emissions!$D62,EF!$D$116:$D$131,0))*kgtoGg</f>
        <v>2.1028803172414681</v>
      </c>
      <c r="BM62" s="22">
        <f>INDEX('Activity data'!BM$24:BM$39,MATCH(Emissions!$D62,'Activity data'!$D$24:$D$39,0))*INDEX(EF!$H$84:$H$99,MATCH(Emissions!$D62,EF!$D$84:$D$99,0))*INDEX(EF!$H$100:$H$115,MATCH(Emissions!$D62,EF!$D$100:$D$115,0))*INDEX(EF!$H$116:$H$131,MATCH(Emissions!$D62,EF!$D$116:$D$131,0))*kgtoGg</f>
        <v>2.102689141838213</v>
      </c>
      <c r="BN62" s="22">
        <f>INDEX('Activity data'!BN$24:BN$39,MATCH(Emissions!$D62,'Activity data'!$D$24:$D$39,0))*INDEX(EF!$H$84:$H$99,MATCH(Emissions!$D62,EF!$D$84:$D$99,0))*INDEX(EF!$H$100:$H$115,MATCH(Emissions!$D62,EF!$D$100:$D$115,0))*INDEX(EF!$H$116:$H$131,MATCH(Emissions!$D62,EF!$D$116:$D$131,0))*kgtoGg</f>
        <v>2.1024979664349575</v>
      </c>
      <c r="BO62" s="22">
        <f>INDEX('Activity data'!BO$24:BO$39,MATCH(Emissions!$D62,'Activity data'!$D$24:$D$39,0))*INDEX(EF!$H$84:$H$99,MATCH(Emissions!$D62,EF!$D$84:$D$99,0))*INDEX(EF!$H$100:$H$115,MATCH(Emissions!$D62,EF!$D$100:$D$115,0))*INDEX(EF!$H$116:$H$131,MATCH(Emissions!$D62,EF!$D$116:$D$131,0))*kgtoGg</f>
        <v>2.1023067910317024</v>
      </c>
      <c r="BP62" s="22">
        <f>INDEX('Activity data'!BP$24:BP$39,MATCH(Emissions!$D62,'Activity data'!$D$24:$D$39,0))*INDEX(EF!$H$84:$H$99,MATCH(Emissions!$D62,EF!$D$84:$D$99,0))*INDEX(EF!$H$100:$H$115,MATCH(Emissions!$D62,EF!$D$100:$D$115,0))*INDEX(EF!$H$116:$H$131,MATCH(Emissions!$D62,EF!$D$116:$D$131,0))*kgtoGg</f>
        <v>2.1021156156284468</v>
      </c>
    </row>
    <row r="63" spans="1:68" x14ac:dyDescent="0.25">
      <c r="A63" t="str">
        <f t="shared" si="19"/>
        <v>3C Aggregated and non-CO2 emissions on land</v>
      </c>
      <c r="B63" t="str">
        <f t="shared" si="20"/>
        <v>3C1 Biomass burning (CH4)</v>
      </c>
      <c r="C63" t="str">
        <f>'IPCC Categories'!C61</f>
        <v>3C1c Biomass burning in Grasslands</v>
      </c>
      <c r="D63" t="str">
        <f>EF!D93</f>
        <v>Grasslands</v>
      </c>
      <c r="E63" t="s">
        <v>656</v>
      </c>
      <c r="F63" t="str">
        <f t="shared" si="21"/>
        <v>CH4</v>
      </c>
      <c r="G63" t="str">
        <f t="shared" si="22"/>
        <v>Gg CH4</v>
      </c>
      <c r="H63" s="22">
        <f>INDEX('Activity data'!H$24:H$39,MATCH(Emissions!$D63,'Activity data'!$D$24:$D$39,0))*INDEX(EF!$H$84:$H$99,MATCH(Emissions!$D63,EF!$D$84:$D$99,0))*INDEX(EF!$H$100:$H$115,MATCH(Emissions!$D63,EF!$D$100:$D$115,0))*INDEX(EF!$H$116:$H$131,MATCH(Emissions!$D63,EF!$D$116:$D$131,0))*kgtoGg</f>
        <v>22.517316723914707</v>
      </c>
      <c r="I63" s="22">
        <f>INDEX('Activity data'!I$24:I$39,MATCH(Emissions!$D63,'Activity data'!$D$24:$D$39,0))*INDEX(EF!$H$84:$H$99,MATCH(Emissions!$D63,EF!$D$84:$D$99,0))*INDEX(EF!$H$100:$H$115,MATCH(Emissions!$D63,EF!$D$100:$D$115,0))*INDEX(EF!$H$116:$H$131,MATCH(Emissions!$D63,EF!$D$116:$D$131,0))*kgtoGg</f>
        <v>22.517316723914707</v>
      </c>
      <c r="J63" s="22">
        <f>INDEX('Activity data'!J$24:J$39,MATCH(Emissions!$D63,'Activity data'!$D$24:$D$39,0))*INDEX(EF!$H$84:$H$99,MATCH(Emissions!$D63,EF!$D$84:$D$99,0))*INDEX(EF!$H$100:$H$115,MATCH(Emissions!$D63,EF!$D$100:$D$115,0))*INDEX(EF!$H$116:$H$131,MATCH(Emissions!$D63,EF!$D$116:$D$131,0))*kgtoGg</f>
        <v>22.517316723914707</v>
      </c>
      <c r="K63" s="22">
        <f>INDEX('Activity data'!K$24:K$39,MATCH(Emissions!$D63,'Activity data'!$D$24:$D$39,0))*INDEX(EF!$H$84:$H$99,MATCH(Emissions!$D63,EF!$D$84:$D$99,0))*INDEX(EF!$H$100:$H$115,MATCH(Emissions!$D63,EF!$D$100:$D$115,0))*INDEX(EF!$H$116:$H$131,MATCH(Emissions!$D63,EF!$D$116:$D$131,0))*kgtoGg</f>
        <v>22.517316723914707</v>
      </c>
      <c r="L63" s="22">
        <f>INDEX('Activity data'!L$24:L$39,MATCH(Emissions!$D63,'Activity data'!$D$24:$D$39,0))*INDEX(EF!$H$84:$H$99,MATCH(Emissions!$D63,EF!$D$84:$D$99,0))*INDEX(EF!$H$100:$H$115,MATCH(Emissions!$D63,EF!$D$100:$D$115,0))*INDEX(EF!$H$116:$H$131,MATCH(Emissions!$D63,EF!$D$116:$D$131,0))*kgtoGg</f>
        <v>22.517316723914707</v>
      </c>
      <c r="M63" s="22">
        <f>INDEX('Activity data'!M$24:M$39,MATCH(Emissions!$D63,'Activity data'!$D$24:$D$39,0))*INDEX(EF!$H$84:$H$99,MATCH(Emissions!$D63,EF!$D$84:$D$99,0))*INDEX(EF!$H$100:$H$115,MATCH(Emissions!$D63,EF!$D$100:$D$115,0))*INDEX(EF!$H$116:$H$131,MATCH(Emissions!$D63,EF!$D$116:$D$131,0))*kgtoGg</f>
        <v>22.517316723914707</v>
      </c>
      <c r="N63" s="22">
        <f>INDEX('Activity data'!N$24:N$39,MATCH(Emissions!$D63,'Activity data'!$D$24:$D$39,0))*INDEX(EF!$H$84:$H$99,MATCH(Emissions!$D63,EF!$D$84:$D$99,0))*INDEX(EF!$H$100:$H$115,MATCH(Emissions!$D63,EF!$D$100:$D$115,0))*INDEX(EF!$H$116:$H$131,MATCH(Emissions!$D63,EF!$D$116:$D$131,0))*kgtoGg</f>
        <v>22.517316723914707</v>
      </c>
      <c r="O63" s="22">
        <f>INDEX('Activity data'!O$24:O$39,MATCH(Emissions!$D63,'Activity data'!$D$24:$D$39,0))*INDEX(EF!$H$84:$H$99,MATCH(Emissions!$D63,EF!$D$84:$D$99,0))*INDEX(EF!$H$100:$H$115,MATCH(Emissions!$D63,EF!$D$100:$D$115,0))*INDEX(EF!$H$116:$H$131,MATCH(Emissions!$D63,EF!$D$116:$D$131,0))*kgtoGg</f>
        <v>22.517316723914707</v>
      </c>
      <c r="P63" s="22">
        <f>INDEX('Activity data'!P$24:P$39,MATCH(Emissions!$D63,'Activity data'!$D$24:$D$39,0))*INDEX(EF!$H$84:$H$99,MATCH(Emissions!$D63,EF!$D$84:$D$99,0))*INDEX(EF!$H$100:$H$115,MATCH(Emissions!$D63,EF!$D$100:$D$115,0))*INDEX(EF!$H$116:$H$131,MATCH(Emissions!$D63,EF!$D$116:$D$131,0))*kgtoGg</f>
        <v>22.517316723914707</v>
      </c>
      <c r="Q63" s="22">
        <f>INDEX('Activity data'!Q$24:Q$39,MATCH(Emissions!$D63,'Activity data'!$D$24:$D$39,0))*INDEX(EF!$H$84:$H$99,MATCH(Emissions!$D63,EF!$D$84:$D$99,0))*INDEX(EF!$H$100:$H$115,MATCH(Emissions!$D63,EF!$D$100:$D$115,0))*INDEX(EF!$H$116:$H$131,MATCH(Emissions!$D63,EF!$D$116:$D$131,0))*kgtoGg</f>
        <v>22.517316723914707</v>
      </c>
      <c r="R63" s="22">
        <f>INDEX('Activity data'!R$24:R$39,MATCH(Emissions!$D63,'Activity data'!$D$24:$D$39,0))*INDEX(EF!$H$84:$H$99,MATCH(Emissions!$D63,EF!$D$84:$D$99,0))*INDEX(EF!$H$100:$H$115,MATCH(Emissions!$D63,EF!$D$100:$D$115,0))*INDEX(EF!$H$116:$H$131,MATCH(Emissions!$D63,EF!$D$116:$D$131,0))*kgtoGg</f>
        <v>22.367920192777621</v>
      </c>
      <c r="S63" s="22">
        <f>INDEX('Activity data'!S$24:S$39,MATCH(Emissions!$D63,'Activity data'!$D$24:$D$39,0))*INDEX(EF!$H$84:$H$99,MATCH(Emissions!$D63,EF!$D$84:$D$99,0))*INDEX(EF!$H$100:$H$115,MATCH(Emissions!$D63,EF!$D$100:$D$115,0))*INDEX(EF!$H$116:$H$131,MATCH(Emissions!$D63,EF!$D$116:$D$131,0))*kgtoGg</f>
        <v>25.580620137780603</v>
      </c>
      <c r="T63" s="22">
        <f>INDEX('Activity data'!T$24:T$39,MATCH(Emissions!$D63,'Activity data'!$D$24:$D$39,0))*INDEX(EF!$H$84:$H$99,MATCH(Emissions!$D63,EF!$D$84:$D$99,0))*INDEX(EF!$H$100:$H$115,MATCH(Emissions!$D63,EF!$D$100:$D$115,0))*INDEX(EF!$H$116:$H$131,MATCH(Emissions!$D63,EF!$D$116:$D$131,0))*kgtoGg</f>
        <v>26.023631115635403</v>
      </c>
      <c r="U63" s="22">
        <f>INDEX('Activity data'!U$24:U$39,MATCH(Emissions!$D63,'Activity data'!$D$24:$D$39,0))*INDEX(EF!$H$84:$H$99,MATCH(Emissions!$D63,EF!$D$84:$D$99,0))*INDEX(EF!$H$100:$H$115,MATCH(Emissions!$D63,EF!$D$100:$D$115,0))*INDEX(EF!$H$116:$H$131,MATCH(Emissions!$D63,EF!$D$116:$D$131,0))*kgtoGg</f>
        <v>20.888315748075943</v>
      </c>
      <c r="V63" s="22">
        <f>INDEX('Activity data'!V$24:V$39,MATCH(Emissions!$D63,'Activity data'!$D$24:$D$39,0))*INDEX(EF!$H$84:$H$99,MATCH(Emissions!$D63,EF!$D$84:$D$99,0))*INDEX(EF!$H$100:$H$115,MATCH(Emissions!$D63,EF!$D$100:$D$115,0))*INDEX(EF!$H$116:$H$131,MATCH(Emissions!$D63,EF!$D$116:$D$131,0))*kgtoGg</f>
        <v>17.726096425303961</v>
      </c>
      <c r="W63" s="22">
        <f>INDEX('Activity data'!W$24:W$39,MATCH(Emissions!$D63,'Activity data'!$D$24:$D$39,0))*INDEX(EF!$H$84:$H$99,MATCH(Emissions!$D63,EF!$D$84:$D$99,0))*INDEX(EF!$H$100:$H$115,MATCH(Emissions!$D63,EF!$D$100:$D$115,0))*INDEX(EF!$H$116:$H$131,MATCH(Emissions!$D63,EF!$D$116:$D$131,0))*kgtoGg</f>
        <v>27.538484960343208</v>
      </c>
      <c r="X63" s="22">
        <f>INDEX('Activity data'!X$24:X$39,MATCH(Emissions!$D63,'Activity data'!$D$24:$D$39,0))*INDEX(EF!$H$84:$H$99,MATCH(Emissions!$D63,EF!$D$84:$D$99,0))*INDEX(EF!$H$100:$H$115,MATCH(Emissions!$D63,EF!$D$100:$D$115,0))*INDEX(EF!$H$116:$H$131,MATCH(Emissions!$D63,EF!$D$116:$D$131,0))*kgtoGg</f>
        <v>24.258332459772951</v>
      </c>
      <c r="Y63" s="22">
        <f>INDEX('Activity data'!Y$24:Y$39,MATCH(Emissions!$D63,'Activity data'!$D$24:$D$39,0))*INDEX(EF!$H$84:$H$99,MATCH(Emissions!$D63,EF!$D$84:$D$99,0))*INDEX(EF!$H$100:$H$115,MATCH(Emissions!$D63,EF!$D$100:$D$115,0))*INDEX(EF!$H$116:$H$131,MATCH(Emissions!$D63,EF!$D$116:$D$131,0))*kgtoGg</f>
        <v>22.854448948417762</v>
      </c>
      <c r="Z63" s="22">
        <f>INDEX('Activity data'!Z$24:Z$39,MATCH(Emissions!$D63,'Activity data'!$D$24:$D$39,0))*INDEX(EF!$H$84:$H$99,MATCH(Emissions!$D63,EF!$D$84:$D$99,0))*INDEX(EF!$H$100:$H$115,MATCH(Emissions!$D63,EF!$D$100:$D$115,0))*INDEX(EF!$H$116:$H$131,MATCH(Emissions!$D63,EF!$D$116:$D$131,0))*kgtoGg</f>
        <v>21.238198681470106</v>
      </c>
      <c r="AA63" s="22">
        <f>INDEX('Activity data'!AA$24:AA$39,MATCH(Emissions!$D63,'Activity data'!$D$24:$D$39,0))*INDEX(EF!$H$84:$H$99,MATCH(Emissions!$D63,EF!$D$84:$D$99,0))*INDEX(EF!$H$100:$H$115,MATCH(Emissions!$D63,EF!$D$100:$D$115,0))*INDEX(EF!$H$116:$H$131,MATCH(Emissions!$D63,EF!$D$116:$D$131,0))*kgtoGg</f>
        <v>21.969079759374946</v>
      </c>
      <c r="AB63" s="22">
        <f>INDEX('Activity data'!AB$24:AB$39,MATCH(Emissions!$D63,'Activity data'!$D$24:$D$39,0))*INDEX(EF!$H$84:$H$99,MATCH(Emissions!$D63,EF!$D$84:$D$99,0))*INDEX(EF!$H$100:$H$115,MATCH(Emissions!$D63,EF!$D$100:$D$115,0))*INDEX(EF!$H$116:$H$131,MATCH(Emissions!$D63,EF!$D$116:$D$131,0))*kgtoGg</f>
        <v>18.942062311799994</v>
      </c>
      <c r="AC63" s="22">
        <f>INDEX('Activity data'!AC$24:AC$39,MATCH(Emissions!$D63,'Activity data'!$D$24:$D$39,0))*INDEX(EF!$H$84:$H$99,MATCH(Emissions!$D63,EF!$D$84:$D$99,0))*INDEX(EF!$H$100:$H$115,MATCH(Emissions!$D63,EF!$D$100:$D$115,0))*INDEX(EF!$H$116:$H$131,MATCH(Emissions!$D63,EF!$D$116:$D$131,0))*kgtoGg</f>
        <v>19.242646390799994</v>
      </c>
      <c r="AD63" s="22">
        <f>INDEX('Activity data'!AD$24:AD$39,MATCH(Emissions!$D63,'Activity data'!$D$24:$D$39,0))*INDEX(EF!$H$84:$H$99,MATCH(Emissions!$D63,EF!$D$84:$D$99,0))*INDEX(EF!$H$100:$H$115,MATCH(Emissions!$D63,EF!$D$100:$D$115,0))*INDEX(EF!$H$116:$H$131,MATCH(Emissions!$D63,EF!$D$116:$D$131,0))*kgtoGg</f>
        <v>19.528270137573227</v>
      </c>
      <c r="AE63" s="22">
        <f>INDEX('Activity data'!AE$24:AE$39,MATCH(Emissions!$D63,'Activity data'!$D$24:$D$39,0))*INDEX(EF!$H$84:$H$99,MATCH(Emissions!$D63,EF!$D$84:$D$99,0))*INDEX(EF!$H$100:$H$115,MATCH(Emissions!$D63,EF!$D$100:$D$115,0))*INDEX(EF!$H$116:$H$131,MATCH(Emissions!$D63,EF!$D$116:$D$131,0))*kgtoGg</f>
        <v>19.457340912029213</v>
      </c>
      <c r="AF63" s="22">
        <f>INDEX('Activity data'!AF$24:AF$39,MATCH(Emissions!$D63,'Activity data'!$D$24:$D$39,0))*INDEX(EF!$H$84:$H$99,MATCH(Emissions!$D63,EF!$D$84:$D$99,0))*INDEX(EF!$H$100:$H$115,MATCH(Emissions!$D63,EF!$D$100:$D$115,0))*INDEX(EF!$H$116:$H$131,MATCH(Emissions!$D63,EF!$D$116:$D$131,0))*kgtoGg</f>
        <v>19.3864116864852</v>
      </c>
      <c r="AG63" s="22">
        <f>INDEX('Activity data'!AG$24:AG$39,MATCH(Emissions!$D63,'Activity data'!$D$24:$D$39,0))*INDEX(EF!$H$84:$H$99,MATCH(Emissions!$D63,EF!$D$84:$D$99,0))*INDEX(EF!$H$100:$H$115,MATCH(Emissions!$D63,EF!$D$100:$D$115,0))*INDEX(EF!$H$116:$H$131,MATCH(Emissions!$D63,EF!$D$116:$D$131,0))*kgtoGg</f>
        <v>19.374284062759223</v>
      </c>
      <c r="AH63" s="22">
        <f>INDEX('Activity data'!AH$24:AH$39,MATCH(Emissions!$D63,'Activity data'!$D$24:$D$39,0))*INDEX(EF!$H$84:$H$99,MATCH(Emissions!$D63,EF!$D$84:$D$99,0))*INDEX(EF!$H$100:$H$115,MATCH(Emissions!$D63,EF!$D$100:$D$115,0))*INDEX(EF!$H$116:$H$131,MATCH(Emissions!$D63,EF!$D$116:$D$131,0))*kgtoGg</f>
        <v>19.362156439033242</v>
      </c>
      <c r="AI63" s="22">
        <f>INDEX('Activity data'!AI$24:AI$39,MATCH(Emissions!$D63,'Activity data'!$D$24:$D$39,0))*INDEX(EF!$H$84:$H$99,MATCH(Emissions!$D63,EF!$D$84:$D$99,0))*INDEX(EF!$H$100:$H$115,MATCH(Emissions!$D63,EF!$D$100:$D$115,0))*INDEX(EF!$H$116:$H$131,MATCH(Emissions!$D63,EF!$D$116:$D$131,0))*kgtoGg</f>
        <v>19.350028815307265</v>
      </c>
      <c r="AJ63" s="22">
        <f>INDEX('Activity data'!AJ$24:AJ$39,MATCH(Emissions!$D63,'Activity data'!$D$24:$D$39,0))*INDEX(EF!$H$84:$H$99,MATCH(Emissions!$D63,EF!$D$84:$D$99,0))*INDEX(EF!$H$100:$H$115,MATCH(Emissions!$D63,EF!$D$100:$D$115,0))*INDEX(EF!$H$116:$H$131,MATCH(Emissions!$D63,EF!$D$116:$D$131,0))*kgtoGg</f>
        <v>19.337901191581285</v>
      </c>
      <c r="AK63" s="22">
        <f>INDEX('Activity data'!AK$24:AK$39,MATCH(Emissions!$D63,'Activity data'!$D$24:$D$39,0))*INDEX(EF!$H$84:$H$99,MATCH(Emissions!$D63,EF!$D$84:$D$99,0))*INDEX(EF!$H$100:$H$115,MATCH(Emissions!$D63,EF!$D$100:$D$115,0))*INDEX(EF!$H$116:$H$131,MATCH(Emissions!$D63,EF!$D$116:$D$131,0))*kgtoGg</f>
        <v>19.318649719385085</v>
      </c>
      <c r="AL63" s="22">
        <f>INDEX('Activity data'!AL$24:AL$39,MATCH(Emissions!$D63,'Activity data'!$D$24:$D$39,0))*INDEX(EF!$H$84:$H$99,MATCH(Emissions!$D63,EF!$D$84:$D$99,0))*INDEX(EF!$H$100:$H$115,MATCH(Emissions!$D63,EF!$D$100:$D$115,0))*INDEX(EF!$H$116:$H$131,MATCH(Emissions!$D63,EF!$D$116:$D$131,0))*kgtoGg</f>
        <v>19.29939824718889</v>
      </c>
      <c r="AM63" s="22">
        <f>INDEX('Activity data'!AM$24:AM$39,MATCH(Emissions!$D63,'Activity data'!$D$24:$D$39,0))*INDEX(EF!$H$84:$H$99,MATCH(Emissions!$D63,EF!$D$84:$D$99,0))*INDEX(EF!$H$100:$H$115,MATCH(Emissions!$D63,EF!$D$100:$D$115,0))*INDEX(EF!$H$116:$H$131,MATCH(Emissions!$D63,EF!$D$116:$D$131,0))*kgtoGg</f>
        <v>19.280146774992687</v>
      </c>
      <c r="AN63" s="22">
        <f>INDEX('Activity data'!AN$24:AN$39,MATCH(Emissions!$D63,'Activity data'!$D$24:$D$39,0))*INDEX(EF!$H$84:$H$99,MATCH(Emissions!$D63,EF!$D$84:$D$99,0))*INDEX(EF!$H$100:$H$115,MATCH(Emissions!$D63,EF!$D$100:$D$115,0))*INDEX(EF!$H$116:$H$131,MATCH(Emissions!$D63,EF!$D$116:$D$131,0))*kgtoGg</f>
        <v>19.260895302796488</v>
      </c>
      <c r="AO63" s="22">
        <f>INDEX('Activity data'!AO$24:AO$39,MATCH(Emissions!$D63,'Activity data'!$D$24:$D$39,0))*INDEX(EF!$H$84:$H$99,MATCH(Emissions!$D63,EF!$D$84:$D$99,0))*INDEX(EF!$H$100:$H$115,MATCH(Emissions!$D63,EF!$D$100:$D$115,0))*INDEX(EF!$H$116:$H$131,MATCH(Emissions!$D63,EF!$D$116:$D$131,0))*kgtoGg</f>
        <v>19.241643830600296</v>
      </c>
      <c r="AP63" s="22">
        <f>INDEX('Activity data'!AP$24:AP$39,MATCH(Emissions!$D63,'Activity data'!$D$24:$D$39,0))*INDEX(EF!$H$84:$H$99,MATCH(Emissions!$D63,EF!$D$84:$D$99,0))*INDEX(EF!$H$100:$H$115,MATCH(Emissions!$D63,EF!$D$100:$D$115,0))*INDEX(EF!$H$116:$H$131,MATCH(Emissions!$D63,EF!$D$116:$D$131,0))*kgtoGg</f>
        <v>19.222392358404097</v>
      </c>
      <c r="AQ63" s="22">
        <f>INDEX('Activity data'!AQ$24:AQ$39,MATCH(Emissions!$D63,'Activity data'!$D$24:$D$39,0))*INDEX(EF!$H$84:$H$99,MATCH(Emissions!$D63,EF!$D$84:$D$99,0))*INDEX(EF!$H$100:$H$115,MATCH(Emissions!$D63,EF!$D$100:$D$115,0))*INDEX(EF!$H$116:$H$131,MATCH(Emissions!$D63,EF!$D$116:$D$131,0))*kgtoGg</f>
        <v>19.203140886207898</v>
      </c>
      <c r="AR63" s="22">
        <f>INDEX('Activity data'!AR$24:AR$39,MATCH(Emissions!$D63,'Activity data'!$D$24:$D$39,0))*INDEX(EF!$H$84:$H$99,MATCH(Emissions!$D63,EF!$D$84:$D$99,0))*INDEX(EF!$H$100:$H$115,MATCH(Emissions!$D63,EF!$D$100:$D$115,0))*INDEX(EF!$H$116:$H$131,MATCH(Emissions!$D63,EF!$D$116:$D$131,0))*kgtoGg</f>
        <v>19.183889414011698</v>
      </c>
      <c r="AS63" s="22">
        <f>INDEX('Activity data'!AS$24:AS$39,MATCH(Emissions!$D63,'Activity data'!$D$24:$D$39,0))*INDEX(EF!$H$84:$H$99,MATCH(Emissions!$D63,EF!$D$84:$D$99,0))*INDEX(EF!$H$100:$H$115,MATCH(Emissions!$D63,EF!$D$100:$D$115,0))*INDEX(EF!$H$116:$H$131,MATCH(Emissions!$D63,EF!$D$116:$D$131,0))*kgtoGg</f>
        <v>19.164637941815499</v>
      </c>
      <c r="AT63" s="22">
        <f>INDEX('Activity data'!AT$24:AT$39,MATCH(Emissions!$D63,'Activity data'!$D$24:$D$39,0))*INDEX(EF!$H$84:$H$99,MATCH(Emissions!$D63,EF!$D$84:$D$99,0))*INDEX(EF!$H$100:$H$115,MATCH(Emissions!$D63,EF!$D$100:$D$115,0))*INDEX(EF!$H$116:$H$131,MATCH(Emissions!$D63,EF!$D$116:$D$131,0))*kgtoGg</f>
        <v>19.145386469619304</v>
      </c>
      <c r="AU63" s="22">
        <f>INDEX('Activity data'!AU$24:AU$39,MATCH(Emissions!$D63,'Activity data'!$D$24:$D$39,0))*INDEX(EF!$H$84:$H$99,MATCH(Emissions!$D63,EF!$D$84:$D$99,0))*INDEX(EF!$H$100:$H$115,MATCH(Emissions!$D63,EF!$D$100:$D$115,0))*INDEX(EF!$H$116:$H$131,MATCH(Emissions!$D63,EF!$D$116:$D$131,0))*kgtoGg</f>
        <v>19.126134997423105</v>
      </c>
      <c r="AV63" s="22">
        <f>INDEX('Activity data'!AV$24:AV$39,MATCH(Emissions!$D63,'Activity data'!$D$24:$D$39,0))*INDEX(EF!$H$84:$H$99,MATCH(Emissions!$D63,EF!$D$84:$D$99,0))*INDEX(EF!$H$100:$H$115,MATCH(Emissions!$D63,EF!$D$100:$D$115,0))*INDEX(EF!$H$116:$H$131,MATCH(Emissions!$D63,EF!$D$116:$D$131,0))*kgtoGg</f>
        <v>19.106883525226905</v>
      </c>
      <c r="AW63" s="22">
        <f>INDEX('Activity data'!AW$24:AW$39,MATCH(Emissions!$D63,'Activity data'!$D$24:$D$39,0))*INDEX(EF!$H$84:$H$99,MATCH(Emissions!$D63,EF!$D$84:$D$99,0))*INDEX(EF!$H$100:$H$115,MATCH(Emissions!$D63,EF!$D$100:$D$115,0))*INDEX(EF!$H$116:$H$131,MATCH(Emissions!$D63,EF!$D$116:$D$131,0))*kgtoGg</f>
        <v>19.092334558280303</v>
      </c>
      <c r="AX63" s="22">
        <f>INDEX('Activity data'!AX$24:AX$39,MATCH(Emissions!$D63,'Activity data'!$D$24:$D$39,0))*INDEX(EF!$H$84:$H$99,MATCH(Emissions!$D63,EF!$D$84:$D$99,0))*INDEX(EF!$H$100:$H$115,MATCH(Emissions!$D63,EF!$D$100:$D$115,0))*INDEX(EF!$H$116:$H$131,MATCH(Emissions!$D63,EF!$D$116:$D$131,0))*kgtoGg</f>
        <v>19.077785591333701</v>
      </c>
      <c r="AY63" s="22">
        <f>INDEX('Activity data'!AY$24:AY$39,MATCH(Emissions!$D63,'Activity data'!$D$24:$D$39,0))*INDEX(EF!$H$84:$H$99,MATCH(Emissions!$D63,EF!$D$84:$D$99,0))*INDEX(EF!$H$100:$H$115,MATCH(Emissions!$D63,EF!$D$100:$D$115,0))*INDEX(EF!$H$116:$H$131,MATCH(Emissions!$D63,EF!$D$116:$D$131,0))*kgtoGg</f>
        <v>19.063236624387102</v>
      </c>
      <c r="AZ63" s="22">
        <f>INDEX('Activity data'!AZ$24:AZ$39,MATCH(Emissions!$D63,'Activity data'!$D$24:$D$39,0))*INDEX(EF!$H$84:$H$99,MATCH(Emissions!$D63,EF!$D$84:$D$99,0))*INDEX(EF!$H$100:$H$115,MATCH(Emissions!$D63,EF!$D$100:$D$115,0))*INDEX(EF!$H$116:$H$131,MATCH(Emissions!$D63,EF!$D$116:$D$131,0))*kgtoGg</f>
        <v>19.048687657440503</v>
      </c>
      <c r="BA63" s="22">
        <f>INDEX('Activity data'!BA$24:BA$39,MATCH(Emissions!$D63,'Activity data'!$D$24:$D$39,0))*INDEX(EF!$H$84:$H$99,MATCH(Emissions!$D63,EF!$D$84:$D$99,0))*INDEX(EF!$H$100:$H$115,MATCH(Emissions!$D63,EF!$D$100:$D$115,0))*INDEX(EF!$H$116:$H$131,MATCH(Emissions!$D63,EF!$D$116:$D$131,0))*kgtoGg</f>
        <v>19.034138690493904</v>
      </c>
      <c r="BB63" s="22">
        <f>INDEX('Activity data'!BB$24:BB$39,MATCH(Emissions!$D63,'Activity data'!$D$24:$D$39,0))*INDEX(EF!$H$84:$H$99,MATCH(Emissions!$D63,EF!$D$84:$D$99,0))*INDEX(EF!$H$100:$H$115,MATCH(Emissions!$D63,EF!$D$100:$D$115,0))*INDEX(EF!$H$116:$H$131,MATCH(Emissions!$D63,EF!$D$116:$D$131,0))*kgtoGg</f>
        <v>19.019589723547305</v>
      </c>
      <c r="BC63" s="22">
        <f>INDEX('Activity data'!BC$24:BC$39,MATCH(Emissions!$D63,'Activity data'!$D$24:$D$39,0))*INDEX(EF!$H$84:$H$99,MATCH(Emissions!$D63,EF!$D$84:$D$99,0))*INDEX(EF!$H$100:$H$115,MATCH(Emissions!$D63,EF!$D$100:$D$115,0))*INDEX(EF!$H$116:$H$131,MATCH(Emissions!$D63,EF!$D$116:$D$131,0))*kgtoGg</f>
        <v>19.005040756600703</v>
      </c>
      <c r="BD63" s="22">
        <f>INDEX('Activity data'!BD$24:BD$39,MATCH(Emissions!$D63,'Activity data'!$D$24:$D$39,0))*INDEX(EF!$H$84:$H$99,MATCH(Emissions!$D63,EF!$D$84:$D$99,0))*INDEX(EF!$H$100:$H$115,MATCH(Emissions!$D63,EF!$D$100:$D$115,0))*INDEX(EF!$H$116:$H$131,MATCH(Emissions!$D63,EF!$D$116:$D$131,0))*kgtoGg</f>
        <v>18.990491789654104</v>
      </c>
      <c r="BE63" s="22">
        <f>INDEX('Activity data'!BE$24:BE$39,MATCH(Emissions!$D63,'Activity data'!$D$24:$D$39,0))*INDEX(EF!$H$84:$H$99,MATCH(Emissions!$D63,EF!$D$84:$D$99,0))*INDEX(EF!$H$100:$H$115,MATCH(Emissions!$D63,EF!$D$100:$D$115,0))*INDEX(EF!$H$116:$H$131,MATCH(Emissions!$D63,EF!$D$116:$D$131,0))*kgtoGg</f>
        <v>18.975942822707506</v>
      </c>
      <c r="BF63" s="22">
        <f>INDEX('Activity data'!BF$24:BF$39,MATCH(Emissions!$D63,'Activity data'!$D$24:$D$39,0))*INDEX(EF!$H$84:$H$99,MATCH(Emissions!$D63,EF!$D$84:$D$99,0))*INDEX(EF!$H$100:$H$115,MATCH(Emissions!$D63,EF!$D$100:$D$115,0))*INDEX(EF!$H$116:$H$131,MATCH(Emissions!$D63,EF!$D$116:$D$131,0))*kgtoGg</f>
        <v>18.96139385576091</v>
      </c>
      <c r="BG63" s="22">
        <f>INDEX('Activity data'!BG$24:BG$39,MATCH(Emissions!$D63,'Activity data'!$D$24:$D$39,0))*INDEX(EF!$H$84:$H$99,MATCH(Emissions!$D63,EF!$D$84:$D$99,0))*INDEX(EF!$H$100:$H$115,MATCH(Emissions!$D63,EF!$D$100:$D$115,0))*INDEX(EF!$H$116:$H$131,MATCH(Emissions!$D63,EF!$D$116:$D$131,0))*kgtoGg</f>
        <v>18.946844888814312</v>
      </c>
      <c r="BH63" s="22">
        <f>INDEX('Activity data'!BH$24:BH$39,MATCH(Emissions!$D63,'Activity data'!$D$24:$D$39,0))*INDEX(EF!$H$84:$H$99,MATCH(Emissions!$D63,EF!$D$84:$D$99,0))*INDEX(EF!$H$100:$H$115,MATCH(Emissions!$D63,EF!$D$100:$D$115,0))*INDEX(EF!$H$116:$H$131,MATCH(Emissions!$D63,EF!$D$116:$D$131,0))*kgtoGg</f>
        <v>18.932295921867713</v>
      </c>
      <c r="BI63" s="22">
        <f>INDEX('Activity data'!BI$24:BI$39,MATCH(Emissions!$D63,'Activity data'!$D$24:$D$39,0))*INDEX(EF!$H$84:$H$99,MATCH(Emissions!$D63,EF!$D$84:$D$99,0))*INDEX(EF!$H$100:$H$115,MATCH(Emissions!$D63,EF!$D$100:$D$115,0))*INDEX(EF!$H$116:$H$131,MATCH(Emissions!$D63,EF!$D$116:$D$131,0))*kgtoGg</f>
        <v>18.917746954921114</v>
      </c>
      <c r="BJ63" s="22">
        <f>INDEX('Activity data'!BJ$24:BJ$39,MATCH(Emissions!$D63,'Activity data'!$D$24:$D$39,0))*INDEX(EF!$H$84:$H$99,MATCH(Emissions!$D63,EF!$D$84:$D$99,0))*INDEX(EF!$H$100:$H$115,MATCH(Emissions!$D63,EF!$D$100:$D$115,0))*INDEX(EF!$H$116:$H$131,MATCH(Emissions!$D63,EF!$D$116:$D$131,0))*kgtoGg</f>
        <v>18.903197987974512</v>
      </c>
      <c r="BK63" s="22">
        <f>INDEX('Activity data'!BK$24:BK$39,MATCH(Emissions!$D63,'Activity data'!$D$24:$D$39,0))*INDEX(EF!$H$84:$H$99,MATCH(Emissions!$D63,EF!$D$84:$D$99,0))*INDEX(EF!$H$100:$H$115,MATCH(Emissions!$D63,EF!$D$100:$D$115,0))*INDEX(EF!$H$116:$H$131,MATCH(Emissions!$D63,EF!$D$116:$D$131,0))*kgtoGg</f>
        <v>18.888649021027913</v>
      </c>
      <c r="BL63" s="22">
        <f>INDEX('Activity data'!BL$24:BL$39,MATCH(Emissions!$D63,'Activity data'!$D$24:$D$39,0))*INDEX(EF!$H$84:$H$99,MATCH(Emissions!$D63,EF!$D$84:$D$99,0))*INDEX(EF!$H$100:$H$115,MATCH(Emissions!$D63,EF!$D$100:$D$115,0))*INDEX(EF!$H$116:$H$131,MATCH(Emissions!$D63,EF!$D$116:$D$131,0))*kgtoGg</f>
        <v>18.874100054081318</v>
      </c>
      <c r="BM63" s="22">
        <f>INDEX('Activity data'!BM$24:BM$39,MATCH(Emissions!$D63,'Activity data'!$D$24:$D$39,0))*INDEX(EF!$H$84:$H$99,MATCH(Emissions!$D63,EF!$D$84:$D$99,0))*INDEX(EF!$H$100:$H$115,MATCH(Emissions!$D63,EF!$D$100:$D$115,0))*INDEX(EF!$H$116:$H$131,MATCH(Emissions!$D63,EF!$D$116:$D$131,0))*kgtoGg</f>
        <v>18.859551087134719</v>
      </c>
      <c r="BN63" s="22">
        <f>INDEX('Activity data'!BN$24:BN$39,MATCH(Emissions!$D63,'Activity data'!$D$24:$D$39,0))*INDEX(EF!$H$84:$H$99,MATCH(Emissions!$D63,EF!$D$84:$D$99,0))*INDEX(EF!$H$100:$H$115,MATCH(Emissions!$D63,EF!$D$100:$D$115,0))*INDEX(EF!$H$116:$H$131,MATCH(Emissions!$D63,EF!$D$116:$D$131,0))*kgtoGg</f>
        <v>18.84500212018812</v>
      </c>
      <c r="BO63" s="22">
        <f>INDEX('Activity data'!BO$24:BO$39,MATCH(Emissions!$D63,'Activity data'!$D$24:$D$39,0))*INDEX(EF!$H$84:$H$99,MATCH(Emissions!$D63,EF!$D$84:$D$99,0))*INDEX(EF!$H$100:$H$115,MATCH(Emissions!$D63,EF!$D$100:$D$115,0))*INDEX(EF!$H$116:$H$131,MATCH(Emissions!$D63,EF!$D$116:$D$131,0))*kgtoGg</f>
        <v>18.830453153241518</v>
      </c>
      <c r="BP63" s="22">
        <f>INDEX('Activity data'!BP$24:BP$39,MATCH(Emissions!$D63,'Activity data'!$D$24:$D$39,0))*INDEX(EF!$H$84:$H$99,MATCH(Emissions!$D63,EF!$D$84:$D$99,0))*INDEX(EF!$H$100:$H$115,MATCH(Emissions!$D63,EF!$D$100:$D$115,0))*INDEX(EF!$H$116:$H$131,MATCH(Emissions!$D63,EF!$D$116:$D$131,0))*kgtoGg</f>
        <v>18.815904186294922</v>
      </c>
    </row>
    <row r="64" spans="1:68" x14ac:dyDescent="0.25">
      <c r="A64" t="str">
        <f t="shared" si="19"/>
        <v>3C Aggregated and non-CO2 emissions on land</v>
      </c>
      <c r="B64" t="str">
        <f t="shared" si="20"/>
        <v>3C1 Biomass burning (CH4)</v>
      </c>
      <c r="C64" t="str">
        <f>C63</f>
        <v>3C1c Biomass burning in Grasslands</v>
      </c>
      <c r="D64" t="str">
        <f>EF!D94</f>
        <v>Low shrublands</v>
      </c>
      <c r="E64" t="s">
        <v>657</v>
      </c>
      <c r="F64" t="str">
        <f t="shared" si="21"/>
        <v>CH4</v>
      </c>
      <c r="G64" t="str">
        <f t="shared" si="22"/>
        <v>Gg CH4</v>
      </c>
      <c r="H64" s="22">
        <f>INDEX('Activity data'!H$24:H$39,MATCH(Emissions!$D64,'Activity data'!$D$24:$D$39,0))*INDEX(EF!$H$84:$H$99,MATCH(Emissions!$D64,EF!$D$84:$D$99,0))*INDEX(EF!$H$100:$H$115,MATCH(Emissions!$D64,EF!$D$100:$D$115,0))*INDEX(EF!$H$116:$H$131,MATCH(Emissions!$D64,EF!$D$116:$D$131,0))*kgtoGg</f>
        <v>1.8327068962105979</v>
      </c>
      <c r="I64" s="22">
        <f>INDEX('Activity data'!I$24:I$39,MATCH(Emissions!$D64,'Activity data'!$D$24:$D$39,0))*INDEX(EF!$H$84:$H$99,MATCH(Emissions!$D64,EF!$D$84:$D$99,0))*INDEX(EF!$H$100:$H$115,MATCH(Emissions!$D64,EF!$D$100:$D$115,0))*INDEX(EF!$H$116:$H$131,MATCH(Emissions!$D64,EF!$D$116:$D$131,0))*kgtoGg</f>
        <v>1.8327068962105979</v>
      </c>
      <c r="J64" s="22">
        <f>INDEX('Activity data'!J$24:J$39,MATCH(Emissions!$D64,'Activity data'!$D$24:$D$39,0))*INDEX(EF!$H$84:$H$99,MATCH(Emissions!$D64,EF!$D$84:$D$99,0))*INDEX(EF!$H$100:$H$115,MATCH(Emissions!$D64,EF!$D$100:$D$115,0))*INDEX(EF!$H$116:$H$131,MATCH(Emissions!$D64,EF!$D$116:$D$131,0))*kgtoGg</f>
        <v>1.8327068962105979</v>
      </c>
      <c r="K64" s="22">
        <f>INDEX('Activity data'!K$24:K$39,MATCH(Emissions!$D64,'Activity data'!$D$24:$D$39,0))*INDEX(EF!$H$84:$H$99,MATCH(Emissions!$D64,EF!$D$84:$D$99,0))*INDEX(EF!$H$100:$H$115,MATCH(Emissions!$D64,EF!$D$100:$D$115,0))*INDEX(EF!$H$116:$H$131,MATCH(Emissions!$D64,EF!$D$116:$D$131,0))*kgtoGg</f>
        <v>1.8327068962105979</v>
      </c>
      <c r="L64" s="22">
        <f>INDEX('Activity data'!L$24:L$39,MATCH(Emissions!$D64,'Activity data'!$D$24:$D$39,0))*INDEX(EF!$H$84:$H$99,MATCH(Emissions!$D64,EF!$D$84:$D$99,0))*INDEX(EF!$H$100:$H$115,MATCH(Emissions!$D64,EF!$D$100:$D$115,0))*INDEX(EF!$H$116:$H$131,MATCH(Emissions!$D64,EF!$D$116:$D$131,0))*kgtoGg</f>
        <v>1.8327068962105979</v>
      </c>
      <c r="M64" s="22">
        <f>INDEX('Activity data'!M$24:M$39,MATCH(Emissions!$D64,'Activity data'!$D$24:$D$39,0))*INDEX(EF!$H$84:$H$99,MATCH(Emissions!$D64,EF!$D$84:$D$99,0))*INDEX(EF!$H$100:$H$115,MATCH(Emissions!$D64,EF!$D$100:$D$115,0))*INDEX(EF!$H$116:$H$131,MATCH(Emissions!$D64,EF!$D$116:$D$131,0))*kgtoGg</f>
        <v>1.8327068962105979</v>
      </c>
      <c r="N64" s="22">
        <f>INDEX('Activity data'!N$24:N$39,MATCH(Emissions!$D64,'Activity data'!$D$24:$D$39,0))*INDEX(EF!$H$84:$H$99,MATCH(Emissions!$D64,EF!$D$84:$D$99,0))*INDEX(EF!$H$100:$H$115,MATCH(Emissions!$D64,EF!$D$100:$D$115,0))*INDEX(EF!$H$116:$H$131,MATCH(Emissions!$D64,EF!$D$116:$D$131,0))*kgtoGg</f>
        <v>1.8327068962105979</v>
      </c>
      <c r="O64" s="22">
        <f>INDEX('Activity data'!O$24:O$39,MATCH(Emissions!$D64,'Activity data'!$D$24:$D$39,0))*INDEX(EF!$H$84:$H$99,MATCH(Emissions!$D64,EF!$D$84:$D$99,0))*INDEX(EF!$H$100:$H$115,MATCH(Emissions!$D64,EF!$D$100:$D$115,0))*INDEX(EF!$H$116:$H$131,MATCH(Emissions!$D64,EF!$D$116:$D$131,0))*kgtoGg</f>
        <v>1.8327068962105979</v>
      </c>
      <c r="P64" s="22">
        <f>INDEX('Activity data'!P$24:P$39,MATCH(Emissions!$D64,'Activity data'!$D$24:$D$39,0))*INDEX(EF!$H$84:$H$99,MATCH(Emissions!$D64,EF!$D$84:$D$99,0))*INDEX(EF!$H$100:$H$115,MATCH(Emissions!$D64,EF!$D$100:$D$115,0))*INDEX(EF!$H$116:$H$131,MATCH(Emissions!$D64,EF!$D$116:$D$131,0))*kgtoGg</f>
        <v>1.8327068962105979</v>
      </c>
      <c r="Q64" s="22">
        <f>INDEX('Activity data'!Q$24:Q$39,MATCH(Emissions!$D64,'Activity data'!$D$24:$D$39,0))*INDEX(EF!$H$84:$H$99,MATCH(Emissions!$D64,EF!$D$84:$D$99,0))*INDEX(EF!$H$100:$H$115,MATCH(Emissions!$D64,EF!$D$100:$D$115,0))*INDEX(EF!$H$116:$H$131,MATCH(Emissions!$D64,EF!$D$116:$D$131,0))*kgtoGg</f>
        <v>1.8327068962105979</v>
      </c>
      <c r="R64" s="22">
        <f>INDEX('Activity data'!R$24:R$39,MATCH(Emissions!$D64,'Activity data'!$D$24:$D$39,0))*INDEX(EF!$H$84:$H$99,MATCH(Emissions!$D64,EF!$D$84:$D$99,0))*INDEX(EF!$H$100:$H$115,MATCH(Emissions!$D64,EF!$D$100:$D$115,0))*INDEX(EF!$H$116:$H$131,MATCH(Emissions!$D64,EF!$D$116:$D$131,0))*kgtoGg</f>
        <v>1.5407167876980463</v>
      </c>
      <c r="S64" s="22">
        <f>INDEX('Activity data'!S$24:S$39,MATCH(Emissions!$D64,'Activity data'!$D$24:$D$39,0))*INDEX(EF!$H$84:$H$99,MATCH(Emissions!$D64,EF!$D$84:$D$99,0))*INDEX(EF!$H$100:$H$115,MATCH(Emissions!$D64,EF!$D$100:$D$115,0))*INDEX(EF!$H$116:$H$131,MATCH(Emissions!$D64,EF!$D$116:$D$131,0))*kgtoGg</f>
        <v>1.2962863918633982</v>
      </c>
      <c r="T64" s="22">
        <f>INDEX('Activity data'!T$24:T$39,MATCH(Emissions!$D64,'Activity data'!$D$24:$D$39,0))*INDEX(EF!$H$84:$H$99,MATCH(Emissions!$D64,EF!$D$84:$D$99,0))*INDEX(EF!$H$100:$H$115,MATCH(Emissions!$D64,EF!$D$100:$D$115,0))*INDEX(EF!$H$116:$H$131,MATCH(Emissions!$D64,EF!$D$116:$D$131,0))*kgtoGg</f>
        <v>3.1553311369274972</v>
      </c>
      <c r="U64" s="22">
        <f>INDEX('Activity data'!U$24:U$39,MATCH(Emissions!$D64,'Activity data'!$D$24:$D$39,0))*INDEX(EF!$H$84:$H$99,MATCH(Emissions!$D64,EF!$D$84:$D$99,0))*INDEX(EF!$H$100:$H$115,MATCH(Emissions!$D64,EF!$D$100:$D$115,0))*INDEX(EF!$H$116:$H$131,MATCH(Emissions!$D64,EF!$D$116:$D$131,0))*kgtoGg</f>
        <v>1.9682331292499253</v>
      </c>
      <c r="V64" s="22">
        <f>INDEX('Activity data'!V$24:V$39,MATCH(Emissions!$D64,'Activity data'!$D$24:$D$39,0))*INDEX(EF!$H$84:$H$99,MATCH(Emissions!$D64,EF!$D$84:$D$99,0))*INDEX(EF!$H$100:$H$115,MATCH(Emissions!$D64,EF!$D$100:$D$115,0))*INDEX(EF!$H$116:$H$131,MATCH(Emissions!$D64,EF!$D$116:$D$131,0))*kgtoGg</f>
        <v>1.202967035314124</v>
      </c>
      <c r="W64" s="22">
        <f>INDEX('Activity data'!W$24:W$39,MATCH(Emissions!$D64,'Activity data'!$D$24:$D$39,0))*INDEX(EF!$H$84:$H$99,MATCH(Emissions!$D64,EF!$D$84:$D$99,0))*INDEX(EF!$H$100:$H$115,MATCH(Emissions!$D64,EF!$D$100:$D$115,0))*INDEX(EF!$H$116:$H$131,MATCH(Emissions!$D64,EF!$D$116:$D$131,0))*kgtoGg</f>
        <v>2.0414201373050664</v>
      </c>
      <c r="X64" s="22">
        <f>INDEX('Activity data'!X$24:X$39,MATCH(Emissions!$D64,'Activity data'!$D$24:$D$39,0))*INDEX(EF!$H$84:$H$99,MATCH(Emissions!$D64,EF!$D$84:$D$99,0))*INDEX(EF!$H$100:$H$115,MATCH(Emissions!$D64,EF!$D$100:$D$115,0))*INDEX(EF!$H$116:$H$131,MATCH(Emissions!$D64,EF!$D$116:$D$131,0))*kgtoGg</f>
        <v>1.5845342520676293</v>
      </c>
      <c r="Y64" s="22">
        <f>INDEX('Activity data'!Y$24:Y$39,MATCH(Emissions!$D64,'Activity data'!$D$24:$D$39,0))*INDEX(EF!$H$84:$H$99,MATCH(Emissions!$D64,EF!$D$84:$D$99,0))*INDEX(EF!$H$100:$H$115,MATCH(Emissions!$D64,EF!$D$100:$D$115,0))*INDEX(EF!$H$116:$H$131,MATCH(Emissions!$D64,EF!$D$116:$D$131,0))*kgtoGg</f>
        <v>1.3635521209496773</v>
      </c>
      <c r="Z64" s="22">
        <f>INDEX('Activity data'!Z$24:Z$39,MATCH(Emissions!$D64,'Activity data'!$D$24:$D$39,0))*INDEX(EF!$H$84:$H$99,MATCH(Emissions!$D64,EF!$D$84:$D$99,0))*INDEX(EF!$H$100:$H$115,MATCH(Emissions!$D64,EF!$D$100:$D$115,0))*INDEX(EF!$H$116:$H$131,MATCH(Emissions!$D64,EF!$D$116:$D$131,0))*kgtoGg</f>
        <v>1.6513262788363989</v>
      </c>
      <c r="AA64" s="22">
        <f>INDEX('Activity data'!AA$24:AA$39,MATCH(Emissions!$D64,'Activity data'!$D$24:$D$39,0))*INDEX(EF!$H$84:$H$99,MATCH(Emissions!$D64,EF!$D$84:$D$99,0))*INDEX(EF!$H$100:$H$115,MATCH(Emissions!$D64,EF!$D$100:$D$115,0))*INDEX(EF!$H$116:$H$131,MATCH(Emissions!$D64,EF!$D$116:$D$131,0))*kgtoGg</f>
        <v>2.2091107577032552</v>
      </c>
      <c r="AB64" s="22">
        <f>INDEX('Activity data'!AB$24:AB$39,MATCH(Emissions!$D64,'Activity data'!$D$24:$D$39,0))*INDEX(EF!$H$84:$H$99,MATCH(Emissions!$D64,EF!$D$84:$D$99,0))*INDEX(EF!$H$100:$H$115,MATCH(Emissions!$D64,EF!$D$100:$D$115,0))*INDEX(EF!$H$116:$H$131,MATCH(Emissions!$D64,EF!$D$116:$D$131,0))*kgtoGg</f>
        <v>5.2887257186400003</v>
      </c>
      <c r="AC64" s="22">
        <f>INDEX('Activity data'!AC$24:AC$39,MATCH(Emissions!$D64,'Activity data'!$D$24:$D$39,0))*INDEX(EF!$H$84:$H$99,MATCH(Emissions!$D64,EF!$D$84:$D$99,0))*INDEX(EF!$H$100:$H$115,MATCH(Emissions!$D64,EF!$D$100:$D$115,0))*INDEX(EF!$H$116:$H$131,MATCH(Emissions!$D64,EF!$D$116:$D$131,0))*kgtoGg</f>
        <v>5.3137024405920013</v>
      </c>
      <c r="AD64" s="22">
        <f>INDEX('Activity data'!AD$24:AD$39,MATCH(Emissions!$D64,'Activity data'!$D$24:$D$39,0))*INDEX(EF!$H$84:$H$99,MATCH(Emissions!$D64,EF!$D$84:$D$99,0))*INDEX(EF!$H$100:$H$115,MATCH(Emissions!$D64,EF!$D$100:$D$115,0))*INDEX(EF!$H$116:$H$131,MATCH(Emissions!$D64,EF!$D$116:$D$131,0))*kgtoGg</f>
        <v>2.784291701819094</v>
      </c>
      <c r="AE64" s="22">
        <f>INDEX('Activity data'!AE$24:AE$39,MATCH(Emissions!$D64,'Activity data'!$D$24:$D$39,0))*INDEX(EF!$H$84:$H$99,MATCH(Emissions!$D64,EF!$D$84:$D$99,0))*INDEX(EF!$H$100:$H$115,MATCH(Emissions!$D64,EF!$D$100:$D$115,0))*INDEX(EF!$H$116:$H$131,MATCH(Emissions!$D64,EF!$D$116:$D$131,0))*kgtoGg</f>
        <v>2.7855811673318542</v>
      </c>
      <c r="AF64" s="22">
        <f>INDEX('Activity data'!AF$24:AF$39,MATCH(Emissions!$D64,'Activity data'!$D$24:$D$39,0))*INDEX(EF!$H$84:$H$99,MATCH(Emissions!$D64,EF!$D$84:$D$99,0))*INDEX(EF!$H$100:$H$115,MATCH(Emissions!$D64,EF!$D$100:$D$115,0))*INDEX(EF!$H$116:$H$131,MATCH(Emissions!$D64,EF!$D$116:$D$131,0))*kgtoGg</f>
        <v>2.7868706328446136</v>
      </c>
      <c r="AG64" s="22">
        <f>INDEX('Activity data'!AG$24:AG$39,MATCH(Emissions!$D64,'Activity data'!$D$24:$D$39,0))*INDEX(EF!$H$84:$H$99,MATCH(Emissions!$D64,EF!$D$84:$D$99,0))*INDEX(EF!$H$100:$H$115,MATCH(Emissions!$D64,EF!$D$100:$D$115,0))*INDEX(EF!$H$116:$H$131,MATCH(Emissions!$D64,EF!$D$116:$D$131,0))*kgtoGg</f>
        <v>2.7904589848143191</v>
      </c>
      <c r="AH64" s="22">
        <f>INDEX('Activity data'!AH$24:AH$39,MATCH(Emissions!$D64,'Activity data'!$D$24:$D$39,0))*INDEX(EF!$H$84:$H$99,MATCH(Emissions!$D64,EF!$D$84:$D$99,0))*INDEX(EF!$H$100:$H$115,MATCH(Emissions!$D64,EF!$D$100:$D$115,0))*INDEX(EF!$H$116:$H$131,MATCH(Emissions!$D64,EF!$D$116:$D$131,0))*kgtoGg</f>
        <v>2.7940473367840233</v>
      </c>
      <c r="AI64" s="22">
        <f>INDEX('Activity data'!AI$24:AI$39,MATCH(Emissions!$D64,'Activity data'!$D$24:$D$39,0))*INDEX(EF!$H$84:$H$99,MATCH(Emissions!$D64,EF!$D$84:$D$99,0))*INDEX(EF!$H$100:$H$115,MATCH(Emissions!$D64,EF!$D$100:$D$115,0))*INDEX(EF!$H$116:$H$131,MATCH(Emissions!$D64,EF!$D$116:$D$131,0))*kgtoGg</f>
        <v>2.7976356887537275</v>
      </c>
      <c r="AJ64" s="22">
        <f>INDEX('Activity data'!AJ$24:AJ$39,MATCH(Emissions!$D64,'Activity data'!$D$24:$D$39,0))*INDEX(EF!$H$84:$H$99,MATCH(Emissions!$D64,EF!$D$84:$D$99,0))*INDEX(EF!$H$100:$H$115,MATCH(Emissions!$D64,EF!$D$100:$D$115,0))*INDEX(EF!$H$116:$H$131,MATCH(Emissions!$D64,EF!$D$116:$D$131,0))*kgtoGg</f>
        <v>2.8012240407234321</v>
      </c>
      <c r="AK64" s="22">
        <f>INDEX('Activity data'!AK$24:AK$39,MATCH(Emissions!$D64,'Activity data'!$D$24:$D$39,0))*INDEX(EF!$H$84:$H$99,MATCH(Emissions!$D64,EF!$D$84:$D$99,0))*INDEX(EF!$H$100:$H$115,MATCH(Emissions!$D64,EF!$D$100:$D$115,0))*INDEX(EF!$H$116:$H$131,MATCH(Emissions!$D64,EF!$D$116:$D$131,0))*kgtoGg</f>
        <v>2.8045860653608718</v>
      </c>
      <c r="AL64" s="22">
        <f>INDEX('Activity data'!AL$24:AL$39,MATCH(Emissions!$D64,'Activity data'!$D$24:$D$39,0))*INDEX(EF!$H$84:$H$99,MATCH(Emissions!$D64,EF!$D$84:$D$99,0))*INDEX(EF!$H$100:$H$115,MATCH(Emissions!$D64,EF!$D$100:$D$115,0))*INDEX(EF!$H$116:$H$131,MATCH(Emissions!$D64,EF!$D$116:$D$131,0))*kgtoGg</f>
        <v>2.8079480899983134</v>
      </c>
      <c r="AM64" s="22">
        <f>INDEX('Activity data'!AM$24:AM$39,MATCH(Emissions!$D64,'Activity data'!$D$24:$D$39,0))*INDEX(EF!$H$84:$H$99,MATCH(Emissions!$D64,EF!$D$84:$D$99,0))*INDEX(EF!$H$100:$H$115,MATCH(Emissions!$D64,EF!$D$100:$D$115,0))*INDEX(EF!$H$116:$H$131,MATCH(Emissions!$D64,EF!$D$116:$D$131,0))*kgtoGg</f>
        <v>2.8113101146357549</v>
      </c>
      <c r="AN64" s="22">
        <f>INDEX('Activity data'!AN$24:AN$39,MATCH(Emissions!$D64,'Activity data'!$D$24:$D$39,0))*INDEX(EF!$H$84:$H$99,MATCH(Emissions!$D64,EF!$D$84:$D$99,0))*INDEX(EF!$H$100:$H$115,MATCH(Emissions!$D64,EF!$D$100:$D$115,0))*INDEX(EF!$H$116:$H$131,MATCH(Emissions!$D64,EF!$D$116:$D$131,0))*kgtoGg</f>
        <v>2.8146721392731955</v>
      </c>
      <c r="AO64" s="22">
        <f>INDEX('Activity data'!AO$24:AO$39,MATCH(Emissions!$D64,'Activity data'!$D$24:$D$39,0))*INDEX(EF!$H$84:$H$99,MATCH(Emissions!$D64,EF!$D$84:$D$99,0))*INDEX(EF!$H$100:$H$115,MATCH(Emissions!$D64,EF!$D$100:$D$115,0))*INDEX(EF!$H$116:$H$131,MATCH(Emissions!$D64,EF!$D$116:$D$131,0))*kgtoGg</f>
        <v>2.8180341639106365</v>
      </c>
      <c r="AP64" s="22">
        <f>INDEX('Activity data'!AP$24:AP$39,MATCH(Emissions!$D64,'Activity data'!$D$24:$D$39,0))*INDEX(EF!$H$84:$H$99,MATCH(Emissions!$D64,EF!$D$84:$D$99,0))*INDEX(EF!$H$100:$H$115,MATCH(Emissions!$D64,EF!$D$100:$D$115,0))*INDEX(EF!$H$116:$H$131,MATCH(Emissions!$D64,EF!$D$116:$D$131,0))*kgtoGg</f>
        <v>2.8213961885480767</v>
      </c>
      <c r="AQ64" s="22">
        <f>INDEX('Activity data'!AQ$24:AQ$39,MATCH(Emissions!$D64,'Activity data'!$D$24:$D$39,0))*INDEX(EF!$H$84:$H$99,MATCH(Emissions!$D64,EF!$D$84:$D$99,0))*INDEX(EF!$H$100:$H$115,MATCH(Emissions!$D64,EF!$D$100:$D$115,0))*INDEX(EF!$H$116:$H$131,MATCH(Emissions!$D64,EF!$D$116:$D$131,0))*kgtoGg</f>
        <v>2.8247582131855178</v>
      </c>
      <c r="AR64" s="22">
        <f>INDEX('Activity data'!AR$24:AR$39,MATCH(Emissions!$D64,'Activity data'!$D$24:$D$39,0))*INDEX(EF!$H$84:$H$99,MATCH(Emissions!$D64,EF!$D$84:$D$99,0))*INDEX(EF!$H$100:$H$115,MATCH(Emissions!$D64,EF!$D$100:$D$115,0))*INDEX(EF!$H$116:$H$131,MATCH(Emissions!$D64,EF!$D$116:$D$131,0))*kgtoGg</f>
        <v>2.8281202378229584</v>
      </c>
      <c r="AS64" s="22">
        <f>INDEX('Activity data'!AS$24:AS$39,MATCH(Emissions!$D64,'Activity data'!$D$24:$D$39,0))*INDEX(EF!$H$84:$H$99,MATCH(Emissions!$D64,EF!$D$84:$D$99,0))*INDEX(EF!$H$100:$H$115,MATCH(Emissions!$D64,EF!$D$100:$D$115,0))*INDEX(EF!$H$116:$H$131,MATCH(Emissions!$D64,EF!$D$116:$D$131,0))*kgtoGg</f>
        <v>2.8314822624603999</v>
      </c>
      <c r="AT64" s="22">
        <f>INDEX('Activity data'!AT$24:AT$39,MATCH(Emissions!$D64,'Activity data'!$D$24:$D$39,0))*INDEX(EF!$H$84:$H$99,MATCH(Emissions!$D64,EF!$D$84:$D$99,0))*INDEX(EF!$H$100:$H$115,MATCH(Emissions!$D64,EF!$D$100:$D$115,0))*INDEX(EF!$H$116:$H$131,MATCH(Emissions!$D64,EF!$D$116:$D$131,0))*kgtoGg</f>
        <v>2.8348442870978401</v>
      </c>
      <c r="AU64" s="22">
        <f>INDEX('Activity data'!AU$24:AU$39,MATCH(Emissions!$D64,'Activity data'!$D$24:$D$39,0))*INDEX(EF!$H$84:$H$99,MATCH(Emissions!$D64,EF!$D$84:$D$99,0))*INDEX(EF!$H$100:$H$115,MATCH(Emissions!$D64,EF!$D$100:$D$115,0))*INDEX(EF!$H$116:$H$131,MATCH(Emissions!$D64,EF!$D$116:$D$131,0))*kgtoGg</f>
        <v>2.8382063117352812</v>
      </c>
      <c r="AV64" s="22">
        <f>INDEX('Activity data'!AV$24:AV$39,MATCH(Emissions!$D64,'Activity data'!$D$24:$D$39,0))*INDEX(EF!$H$84:$H$99,MATCH(Emissions!$D64,EF!$D$84:$D$99,0))*INDEX(EF!$H$100:$H$115,MATCH(Emissions!$D64,EF!$D$100:$D$115,0))*INDEX(EF!$H$116:$H$131,MATCH(Emissions!$D64,EF!$D$116:$D$131,0))*kgtoGg</f>
        <v>2.8415683363727218</v>
      </c>
      <c r="AW64" s="22">
        <f>INDEX('Activity data'!AW$24:AW$39,MATCH(Emissions!$D64,'Activity data'!$D$24:$D$39,0))*INDEX(EF!$H$84:$H$99,MATCH(Emissions!$D64,EF!$D$84:$D$99,0))*INDEX(EF!$H$100:$H$115,MATCH(Emissions!$D64,EF!$D$100:$D$115,0))*INDEX(EF!$H$116:$H$131,MATCH(Emissions!$D64,EF!$D$116:$D$131,0))*kgtoGg</f>
        <v>2.8449303610101633</v>
      </c>
      <c r="AX64" s="22">
        <f>INDEX('Activity data'!AX$24:AX$39,MATCH(Emissions!$D64,'Activity data'!$D$24:$D$39,0))*INDEX(EF!$H$84:$H$99,MATCH(Emissions!$D64,EF!$D$84:$D$99,0))*INDEX(EF!$H$100:$H$115,MATCH(Emissions!$D64,EF!$D$100:$D$115,0))*INDEX(EF!$H$116:$H$131,MATCH(Emissions!$D64,EF!$D$116:$D$131,0))*kgtoGg</f>
        <v>2.848292385647603</v>
      </c>
      <c r="AY64" s="22">
        <f>INDEX('Activity data'!AY$24:AY$39,MATCH(Emissions!$D64,'Activity data'!$D$24:$D$39,0))*INDEX(EF!$H$84:$H$99,MATCH(Emissions!$D64,EF!$D$84:$D$99,0))*INDEX(EF!$H$100:$H$115,MATCH(Emissions!$D64,EF!$D$100:$D$115,0))*INDEX(EF!$H$116:$H$131,MATCH(Emissions!$D64,EF!$D$116:$D$131,0))*kgtoGg</f>
        <v>2.8516544102850445</v>
      </c>
      <c r="AZ64" s="22">
        <f>INDEX('Activity data'!AZ$24:AZ$39,MATCH(Emissions!$D64,'Activity data'!$D$24:$D$39,0))*INDEX(EF!$H$84:$H$99,MATCH(Emissions!$D64,EF!$D$84:$D$99,0))*INDEX(EF!$H$100:$H$115,MATCH(Emissions!$D64,EF!$D$100:$D$115,0))*INDEX(EF!$H$116:$H$131,MATCH(Emissions!$D64,EF!$D$116:$D$131,0))*kgtoGg</f>
        <v>2.8550164349224847</v>
      </c>
      <c r="BA64" s="22">
        <f>INDEX('Activity data'!BA$24:BA$39,MATCH(Emissions!$D64,'Activity data'!$D$24:$D$39,0))*INDEX(EF!$H$84:$H$99,MATCH(Emissions!$D64,EF!$D$84:$D$99,0))*INDEX(EF!$H$100:$H$115,MATCH(Emissions!$D64,EF!$D$100:$D$115,0))*INDEX(EF!$H$116:$H$131,MATCH(Emissions!$D64,EF!$D$116:$D$131,0))*kgtoGg</f>
        <v>2.8583784595599262</v>
      </c>
      <c r="BB64" s="22">
        <f>INDEX('Activity data'!BB$24:BB$39,MATCH(Emissions!$D64,'Activity data'!$D$24:$D$39,0))*INDEX(EF!$H$84:$H$99,MATCH(Emissions!$D64,EF!$D$84:$D$99,0))*INDEX(EF!$H$100:$H$115,MATCH(Emissions!$D64,EF!$D$100:$D$115,0))*INDEX(EF!$H$116:$H$131,MATCH(Emissions!$D64,EF!$D$116:$D$131,0))*kgtoGg</f>
        <v>2.8617404841973664</v>
      </c>
      <c r="BC64" s="22">
        <f>INDEX('Activity data'!BC$24:BC$39,MATCH(Emissions!$D64,'Activity data'!$D$24:$D$39,0))*INDEX(EF!$H$84:$H$99,MATCH(Emissions!$D64,EF!$D$84:$D$99,0))*INDEX(EF!$H$100:$H$115,MATCH(Emissions!$D64,EF!$D$100:$D$115,0))*INDEX(EF!$H$116:$H$131,MATCH(Emissions!$D64,EF!$D$116:$D$131,0))*kgtoGg</f>
        <v>2.865102508834807</v>
      </c>
      <c r="BD64" s="22">
        <f>INDEX('Activity data'!BD$24:BD$39,MATCH(Emissions!$D64,'Activity data'!$D$24:$D$39,0))*INDEX(EF!$H$84:$H$99,MATCH(Emissions!$D64,EF!$D$84:$D$99,0))*INDEX(EF!$H$100:$H$115,MATCH(Emissions!$D64,EF!$D$100:$D$115,0))*INDEX(EF!$H$116:$H$131,MATCH(Emissions!$D64,EF!$D$116:$D$131,0))*kgtoGg</f>
        <v>2.8684645334722481</v>
      </c>
      <c r="BE64" s="22">
        <f>INDEX('Activity data'!BE$24:BE$39,MATCH(Emissions!$D64,'Activity data'!$D$24:$D$39,0))*INDEX(EF!$H$84:$H$99,MATCH(Emissions!$D64,EF!$D$84:$D$99,0))*INDEX(EF!$H$100:$H$115,MATCH(Emissions!$D64,EF!$D$100:$D$115,0))*INDEX(EF!$H$116:$H$131,MATCH(Emissions!$D64,EF!$D$116:$D$131,0))*kgtoGg</f>
        <v>2.8718265581096882</v>
      </c>
      <c r="BF64" s="22">
        <f>INDEX('Activity data'!BF$24:BF$39,MATCH(Emissions!$D64,'Activity data'!$D$24:$D$39,0))*INDEX(EF!$H$84:$H$99,MATCH(Emissions!$D64,EF!$D$84:$D$99,0))*INDEX(EF!$H$100:$H$115,MATCH(Emissions!$D64,EF!$D$100:$D$115,0))*INDEX(EF!$H$116:$H$131,MATCH(Emissions!$D64,EF!$D$116:$D$131,0))*kgtoGg</f>
        <v>2.8751885827471302</v>
      </c>
      <c r="BG64" s="22">
        <f>INDEX('Activity data'!BG$24:BG$39,MATCH(Emissions!$D64,'Activity data'!$D$24:$D$39,0))*INDEX(EF!$H$84:$H$99,MATCH(Emissions!$D64,EF!$D$84:$D$99,0))*INDEX(EF!$H$100:$H$115,MATCH(Emissions!$D64,EF!$D$100:$D$115,0))*INDEX(EF!$H$116:$H$131,MATCH(Emissions!$D64,EF!$D$116:$D$131,0))*kgtoGg</f>
        <v>2.8785506073845708</v>
      </c>
      <c r="BH64" s="22">
        <f>INDEX('Activity data'!BH$24:BH$39,MATCH(Emissions!$D64,'Activity data'!$D$24:$D$39,0))*INDEX(EF!$H$84:$H$99,MATCH(Emissions!$D64,EF!$D$84:$D$99,0))*INDEX(EF!$H$100:$H$115,MATCH(Emissions!$D64,EF!$D$100:$D$115,0))*INDEX(EF!$H$116:$H$131,MATCH(Emissions!$D64,EF!$D$116:$D$131,0))*kgtoGg</f>
        <v>2.8819126320220114</v>
      </c>
      <c r="BI64" s="22">
        <f>INDEX('Activity data'!BI$24:BI$39,MATCH(Emissions!$D64,'Activity data'!$D$24:$D$39,0))*INDEX(EF!$H$84:$H$99,MATCH(Emissions!$D64,EF!$D$84:$D$99,0))*INDEX(EF!$H$100:$H$115,MATCH(Emissions!$D64,EF!$D$100:$D$115,0))*INDEX(EF!$H$116:$H$131,MATCH(Emissions!$D64,EF!$D$116:$D$131,0))*kgtoGg</f>
        <v>2.8852746566594516</v>
      </c>
      <c r="BJ64" s="22">
        <f>INDEX('Activity data'!BJ$24:BJ$39,MATCH(Emissions!$D64,'Activity data'!$D$24:$D$39,0))*INDEX(EF!$H$84:$H$99,MATCH(Emissions!$D64,EF!$D$84:$D$99,0))*INDEX(EF!$H$100:$H$115,MATCH(Emissions!$D64,EF!$D$100:$D$115,0))*INDEX(EF!$H$116:$H$131,MATCH(Emissions!$D64,EF!$D$116:$D$131,0))*kgtoGg</f>
        <v>2.8886366812968927</v>
      </c>
      <c r="BK64" s="22">
        <f>INDEX('Activity data'!BK$24:BK$39,MATCH(Emissions!$D64,'Activity data'!$D$24:$D$39,0))*INDEX(EF!$H$84:$H$99,MATCH(Emissions!$D64,EF!$D$84:$D$99,0))*INDEX(EF!$H$100:$H$115,MATCH(Emissions!$D64,EF!$D$100:$D$115,0))*INDEX(EF!$H$116:$H$131,MATCH(Emissions!$D64,EF!$D$116:$D$131,0))*kgtoGg</f>
        <v>2.8919987059343342</v>
      </c>
      <c r="BL64" s="22">
        <f>INDEX('Activity data'!BL$24:BL$39,MATCH(Emissions!$D64,'Activity data'!$D$24:$D$39,0))*INDEX(EF!$H$84:$H$99,MATCH(Emissions!$D64,EF!$D$84:$D$99,0))*INDEX(EF!$H$100:$H$115,MATCH(Emissions!$D64,EF!$D$100:$D$115,0))*INDEX(EF!$H$116:$H$131,MATCH(Emissions!$D64,EF!$D$116:$D$131,0))*kgtoGg</f>
        <v>2.8953607305717739</v>
      </c>
      <c r="BM64" s="22">
        <f>INDEX('Activity data'!BM$24:BM$39,MATCH(Emissions!$D64,'Activity data'!$D$24:$D$39,0))*INDEX(EF!$H$84:$H$99,MATCH(Emissions!$D64,EF!$D$84:$D$99,0))*INDEX(EF!$H$100:$H$115,MATCH(Emissions!$D64,EF!$D$100:$D$115,0))*INDEX(EF!$H$116:$H$131,MATCH(Emissions!$D64,EF!$D$116:$D$131,0))*kgtoGg</f>
        <v>2.8987227552092145</v>
      </c>
      <c r="BN64" s="22">
        <f>INDEX('Activity data'!BN$24:BN$39,MATCH(Emissions!$D64,'Activity data'!$D$24:$D$39,0))*INDEX(EF!$H$84:$H$99,MATCH(Emissions!$D64,EF!$D$84:$D$99,0))*INDEX(EF!$H$100:$H$115,MATCH(Emissions!$D64,EF!$D$100:$D$115,0))*INDEX(EF!$H$116:$H$131,MATCH(Emissions!$D64,EF!$D$116:$D$131,0))*kgtoGg</f>
        <v>2.902084779846656</v>
      </c>
      <c r="BO64" s="22">
        <f>INDEX('Activity data'!BO$24:BO$39,MATCH(Emissions!$D64,'Activity data'!$D$24:$D$39,0))*INDEX(EF!$H$84:$H$99,MATCH(Emissions!$D64,EF!$D$84:$D$99,0))*INDEX(EF!$H$100:$H$115,MATCH(Emissions!$D64,EF!$D$100:$D$115,0))*INDEX(EF!$H$116:$H$131,MATCH(Emissions!$D64,EF!$D$116:$D$131,0))*kgtoGg</f>
        <v>2.9054468044840966</v>
      </c>
      <c r="BP64" s="22">
        <f>INDEX('Activity data'!BP$24:BP$39,MATCH(Emissions!$D64,'Activity data'!$D$24:$D$39,0))*INDEX(EF!$H$84:$H$99,MATCH(Emissions!$D64,EF!$D$84:$D$99,0))*INDEX(EF!$H$100:$H$115,MATCH(Emissions!$D64,EF!$D$100:$D$115,0))*INDEX(EF!$H$116:$H$131,MATCH(Emissions!$D64,EF!$D$116:$D$131,0))*kgtoGg</f>
        <v>2.9088088291215368</v>
      </c>
    </row>
    <row r="65" spans="1:68" x14ac:dyDescent="0.25">
      <c r="A65" t="str">
        <f t="shared" si="19"/>
        <v>3C Aggregated and non-CO2 emissions on land</v>
      </c>
      <c r="B65" t="str">
        <f t="shared" si="20"/>
        <v>3C1 Biomass burning (CH4)</v>
      </c>
      <c r="C65" t="str">
        <f>C64</f>
        <v>3C1c Biomass burning in Grasslands</v>
      </c>
      <c r="D65" t="str">
        <f>EF!D95</f>
        <v>Degraded land</v>
      </c>
      <c r="E65" t="s">
        <v>647</v>
      </c>
      <c r="F65" t="str">
        <f t="shared" si="21"/>
        <v>CH4</v>
      </c>
      <c r="G65" t="str">
        <f t="shared" si="22"/>
        <v>Gg CH4</v>
      </c>
      <c r="H65" s="22">
        <f>INDEX('Activity data'!H$24:H$39,MATCH(Emissions!$D65,'Activity data'!$D$24:$D$39,0))*INDEX(EF!$H$84:$H$99,MATCH(Emissions!$D65,EF!$D$84:$D$99,0))*INDEX(EF!$H$100:$H$115,MATCH(Emissions!$D65,EF!$D$100:$D$115,0))*INDEX(EF!$H$116:$H$131,MATCH(Emissions!$D65,EF!$D$116:$D$131,0))*kgtoGg</f>
        <v>0.28388450845043828</v>
      </c>
      <c r="I65" s="22">
        <f>INDEX('Activity data'!I$24:I$39,MATCH(Emissions!$D65,'Activity data'!$D$24:$D$39,0))*INDEX(EF!$H$84:$H$99,MATCH(Emissions!$D65,EF!$D$84:$D$99,0))*INDEX(EF!$H$100:$H$115,MATCH(Emissions!$D65,EF!$D$100:$D$115,0))*INDEX(EF!$H$116:$H$131,MATCH(Emissions!$D65,EF!$D$116:$D$131,0))*kgtoGg</f>
        <v>0.28388450845043828</v>
      </c>
      <c r="J65" s="22">
        <f>INDEX('Activity data'!J$24:J$39,MATCH(Emissions!$D65,'Activity data'!$D$24:$D$39,0))*INDEX(EF!$H$84:$H$99,MATCH(Emissions!$D65,EF!$D$84:$D$99,0))*INDEX(EF!$H$100:$H$115,MATCH(Emissions!$D65,EF!$D$100:$D$115,0))*INDEX(EF!$H$116:$H$131,MATCH(Emissions!$D65,EF!$D$116:$D$131,0))*kgtoGg</f>
        <v>0.28388450845043828</v>
      </c>
      <c r="K65" s="22">
        <f>INDEX('Activity data'!K$24:K$39,MATCH(Emissions!$D65,'Activity data'!$D$24:$D$39,0))*INDEX(EF!$H$84:$H$99,MATCH(Emissions!$D65,EF!$D$84:$D$99,0))*INDEX(EF!$H$100:$H$115,MATCH(Emissions!$D65,EF!$D$100:$D$115,0))*INDEX(EF!$H$116:$H$131,MATCH(Emissions!$D65,EF!$D$116:$D$131,0))*kgtoGg</f>
        <v>0.28388450845043828</v>
      </c>
      <c r="L65" s="22">
        <f>INDEX('Activity data'!L$24:L$39,MATCH(Emissions!$D65,'Activity data'!$D$24:$D$39,0))*INDEX(EF!$H$84:$H$99,MATCH(Emissions!$D65,EF!$D$84:$D$99,0))*INDEX(EF!$H$100:$H$115,MATCH(Emissions!$D65,EF!$D$100:$D$115,0))*INDEX(EF!$H$116:$H$131,MATCH(Emissions!$D65,EF!$D$116:$D$131,0))*kgtoGg</f>
        <v>0.28388450845043828</v>
      </c>
      <c r="M65" s="22">
        <f>INDEX('Activity data'!M$24:M$39,MATCH(Emissions!$D65,'Activity data'!$D$24:$D$39,0))*INDEX(EF!$H$84:$H$99,MATCH(Emissions!$D65,EF!$D$84:$D$99,0))*INDEX(EF!$H$100:$H$115,MATCH(Emissions!$D65,EF!$D$100:$D$115,0))*INDEX(EF!$H$116:$H$131,MATCH(Emissions!$D65,EF!$D$116:$D$131,0))*kgtoGg</f>
        <v>0.28388450845043828</v>
      </c>
      <c r="N65" s="22">
        <f>INDEX('Activity data'!N$24:N$39,MATCH(Emissions!$D65,'Activity data'!$D$24:$D$39,0))*INDEX(EF!$H$84:$H$99,MATCH(Emissions!$D65,EF!$D$84:$D$99,0))*INDEX(EF!$H$100:$H$115,MATCH(Emissions!$D65,EF!$D$100:$D$115,0))*INDEX(EF!$H$116:$H$131,MATCH(Emissions!$D65,EF!$D$116:$D$131,0))*kgtoGg</f>
        <v>0.28388450845043828</v>
      </c>
      <c r="O65" s="22">
        <f>INDEX('Activity data'!O$24:O$39,MATCH(Emissions!$D65,'Activity data'!$D$24:$D$39,0))*INDEX(EF!$H$84:$H$99,MATCH(Emissions!$D65,EF!$D$84:$D$99,0))*INDEX(EF!$H$100:$H$115,MATCH(Emissions!$D65,EF!$D$100:$D$115,0))*INDEX(EF!$H$116:$H$131,MATCH(Emissions!$D65,EF!$D$116:$D$131,0))*kgtoGg</f>
        <v>0.28388450845043828</v>
      </c>
      <c r="P65" s="22">
        <f>INDEX('Activity data'!P$24:P$39,MATCH(Emissions!$D65,'Activity data'!$D$24:$D$39,0))*INDEX(EF!$H$84:$H$99,MATCH(Emissions!$D65,EF!$D$84:$D$99,0))*INDEX(EF!$H$100:$H$115,MATCH(Emissions!$D65,EF!$D$100:$D$115,0))*INDEX(EF!$H$116:$H$131,MATCH(Emissions!$D65,EF!$D$116:$D$131,0))*kgtoGg</f>
        <v>0.28388450845043828</v>
      </c>
      <c r="Q65" s="22">
        <f>INDEX('Activity data'!Q$24:Q$39,MATCH(Emissions!$D65,'Activity data'!$D$24:$D$39,0))*INDEX(EF!$H$84:$H$99,MATCH(Emissions!$D65,EF!$D$84:$D$99,0))*INDEX(EF!$H$100:$H$115,MATCH(Emissions!$D65,EF!$D$100:$D$115,0))*INDEX(EF!$H$116:$H$131,MATCH(Emissions!$D65,EF!$D$116:$D$131,0))*kgtoGg</f>
        <v>0.28388450845043828</v>
      </c>
      <c r="R65" s="22">
        <f>INDEX('Activity data'!R$24:R$39,MATCH(Emissions!$D65,'Activity data'!$D$24:$D$39,0))*INDEX(EF!$H$84:$H$99,MATCH(Emissions!$D65,EF!$D$84:$D$99,0))*INDEX(EF!$H$100:$H$115,MATCH(Emissions!$D65,EF!$D$100:$D$115,0))*INDEX(EF!$H$116:$H$131,MATCH(Emissions!$D65,EF!$D$116:$D$131,0))*kgtoGg</f>
        <v>0.31237273176162411</v>
      </c>
      <c r="S65" s="22">
        <f>INDEX('Activity data'!S$24:S$39,MATCH(Emissions!$D65,'Activity data'!$D$24:$D$39,0))*INDEX(EF!$H$84:$H$99,MATCH(Emissions!$D65,EF!$D$84:$D$99,0))*INDEX(EF!$H$100:$H$115,MATCH(Emissions!$D65,EF!$D$100:$D$115,0))*INDEX(EF!$H$116:$H$131,MATCH(Emissions!$D65,EF!$D$116:$D$131,0))*kgtoGg</f>
        <v>0.28275941468330501</v>
      </c>
      <c r="T65" s="22">
        <f>INDEX('Activity data'!T$24:T$39,MATCH(Emissions!$D65,'Activity data'!$D$24:$D$39,0))*INDEX(EF!$H$84:$H$99,MATCH(Emissions!$D65,EF!$D$84:$D$99,0))*INDEX(EF!$H$100:$H$115,MATCH(Emissions!$D65,EF!$D$100:$D$115,0))*INDEX(EF!$H$116:$H$131,MATCH(Emissions!$D65,EF!$D$116:$D$131,0))*kgtoGg</f>
        <v>0.37849852581106064</v>
      </c>
      <c r="U65" s="22">
        <f>INDEX('Activity data'!U$24:U$39,MATCH(Emissions!$D65,'Activity data'!$D$24:$D$39,0))*INDEX(EF!$H$84:$H$99,MATCH(Emissions!$D65,EF!$D$84:$D$99,0))*INDEX(EF!$H$100:$H$115,MATCH(Emissions!$D65,EF!$D$100:$D$115,0))*INDEX(EF!$H$116:$H$131,MATCH(Emissions!$D65,EF!$D$116:$D$131,0))*kgtoGg</f>
        <v>0.11134182657762272</v>
      </c>
      <c r="V65" s="22">
        <f>INDEX('Activity data'!V$24:V$39,MATCH(Emissions!$D65,'Activity data'!$D$24:$D$39,0))*INDEX(EF!$H$84:$H$99,MATCH(Emissions!$D65,EF!$D$84:$D$99,0))*INDEX(EF!$H$100:$H$115,MATCH(Emissions!$D65,EF!$D$100:$D$115,0))*INDEX(EF!$H$116:$H$131,MATCH(Emissions!$D65,EF!$D$116:$D$131,0))*kgtoGg</f>
        <v>0.33445004341857892</v>
      </c>
      <c r="W65" s="22">
        <f>INDEX('Activity data'!W$24:W$39,MATCH(Emissions!$D65,'Activity data'!$D$24:$D$39,0))*INDEX(EF!$H$84:$H$99,MATCH(Emissions!$D65,EF!$D$84:$D$99,0))*INDEX(EF!$H$100:$H$115,MATCH(Emissions!$D65,EF!$D$100:$D$115,0))*INDEX(EF!$H$116:$H$131,MATCH(Emissions!$D65,EF!$D$116:$D$131,0))*kgtoGg</f>
        <v>0.40970395671079474</v>
      </c>
      <c r="X65" s="22">
        <f>INDEX('Activity data'!X$24:X$39,MATCH(Emissions!$D65,'Activity data'!$D$24:$D$39,0))*INDEX(EF!$H$84:$H$99,MATCH(Emissions!$D65,EF!$D$84:$D$99,0))*INDEX(EF!$H$100:$H$115,MATCH(Emissions!$D65,EF!$D$100:$D$115,0))*INDEX(EF!$H$116:$H$131,MATCH(Emissions!$D65,EF!$D$116:$D$131,0))*kgtoGg</f>
        <v>0.60701992964482765</v>
      </c>
      <c r="Y65" s="22">
        <f>INDEX('Activity data'!Y$24:Y$39,MATCH(Emissions!$D65,'Activity data'!$D$24:$D$39,0))*INDEX(EF!$H$84:$H$99,MATCH(Emissions!$D65,EF!$D$84:$D$99,0))*INDEX(EF!$H$100:$H$115,MATCH(Emissions!$D65,EF!$D$100:$D$115,0))*INDEX(EF!$H$116:$H$131,MATCH(Emissions!$D65,EF!$D$116:$D$131,0))*kgtoGg</f>
        <v>9.2342601642070338E-2</v>
      </c>
      <c r="Z65" s="22">
        <f>INDEX('Activity data'!Z$24:Z$39,MATCH(Emissions!$D65,'Activity data'!$D$24:$D$39,0))*INDEX(EF!$H$84:$H$99,MATCH(Emissions!$D65,EF!$D$84:$D$99,0))*INDEX(EF!$H$100:$H$115,MATCH(Emissions!$D65,EF!$D$100:$D$115,0))*INDEX(EF!$H$116:$H$131,MATCH(Emissions!$D65,EF!$D$116:$D$131,0))*kgtoGg</f>
        <v>0.43199355021060487</v>
      </c>
      <c r="AA65" s="22">
        <f>INDEX('Activity data'!AA$24:AA$39,MATCH(Emissions!$D65,'Activity data'!$D$24:$D$39,0))*INDEX(EF!$H$84:$H$99,MATCH(Emissions!$D65,EF!$D$84:$D$99,0))*INDEX(EF!$H$100:$H$115,MATCH(Emissions!$D65,EF!$D$100:$D$115,0))*INDEX(EF!$H$116:$H$131,MATCH(Emissions!$D65,EF!$D$116:$D$131,0))*kgtoGg</f>
        <v>0.2804243144118963</v>
      </c>
      <c r="AB65" s="22">
        <f>INDEX('Activity data'!AB$24:AB$39,MATCH(Emissions!$D65,'Activity data'!$D$24:$D$39,0))*INDEX(EF!$H$84:$H$99,MATCH(Emissions!$D65,EF!$D$84:$D$99,0))*INDEX(EF!$H$100:$H$115,MATCH(Emissions!$D65,EF!$D$100:$D$115,0))*INDEX(EF!$H$116:$H$131,MATCH(Emissions!$D65,EF!$D$116:$D$131,0))*kgtoGg</f>
        <v>0.37741233600000001</v>
      </c>
      <c r="AC65" s="22">
        <f>INDEX('Activity data'!AC$24:AC$39,MATCH(Emissions!$D65,'Activity data'!$D$24:$D$39,0))*INDEX(EF!$H$84:$H$99,MATCH(Emissions!$D65,EF!$D$84:$D$99,0))*INDEX(EF!$H$100:$H$115,MATCH(Emissions!$D65,EF!$D$100:$D$115,0))*INDEX(EF!$H$116:$H$131,MATCH(Emissions!$D65,EF!$D$116:$D$131,0))*kgtoGg</f>
        <v>0.44425760399999997</v>
      </c>
      <c r="AD65" s="22">
        <f>INDEX('Activity data'!AD$24:AD$39,MATCH(Emissions!$D65,'Activity data'!$D$24:$D$39,0))*INDEX(EF!$H$84:$H$99,MATCH(Emissions!$D65,EF!$D$84:$D$99,0))*INDEX(EF!$H$100:$H$115,MATCH(Emissions!$D65,EF!$D$100:$D$115,0))*INDEX(EF!$H$116:$H$131,MATCH(Emissions!$D65,EF!$D$116:$D$131,0))*kgtoGg</f>
        <v>0.17810281372680267</v>
      </c>
      <c r="AE65" s="22">
        <f>INDEX('Activity data'!AE$24:AE$39,MATCH(Emissions!$D65,'Activity data'!$D$24:$D$39,0))*INDEX(EF!$H$84:$H$99,MATCH(Emissions!$D65,EF!$D$84:$D$99,0))*INDEX(EF!$H$100:$H$115,MATCH(Emissions!$D65,EF!$D$100:$D$115,0))*INDEX(EF!$H$116:$H$131,MATCH(Emissions!$D65,EF!$D$116:$D$131,0))*kgtoGg</f>
        <v>0.17810281372680267</v>
      </c>
      <c r="AF65" s="22">
        <f>INDEX('Activity data'!AF$24:AF$39,MATCH(Emissions!$D65,'Activity data'!$D$24:$D$39,0))*INDEX(EF!$H$84:$H$99,MATCH(Emissions!$D65,EF!$D$84:$D$99,0))*INDEX(EF!$H$100:$H$115,MATCH(Emissions!$D65,EF!$D$100:$D$115,0))*INDEX(EF!$H$116:$H$131,MATCH(Emissions!$D65,EF!$D$116:$D$131,0))*kgtoGg</f>
        <v>0.17810281372680267</v>
      </c>
      <c r="AG65" s="22">
        <f>INDEX('Activity data'!AG$24:AG$39,MATCH(Emissions!$D65,'Activity data'!$D$24:$D$39,0))*INDEX(EF!$H$84:$H$99,MATCH(Emissions!$D65,EF!$D$84:$D$99,0))*INDEX(EF!$H$100:$H$115,MATCH(Emissions!$D65,EF!$D$100:$D$115,0))*INDEX(EF!$H$116:$H$131,MATCH(Emissions!$D65,EF!$D$116:$D$131,0))*kgtoGg</f>
        <v>0.17810281372680267</v>
      </c>
      <c r="AH65" s="22">
        <f>INDEX('Activity data'!AH$24:AH$39,MATCH(Emissions!$D65,'Activity data'!$D$24:$D$39,0))*INDEX(EF!$H$84:$H$99,MATCH(Emissions!$D65,EF!$D$84:$D$99,0))*INDEX(EF!$H$100:$H$115,MATCH(Emissions!$D65,EF!$D$100:$D$115,0))*INDEX(EF!$H$116:$H$131,MATCH(Emissions!$D65,EF!$D$116:$D$131,0))*kgtoGg</f>
        <v>0.17810281372680267</v>
      </c>
      <c r="AI65" s="22">
        <f>INDEX('Activity data'!AI$24:AI$39,MATCH(Emissions!$D65,'Activity data'!$D$24:$D$39,0))*INDEX(EF!$H$84:$H$99,MATCH(Emissions!$D65,EF!$D$84:$D$99,0))*INDEX(EF!$H$100:$H$115,MATCH(Emissions!$D65,EF!$D$100:$D$115,0))*INDEX(EF!$H$116:$H$131,MATCH(Emissions!$D65,EF!$D$116:$D$131,0))*kgtoGg</f>
        <v>0.17810281372680267</v>
      </c>
      <c r="AJ65" s="22">
        <f>INDEX('Activity data'!AJ$24:AJ$39,MATCH(Emissions!$D65,'Activity data'!$D$24:$D$39,0))*INDEX(EF!$H$84:$H$99,MATCH(Emissions!$D65,EF!$D$84:$D$99,0))*INDEX(EF!$H$100:$H$115,MATCH(Emissions!$D65,EF!$D$100:$D$115,0))*INDEX(EF!$H$116:$H$131,MATCH(Emissions!$D65,EF!$D$116:$D$131,0))*kgtoGg</f>
        <v>0.17810281372680267</v>
      </c>
      <c r="AK65" s="22">
        <f>INDEX('Activity data'!AK$24:AK$39,MATCH(Emissions!$D65,'Activity data'!$D$24:$D$39,0))*INDEX(EF!$H$84:$H$99,MATCH(Emissions!$D65,EF!$D$84:$D$99,0))*INDEX(EF!$H$100:$H$115,MATCH(Emissions!$D65,EF!$D$100:$D$115,0))*INDEX(EF!$H$116:$H$131,MATCH(Emissions!$D65,EF!$D$116:$D$131,0))*kgtoGg</f>
        <v>0.17822239719892166</v>
      </c>
      <c r="AL65" s="22">
        <f>INDEX('Activity data'!AL$24:AL$39,MATCH(Emissions!$D65,'Activity data'!$D$24:$D$39,0))*INDEX(EF!$H$84:$H$99,MATCH(Emissions!$D65,EF!$D$84:$D$99,0))*INDEX(EF!$H$100:$H$115,MATCH(Emissions!$D65,EF!$D$100:$D$115,0))*INDEX(EF!$H$116:$H$131,MATCH(Emissions!$D65,EF!$D$116:$D$131,0))*kgtoGg</f>
        <v>0.17834198067104071</v>
      </c>
      <c r="AM65" s="22">
        <f>INDEX('Activity data'!AM$24:AM$39,MATCH(Emissions!$D65,'Activity data'!$D$24:$D$39,0))*INDEX(EF!$H$84:$H$99,MATCH(Emissions!$D65,EF!$D$84:$D$99,0))*INDEX(EF!$H$100:$H$115,MATCH(Emissions!$D65,EF!$D$100:$D$115,0))*INDEX(EF!$H$116:$H$131,MATCH(Emissions!$D65,EF!$D$116:$D$131,0))*kgtoGg</f>
        <v>0.17846156414315972</v>
      </c>
      <c r="AN65" s="22">
        <f>INDEX('Activity data'!AN$24:AN$39,MATCH(Emissions!$D65,'Activity data'!$D$24:$D$39,0))*INDEX(EF!$H$84:$H$99,MATCH(Emissions!$D65,EF!$D$84:$D$99,0))*INDEX(EF!$H$100:$H$115,MATCH(Emissions!$D65,EF!$D$100:$D$115,0))*INDEX(EF!$H$116:$H$131,MATCH(Emissions!$D65,EF!$D$116:$D$131,0))*kgtoGg</f>
        <v>0.17858114761527871</v>
      </c>
      <c r="AO65" s="22">
        <f>INDEX('Activity data'!AO$24:AO$39,MATCH(Emissions!$D65,'Activity data'!$D$24:$D$39,0))*INDEX(EF!$H$84:$H$99,MATCH(Emissions!$D65,EF!$D$84:$D$99,0))*INDEX(EF!$H$100:$H$115,MATCH(Emissions!$D65,EF!$D$100:$D$115,0))*INDEX(EF!$H$116:$H$131,MATCH(Emissions!$D65,EF!$D$116:$D$131,0))*kgtoGg</f>
        <v>0.17870073108739776</v>
      </c>
      <c r="AP65" s="22">
        <f>INDEX('Activity data'!AP$24:AP$39,MATCH(Emissions!$D65,'Activity data'!$D$24:$D$39,0))*INDEX(EF!$H$84:$H$99,MATCH(Emissions!$D65,EF!$D$84:$D$99,0))*INDEX(EF!$H$100:$H$115,MATCH(Emissions!$D65,EF!$D$100:$D$115,0))*INDEX(EF!$H$116:$H$131,MATCH(Emissions!$D65,EF!$D$116:$D$131,0))*kgtoGg</f>
        <v>0.17882031455951672</v>
      </c>
      <c r="AQ65" s="22">
        <f>INDEX('Activity data'!AQ$24:AQ$39,MATCH(Emissions!$D65,'Activity data'!$D$24:$D$39,0))*INDEX(EF!$H$84:$H$99,MATCH(Emissions!$D65,EF!$D$84:$D$99,0))*INDEX(EF!$H$100:$H$115,MATCH(Emissions!$D65,EF!$D$100:$D$115,0))*INDEX(EF!$H$116:$H$131,MATCH(Emissions!$D65,EF!$D$116:$D$131,0))*kgtoGg</f>
        <v>0.17893989803163574</v>
      </c>
      <c r="AR65" s="22">
        <f>INDEX('Activity data'!AR$24:AR$39,MATCH(Emissions!$D65,'Activity data'!$D$24:$D$39,0))*INDEX(EF!$H$84:$H$99,MATCH(Emissions!$D65,EF!$D$84:$D$99,0))*INDEX(EF!$H$100:$H$115,MATCH(Emissions!$D65,EF!$D$100:$D$115,0))*INDEX(EF!$H$116:$H$131,MATCH(Emissions!$D65,EF!$D$116:$D$131,0))*kgtoGg</f>
        <v>0.17905948150375472</v>
      </c>
      <c r="AS65" s="22">
        <f>INDEX('Activity data'!AS$24:AS$39,MATCH(Emissions!$D65,'Activity data'!$D$24:$D$39,0))*INDEX(EF!$H$84:$H$99,MATCH(Emissions!$D65,EF!$D$84:$D$99,0))*INDEX(EF!$H$100:$H$115,MATCH(Emissions!$D65,EF!$D$100:$D$115,0))*INDEX(EF!$H$116:$H$131,MATCH(Emissions!$D65,EF!$D$116:$D$131,0))*kgtoGg</f>
        <v>0.17917906497587377</v>
      </c>
      <c r="AT65" s="22">
        <f>INDEX('Activity data'!AT$24:AT$39,MATCH(Emissions!$D65,'Activity data'!$D$24:$D$39,0))*INDEX(EF!$H$84:$H$99,MATCH(Emissions!$D65,EF!$D$84:$D$99,0))*INDEX(EF!$H$100:$H$115,MATCH(Emissions!$D65,EF!$D$100:$D$115,0))*INDEX(EF!$H$116:$H$131,MATCH(Emissions!$D65,EF!$D$116:$D$131,0))*kgtoGg</f>
        <v>0.17929864844799276</v>
      </c>
      <c r="AU65" s="22">
        <f>INDEX('Activity data'!AU$24:AU$39,MATCH(Emissions!$D65,'Activity data'!$D$24:$D$39,0))*INDEX(EF!$H$84:$H$99,MATCH(Emissions!$D65,EF!$D$84:$D$99,0))*INDEX(EF!$H$100:$H$115,MATCH(Emissions!$D65,EF!$D$100:$D$115,0))*INDEX(EF!$H$116:$H$131,MATCH(Emissions!$D65,EF!$D$116:$D$131,0))*kgtoGg</f>
        <v>0.17941823192011178</v>
      </c>
      <c r="AV65" s="22">
        <f>INDEX('Activity data'!AV$24:AV$39,MATCH(Emissions!$D65,'Activity data'!$D$24:$D$39,0))*INDEX(EF!$H$84:$H$99,MATCH(Emissions!$D65,EF!$D$84:$D$99,0))*INDEX(EF!$H$100:$H$115,MATCH(Emissions!$D65,EF!$D$100:$D$115,0))*INDEX(EF!$H$116:$H$131,MATCH(Emissions!$D65,EF!$D$116:$D$131,0))*kgtoGg</f>
        <v>0.17953781539223077</v>
      </c>
      <c r="AW65" s="22">
        <f>INDEX('Activity data'!AW$24:AW$39,MATCH(Emissions!$D65,'Activity data'!$D$24:$D$39,0))*INDEX(EF!$H$84:$H$99,MATCH(Emissions!$D65,EF!$D$84:$D$99,0))*INDEX(EF!$H$100:$H$115,MATCH(Emissions!$D65,EF!$D$100:$D$115,0))*INDEX(EF!$H$116:$H$131,MATCH(Emissions!$D65,EF!$D$116:$D$131,0))*kgtoGg</f>
        <v>0.17965739886434978</v>
      </c>
      <c r="AX65" s="22">
        <f>INDEX('Activity data'!AX$24:AX$39,MATCH(Emissions!$D65,'Activity data'!$D$24:$D$39,0))*INDEX(EF!$H$84:$H$99,MATCH(Emissions!$D65,EF!$D$84:$D$99,0))*INDEX(EF!$H$100:$H$115,MATCH(Emissions!$D65,EF!$D$100:$D$115,0))*INDEX(EF!$H$116:$H$131,MATCH(Emissions!$D65,EF!$D$116:$D$131,0))*kgtoGg</f>
        <v>0.17977698233646877</v>
      </c>
      <c r="AY65" s="22">
        <f>INDEX('Activity data'!AY$24:AY$39,MATCH(Emissions!$D65,'Activity data'!$D$24:$D$39,0))*INDEX(EF!$H$84:$H$99,MATCH(Emissions!$D65,EF!$D$84:$D$99,0))*INDEX(EF!$H$100:$H$115,MATCH(Emissions!$D65,EF!$D$100:$D$115,0))*INDEX(EF!$H$116:$H$131,MATCH(Emissions!$D65,EF!$D$116:$D$131,0))*kgtoGg</f>
        <v>0.17989656580858782</v>
      </c>
      <c r="AZ65" s="22">
        <f>INDEX('Activity data'!AZ$24:AZ$39,MATCH(Emissions!$D65,'Activity data'!$D$24:$D$39,0))*INDEX(EF!$H$84:$H$99,MATCH(Emissions!$D65,EF!$D$84:$D$99,0))*INDEX(EF!$H$100:$H$115,MATCH(Emissions!$D65,EF!$D$100:$D$115,0))*INDEX(EF!$H$116:$H$131,MATCH(Emissions!$D65,EF!$D$116:$D$131,0))*kgtoGg</f>
        <v>0.18001614928070683</v>
      </c>
      <c r="BA65" s="22">
        <f>INDEX('Activity data'!BA$24:BA$39,MATCH(Emissions!$D65,'Activity data'!$D$24:$D$39,0))*INDEX(EF!$H$84:$H$99,MATCH(Emissions!$D65,EF!$D$84:$D$99,0))*INDEX(EF!$H$100:$H$115,MATCH(Emissions!$D65,EF!$D$100:$D$115,0))*INDEX(EF!$H$116:$H$131,MATCH(Emissions!$D65,EF!$D$116:$D$131,0))*kgtoGg</f>
        <v>0.18013573275282582</v>
      </c>
      <c r="BB65" s="22">
        <f>INDEX('Activity data'!BB$24:BB$39,MATCH(Emissions!$D65,'Activity data'!$D$24:$D$39,0))*INDEX(EF!$H$84:$H$99,MATCH(Emissions!$D65,EF!$D$84:$D$99,0))*INDEX(EF!$H$100:$H$115,MATCH(Emissions!$D65,EF!$D$100:$D$115,0))*INDEX(EF!$H$116:$H$131,MATCH(Emissions!$D65,EF!$D$116:$D$131,0))*kgtoGg</f>
        <v>0.18025531622494487</v>
      </c>
      <c r="BC65" s="22">
        <f>INDEX('Activity data'!BC$24:BC$39,MATCH(Emissions!$D65,'Activity data'!$D$24:$D$39,0))*INDEX(EF!$H$84:$H$99,MATCH(Emissions!$D65,EF!$D$84:$D$99,0))*INDEX(EF!$H$100:$H$115,MATCH(Emissions!$D65,EF!$D$100:$D$115,0))*INDEX(EF!$H$116:$H$131,MATCH(Emissions!$D65,EF!$D$116:$D$131,0))*kgtoGg</f>
        <v>0.18037489969706383</v>
      </c>
      <c r="BD65" s="22">
        <f>INDEX('Activity data'!BD$24:BD$39,MATCH(Emissions!$D65,'Activity data'!$D$24:$D$39,0))*INDEX(EF!$H$84:$H$99,MATCH(Emissions!$D65,EF!$D$84:$D$99,0))*INDEX(EF!$H$100:$H$115,MATCH(Emissions!$D65,EF!$D$100:$D$115,0))*INDEX(EF!$H$116:$H$131,MATCH(Emissions!$D65,EF!$D$116:$D$131,0))*kgtoGg</f>
        <v>0.18049448316918285</v>
      </c>
      <c r="BE65" s="22">
        <f>INDEX('Activity data'!BE$24:BE$39,MATCH(Emissions!$D65,'Activity data'!$D$24:$D$39,0))*INDEX(EF!$H$84:$H$99,MATCH(Emissions!$D65,EF!$D$84:$D$99,0))*INDEX(EF!$H$100:$H$115,MATCH(Emissions!$D65,EF!$D$100:$D$115,0))*INDEX(EF!$H$116:$H$131,MATCH(Emissions!$D65,EF!$D$116:$D$131,0))*kgtoGg</f>
        <v>0.18061406664130183</v>
      </c>
      <c r="BF65" s="22">
        <f>INDEX('Activity data'!BF$24:BF$39,MATCH(Emissions!$D65,'Activity data'!$D$24:$D$39,0))*INDEX(EF!$H$84:$H$99,MATCH(Emissions!$D65,EF!$D$84:$D$99,0))*INDEX(EF!$H$100:$H$115,MATCH(Emissions!$D65,EF!$D$100:$D$115,0))*INDEX(EF!$H$116:$H$131,MATCH(Emissions!$D65,EF!$D$116:$D$131,0))*kgtoGg</f>
        <v>0.18073365011342085</v>
      </c>
      <c r="BG65" s="22">
        <f>INDEX('Activity data'!BG$24:BG$39,MATCH(Emissions!$D65,'Activity data'!$D$24:$D$39,0))*INDEX(EF!$H$84:$H$99,MATCH(Emissions!$D65,EF!$D$84:$D$99,0))*INDEX(EF!$H$100:$H$115,MATCH(Emissions!$D65,EF!$D$100:$D$115,0))*INDEX(EF!$H$116:$H$131,MATCH(Emissions!$D65,EF!$D$116:$D$131,0))*kgtoGg</f>
        <v>0.18085323358553987</v>
      </c>
      <c r="BH65" s="22">
        <f>INDEX('Activity data'!BH$24:BH$39,MATCH(Emissions!$D65,'Activity data'!$D$24:$D$39,0))*INDEX(EF!$H$84:$H$99,MATCH(Emissions!$D65,EF!$D$84:$D$99,0))*INDEX(EF!$H$100:$H$115,MATCH(Emissions!$D65,EF!$D$100:$D$115,0))*INDEX(EF!$H$116:$H$131,MATCH(Emissions!$D65,EF!$D$116:$D$131,0))*kgtoGg</f>
        <v>0.18097281705765889</v>
      </c>
      <c r="BI65" s="22">
        <f>INDEX('Activity data'!BI$24:BI$39,MATCH(Emissions!$D65,'Activity data'!$D$24:$D$39,0))*INDEX(EF!$H$84:$H$99,MATCH(Emissions!$D65,EF!$D$84:$D$99,0))*INDEX(EF!$H$100:$H$115,MATCH(Emissions!$D65,EF!$D$100:$D$115,0))*INDEX(EF!$H$116:$H$131,MATCH(Emissions!$D65,EF!$D$116:$D$131,0))*kgtoGg</f>
        <v>0.18109240052977785</v>
      </c>
      <c r="BJ65" s="22">
        <f>INDEX('Activity data'!BJ$24:BJ$39,MATCH(Emissions!$D65,'Activity data'!$D$24:$D$39,0))*INDEX(EF!$H$84:$H$99,MATCH(Emissions!$D65,EF!$D$84:$D$99,0))*INDEX(EF!$H$100:$H$115,MATCH(Emissions!$D65,EF!$D$100:$D$115,0))*INDEX(EF!$H$116:$H$131,MATCH(Emissions!$D65,EF!$D$116:$D$131,0))*kgtoGg</f>
        <v>0.18121198400189689</v>
      </c>
      <c r="BK65" s="22">
        <f>INDEX('Activity data'!BK$24:BK$39,MATCH(Emissions!$D65,'Activity data'!$D$24:$D$39,0))*INDEX(EF!$H$84:$H$99,MATCH(Emissions!$D65,EF!$D$84:$D$99,0))*INDEX(EF!$H$100:$H$115,MATCH(Emissions!$D65,EF!$D$100:$D$115,0))*INDEX(EF!$H$116:$H$131,MATCH(Emissions!$D65,EF!$D$116:$D$131,0))*kgtoGg</f>
        <v>0.18133156747401588</v>
      </c>
      <c r="BL65" s="22">
        <f>INDEX('Activity data'!BL$24:BL$39,MATCH(Emissions!$D65,'Activity data'!$D$24:$D$39,0))*INDEX(EF!$H$84:$H$99,MATCH(Emissions!$D65,EF!$D$84:$D$99,0))*INDEX(EF!$H$100:$H$115,MATCH(Emissions!$D65,EF!$D$100:$D$115,0))*INDEX(EF!$H$116:$H$131,MATCH(Emissions!$D65,EF!$D$116:$D$131,0))*kgtoGg</f>
        <v>0.1814511509461349</v>
      </c>
      <c r="BM65" s="22">
        <f>INDEX('Activity data'!BM$24:BM$39,MATCH(Emissions!$D65,'Activity data'!$D$24:$D$39,0))*INDEX(EF!$H$84:$H$99,MATCH(Emissions!$D65,EF!$D$84:$D$99,0))*INDEX(EF!$H$100:$H$115,MATCH(Emissions!$D65,EF!$D$100:$D$115,0))*INDEX(EF!$H$116:$H$131,MATCH(Emissions!$D65,EF!$D$116:$D$131,0))*kgtoGg</f>
        <v>0.18157073441825389</v>
      </c>
      <c r="BN65" s="22">
        <f>INDEX('Activity data'!BN$24:BN$39,MATCH(Emissions!$D65,'Activity data'!$D$24:$D$39,0))*INDEX(EF!$H$84:$H$99,MATCH(Emissions!$D65,EF!$D$84:$D$99,0))*INDEX(EF!$H$100:$H$115,MATCH(Emissions!$D65,EF!$D$100:$D$115,0))*INDEX(EF!$H$116:$H$131,MATCH(Emissions!$D65,EF!$D$116:$D$131,0))*kgtoGg</f>
        <v>0.18169031789037293</v>
      </c>
      <c r="BO65" s="22">
        <f>INDEX('Activity data'!BO$24:BO$39,MATCH(Emissions!$D65,'Activity data'!$D$24:$D$39,0))*INDEX(EF!$H$84:$H$99,MATCH(Emissions!$D65,EF!$D$84:$D$99,0))*INDEX(EF!$H$100:$H$115,MATCH(Emissions!$D65,EF!$D$100:$D$115,0))*INDEX(EF!$H$116:$H$131,MATCH(Emissions!$D65,EF!$D$116:$D$131,0))*kgtoGg</f>
        <v>0.18180990136249192</v>
      </c>
      <c r="BP65" s="22">
        <f>INDEX('Activity data'!BP$24:BP$39,MATCH(Emissions!$D65,'Activity data'!$D$24:$D$39,0))*INDEX(EF!$H$84:$H$99,MATCH(Emissions!$D65,EF!$D$84:$D$99,0))*INDEX(EF!$H$100:$H$115,MATCH(Emissions!$D65,EF!$D$100:$D$115,0))*INDEX(EF!$H$116:$H$131,MATCH(Emissions!$D65,EF!$D$116:$D$131,0))*kgtoGg</f>
        <v>0.18192948483461091</v>
      </c>
    </row>
    <row r="66" spans="1:68" x14ac:dyDescent="0.25">
      <c r="A66" t="str">
        <f t="shared" si="19"/>
        <v>3C Aggregated and non-CO2 emissions on land</v>
      </c>
      <c r="B66" t="str">
        <f t="shared" si="20"/>
        <v>3C1 Biomass burning (CH4)</v>
      </c>
      <c r="C66" t="str">
        <f>'IPCC Categories'!C62</f>
        <v>3C1d Biomass burning in Wetlands</v>
      </c>
      <c r="D66" t="str">
        <f>EF!D96</f>
        <v>Wetlands</v>
      </c>
      <c r="E66" t="s">
        <v>658</v>
      </c>
      <c r="F66" t="str">
        <f t="shared" ref="F66:F69" si="23">F65</f>
        <v>CH4</v>
      </c>
      <c r="G66" t="str">
        <f t="shared" ref="G66:G69" si="24">G65</f>
        <v>Gg CH4</v>
      </c>
      <c r="H66" s="22">
        <f>INDEX('Activity data'!H$24:H$39,MATCH(Emissions!$D66,'Activity data'!$D$24:$D$39,0))*INDEX(EF!$H$84:$H$99,MATCH(Emissions!$D66,EF!$D$84:$D$99,0))*INDEX(EF!$H$100:$H$115,MATCH(Emissions!$D66,EF!$D$100:$D$115,0))*INDEX(EF!$H$116:$H$131,MATCH(Emissions!$D66,EF!$D$116:$D$131,0))*kgtoGg</f>
        <v>0.80577517347341965</v>
      </c>
      <c r="I66" s="22">
        <f>INDEX('Activity data'!I$24:I$39,MATCH(Emissions!$D66,'Activity data'!$D$24:$D$39,0))*INDEX(EF!$H$84:$H$99,MATCH(Emissions!$D66,EF!$D$84:$D$99,0))*INDEX(EF!$H$100:$H$115,MATCH(Emissions!$D66,EF!$D$100:$D$115,0))*INDEX(EF!$H$116:$H$131,MATCH(Emissions!$D66,EF!$D$116:$D$131,0))*kgtoGg</f>
        <v>0.80577517347341965</v>
      </c>
      <c r="J66" s="22">
        <f>INDEX('Activity data'!J$24:J$39,MATCH(Emissions!$D66,'Activity data'!$D$24:$D$39,0))*INDEX(EF!$H$84:$H$99,MATCH(Emissions!$D66,EF!$D$84:$D$99,0))*INDEX(EF!$H$100:$H$115,MATCH(Emissions!$D66,EF!$D$100:$D$115,0))*INDEX(EF!$H$116:$H$131,MATCH(Emissions!$D66,EF!$D$116:$D$131,0))*kgtoGg</f>
        <v>0.80577517347341965</v>
      </c>
      <c r="K66" s="22">
        <f>INDEX('Activity data'!K$24:K$39,MATCH(Emissions!$D66,'Activity data'!$D$24:$D$39,0))*INDEX(EF!$H$84:$H$99,MATCH(Emissions!$D66,EF!$D$84:$D$99,0))*INDEX(EF!$H$100:$H$115,MATCH(Emissions!$D66,EF!$D$100:$D$115,0))*INDEX(EF!$H$116:$H$131,MATCH(Emissions!$D66,EF!$D$116:$D$131,0))*kgtoGg</f>
        <v>0.80577517347341965</v>
      </c>
      <c r="L66" s="22">
        <f>INDEX('Activity data'!L$24:L$39,MATCH(Emissions!$D66,'Activity data'!$D$24:$D$39,0))*INDEX(EF!$H$84:$H$99,MATCH(Emissions!$D66,EF!$D$84:$D$99,0))*INDEX(EF!$H$100:$H$115,MATCH(Emissions!$D66,EF!$D$100:$D$115,0))*INDEX(EF!$H$116:$H$131,MATCH(Emissions!$D66,EF!$D$116:$D$131,0))*kgtoGg</f>
        <v>0.80577517347341965</v>
      </c>
      <c r="M66" s="22">
        <f>INDEX('Activity data'!M$24:M$39,MATCH(Emissions!$D66,'Activity data'!$D$24:$D$39,0))*INDEX(EF!$H$84:$H$99,MATCH(Emissions!$D66,EF!$D$84:$D$99,0))*INDEX(EF!$H$100:$H$115,MATCH(Emissions!$D66,EF!$D$100:$D$115,0))*INDEX(EF!$H$116:$H$131,MATCH(Emissions!$D66,EF!$D$116:$D$131,0))*kgtoGg</f>
        <v>0.80577517347341965</v>
      </c>
      <c r="N66" s="22">
        <f>INDEX('Activity data'!N$24:N$39,MATCH(Emissions!$D66,'Activity data'!$D$24:$D$39,0))*INDEX(EF!$H$84:$H$99,MATCH(Emissions!$D66,EF!$D$84:$D$99,0))*INDEX(EF!$H$100:$H$115,MATCH(Emissions!$D66,EF!$D$100:$D$115,0))*INDEX(EF!$H$116:$H$131,MATCH(Emissions!$D66,EF!$D$116:$D$131,0))*kgtoGg</f>
        <v>0.80577517347341965</v>
      </c>
      <c r="O66" s="22">
        <f>INDEX('Activity data'!O$24:O$39,MATCH(Emissions!$D66,'Activity data'!$D$24:$D$39,0))*INDEX(EF!$H$84:$H$99,MATCH(Emissions!$D66,EF!$D$84:$D$99,0))*INDEX(EF!$H$100:$H$115,MATCH(Emissions!$D66,EF!$D$100:$D$115,0))*INDEX(EF!$H$116:$H$131,MATCH(Emissions!$D66,EF!$D$116:$D$131,0))*kgtoGg</f>
        <v>0.80577517347341965</v>
      </c>
      <c r="P66" s="22">
        <f>INDEX('Activity data'!P$24:P$39,MATCH(Emissions!$D66,'Activity data'!$D$24:$D$39,0))*INDEX(EF!$H$84:$H$99,MATCH(Emissions!$D66,EF!$D$84:$D$99,0))*INDEX(EF!$H$100:$H$115,MATCH(Emissions!$D66,EF!$D$100:$D$115,0))*INDEX(EF!$H$116:$H$131,MATCH(Emissions!$D66,EF!$D$116:$D$131,0))*kgtoGg</f>
        <v>0.80577517347341965</v>
      </c>
      <c r="Q66" s="22">
        <f>INDEX('Activity data'!Q$24:Q$39,MATCH(Emissions!$D66,'Activity data'!$D$24:$D$39,0))*INDEX(EF!$H$84:$H$99,MATCH(Emissions!$D66,EF!$D$84:$D$99,0))*INDEX(EF!$H$100:$H$115,MATCH(Emissions!$D66,EF!$D$100:$D$115,0))*INDEX(EF!$H$116:$H$131,MATCH(Emissions!$D66,EF!$D$116:$D$131,0))*kgtoGg</f>
        <v>0.80577517347341965</v>
      </c>
      <c r="R66" s="22">
        <f>INDEX('Activity data'!R$24:R$39,MATCH(Emissions!$D66,'Activity data'!$D$24:$D$39,0))*INDEX(EF!$H$84:$H$99,MATCH(Emissions!$D66,EF!$D$84:$D$99,0))*INDEX(EF!$H$100:$H$115,MATCH(Emissions!$D66,EF!$D$100:$D$115,0))*INDEX(EF!$H$116:$H$131,MATCH(Emissions!$D66,EF!$D$116:$D$131,0))*kgtoGg</f>
        <v>0.71282120012392636</v>
      </c>
      <c r="S66" s="22">
        <f>INDEX('Activity data'!S$24:S$39,MATCH(Emissions!$D66,'Activity data'!$D$24:$D$39,0))*INDEX(EF!$H$84:$H$99,MATCH(Emissions!$D66,EF!$D$84:$D$99,0))*INDEX(EF!$H$100:$H$115,MATCH(Emissions!$D66,EF!$D$100:$D$115,0))*INDEX(EF!$H$116:$H$131,MATCH(Emissions!$D66,EF!$D$116:$D$131,0))*kgtoGg</f>
        <v>0.86099923348302065</v>
      </c>
      <c r="T66" s="22">
        <f>INDEX('Activity data'!T$24:T$39,MATCH(Emissions!$D66,'Activity data'!$D$24:$D$39,0))*INDEX(EF!$H$84:$H$99,MATCH(Emissions!$D66,EF!$D$84:$D$99,0))*INDEX(EF!$H$100:$H$115,MATCH(Emissions!$D66,EF!$D$100:$D$115,0))*INDEX(EF!$H$116:$H$131,MATCH(Emissions!$D66,EF!$D$116:$D$131,0))*kgtoGg</f>
        <v>0.97458063350276725</v>
      </c>
      <c r="U66" s="22">
        <f>INDEX('Activity data'!U$24:U$39,MATCH(Emissions!$D66,'Activity data'!$D$24:$D$39,0))*INDEX(EF!$H$84:$H$99,MATCH(Emissions!$D66,EF!$D$84:$D$99,0))*INDEX(EF!$H$100:$H$115,MATCH(Emissions!$D66,EF!$D$100:$D$115,0))*INDEX(EF!$H$116:$H$131,MATCH(Emissions!$D66,EF!$D$116:$D$131,0))*kgtoGg</f>
        <v>0.79724568902749249</v>
      </c>
      <c r="V66" s="22">
        <f>INDEX('Activity data'!V$24:V$39,MATCH(Emissions!$D66,'Activity data'!$D$24:$D$39,0))*INDEX(EF!$H$84:$H$99,MATCH(Emissions!$D66,EF!$D$84:$D$99,0))*INDEX(EF!$H$100:$H$115,MATCH(Emissions!$D66,EF!$D$100:$D$115,0))*INDEX(EF!$H$116:$H$131,MATCH(Emissions!$D66,EF!$D$116:$D$131,0))*kgtoGg</f>
        <v>0.68322911122989261</v>
      </c>
      <c r="W66" s="22">
        <f>INDEX('Activity data'!W$24:W$39,MATCH(Emissions!$D66,'Activity data'!$D$24:$D$39,0))*INDEX(EF!$H$84:$H$99,MATCH(Emissions!$D66,EF!$D$84:$D$99,0))*INDEX(EF!$H$100:$H$115,MATCH(Emissions!$D66,EF!$D$100:$D$115,0))*INDEX(EF!$H$116:$H$131,MATCH(Emissions!$D66,EF!$D$116:$D$131,0))*kgtoGg</f>
        <v>1.0109179779535291</v>
      </c>
      <c r="X66" s="22">
        <f>INDEX('Activity data'!X$24:X$39,MATCH(Emissions!$D66,'Activity data'!$D$24:$D$39,0))*INDEX(EF!$H$84:$H$99,MATCH(Emissions!$D66,EF!$D$84:$D$99,0))*INDEX(EF!$H$100:$H$115,MATCH(Emissions!$D66,EF!$D$100:$D$115,0))*INDEX(EF!$H$116:$H$131,MATCH(Emissions!$D66,EF!$D$116:$D$131,0))*kgtoGg</f>
        <v>0.89733657793378252</v>
      </c>
      <c r="Y66" s="22">
        <f>INDEX('Activity data'!Y$24:Y$39,MATCH(Emissions!$D66,'Activity data'!$D$24:$D$39,0))*INDEX(EF!$H$84:$H$99,MATCH(Emissions!$D66,EF!$D$84:$D$99,0))*INDEX(EF!$H$100:$H$115,MATCH(Emissions!$D66,EF!$D$100:$D$115,0))*INDEX(EF!$H$116:$H$131,MATCH(Emissions!$D66,EF!$D$116:$D$131,0))*kgtoGg</f>
        <v>0.79050043347076437</v>
      </c>
      <c r="Z66" s="22">
        <f>INDEX('Activity data'!Z$24:Z$39,MATCH(Emissions!$D66,'Activity data'!$D$24:$D$39,0))*INDEX(EF!$H$84:$H$99,MATCH(Emissions!$D66,EF!$D$84:$D$99,0))*INDEX(EF!$H$100:$H$115,MATCH(Emissions!$D66,EF!$D$100:$D$115,0))*INDEX(EF!$H$116:$H$131,MATCH(Emissions!$D66,EF!$D$116:$D$131,0))*kgtoGg</f>
        <v>0.72087198901421468</v>
      </c>
      <c r="AA66" s="22">
        <f>INDEX('Activity data'!AA$24:AA$39,MATCH(Emissions!$D66,'Activity data'!$D$24:$D$39,0))*INDEX(EF!$H$84:$H$99,MATCH(Emissions!$D66,EF!$D$84:$D$99,0))*INDEX(EF!$H$100:$H$115,MATCH(Emissions!$D66,EF!$D$100:$D$115,0))*INDEX(EF!$H$116:$H$131,MATCH(Emissions!$D66,EF!$D$116:$D$131,0))*kgtoGg</f>
        <v>0.80964825569631549</v>
      </c>
      <c r="AB66" s="22">
        <f>INDEX('Activity data'!AB$24:AB$39,MATCH(Emissions!$D66,'Activity data'!$D$24:$D$39,0))*INDEX(EF!$H$84:$H$99,MATCH(Emissions!$D66,EF!$D$84:$D$99,0))*INDEX(EF!$H$100:$H$115,MATCH(Emissions!$D66,EF!$D$100:$D$115,0))*INDEX(EF!$H$116:$H$131,MATCH(Emissions!$D66,EF!$D$116:$D$131,0))*kgtoGg</f>
        <v>1.0836294956999997</v>
      </c>
      <c r="AC66" s="22">
        <f>INDEX('Activity data'!AC$24:AC$39,MATCH(Emissions!$D66,'Activity data'!$D$24:$D$39,0))*INDEX(EF!$H$84:$H$99,MATCH(Emissions!$D66,EF!$D$84:$D$99,0))*INDEX(EF!$H$100:$H$115,MATCH(Emissions!$D66,EF!$D$100:$D$115,0))*INDEX(EF!$H$116:$H$131,MATCH(Emissions!$D66,EF!$D$116:$D$131,0))*kgtoGg</f>
        <v>1.1703623921999995</v>
      </c>
      <c r="AD66" s="22">
        <f>INDEX('Activity data'!AD$24:AD$39,MATCH(Emissions!$D66,'Activity data'!$D$24:$D$39,0))*INDEX(EF!$H$84:$H$99,MATCH(Emissions!$D66,EF!$D$84:$D$99,0))*INDEX(EF!$H$100:$H$115,MATCH(Emissions!$D66,EF!$D$100:$D$115,0))*INDEX(EF!$H$116:$H$131,MATCH(Emissions!$D66,EF!$D$116:$D$131,0))*kgtoGg</f>
        <v>0.86319492850198365</v>
      </c>
      <c r="AE66" s="22">
        <f>INDEX('Activity data'!AE$24:AE$39,MATCH(Emissions!$D66,'Activity data'!$D$24:$D$39,0))*INDEX(EF!$H$84:$H$99,MATCH(Emissions!$D66,EF!$D$84:$D$99,0))*INDEX(EF!$H$100:$H$115,MATCH(Emissions!$D66,EF!$D$100:$D$115,0))*INDEX(EF!$H$116:$H$131,MATCH(Emissions!$D66,EF!$D$116:$D$131,0))*kgtoGg</f>
        <v>0.86319492850198365</v>
      </c>
      <c r="AF66" s="22">
        <f>INDEX('Activity data'!AF$24:AF$39,MATCH(Emissions!$D66,'Activity data'!$D$24:$D$39,0))*INDEX(EF!$H$84:$H$99,MATCH(Emissions!$D66,EF!$D$84:$D$99,0))*INDEX(EF!$H$100:$H$115,MATCH(Emissions!$D66,EF!$D$100:$D$115,0))*INDEX(EF!$H$116:$H$131,MATCH(Emissions!$D66,EF!$D$116:$D$131,0))*kgtoGg</f>
        <v>0.86319492850198365</v>
      </c>
      <c r="AG66" s="22">
        <f>INDEX('Activity data'!AG$24:AG$39,MATCH(Emissions!$D66,'Activity data'!$D$24:$D$39,0))*INDEX(EF!$H$84:$H$99,MATCH(Emissions!$D66,EF!$D$84:$D$99,0))*INDEX(EF!$H$100:$H$115,MATCH(Emissions!$D66,EF!$D$100:$D$115,0))*INDEX(EF!$H$116:$H$131,MATCH(Emissions!$D66,EF!$D$116:$D$131,0))*kgtoGg</f>
        <v>0.86319492850198365</v>
      </c>
      <c r="AH66" s="22">
        <f>INDEX('Activity data'!AH$24:AH$39,MATCH(Emissions!$D66,'Activity data'!$D$24:$D$39,0))*INDEX(EF!$H$84:$H$99,MATCH(Emissions!$D66,EF!$D$84:$D$99,0))*INDEX(EF!$H$100:$H$115,MATCH(Emissions!$D66,EF!$D$100:$D$115,0))*INDEX(EF!$H$116:$H$131,MATCH(Emissions!$D66,EF!$D$116:$D$131,0))*kgtoGg</f>
        <v>0.86319492850198365</v>
      </c>
      <c r="AI66" s="22">
        <f>INDEX('Activity data'!AI$24:AI$39,MATCH(Emissions!$D66,'Activity data'!$D$24:$D$39,0))*INDEX(EF!$H$84:$H$99,MATCH(Emissions!$D66,EF!$D$84:$D$99,0))*INDEX(EF!$H$100:$H$115,MATCH(Emissions!$D66,EF!$D$100:$D$115,0))*INDEX(EF!$H$116:$H$131,MATCH(Emissions!$D66,EF!$D$116:$D$131,0))*kgtoGg</f>
        <v>0.86319492850198365</v>
      </c>
      <c r="AJ66" s="22">
        <f>INDEX('Activity data'!AJ$24:AJ$39,MATCH(Emissions!$D66,'Activity data'!$D$24:$D$39,0))*INDEX(EF!$H$84:$H$99,MATCH(Emissions!$D66,EF!$D$84:$D$99,0))*INDEX(EF!$H$100:$H$115,MATCH(Emissions!$D66,EF!$D$100:$D$115,0))*INDEX(EF!$H$116:$H$131,MATCH(Emissions!$D66,EF!$D$116:$D$131,0))*kgtoGg</f>
        <v>0.86319492850198365</v>
      </c>
      <c r="AK66" s="22">
        <f>INDEX('Activity data'!AK$24:AK$39,MATCH(Emissions!$D66,'Activity data'!$D$24:$D$39,0))*INDEX(EF!$H$84:$H$99,MATCH(Emissions!$D66,EF!$D$84:$D$99,0))*INDEX(EF!$H$100:$H$115,MATCH(Emissions!$D66,EF!$D$100:$D$115,0))*INDEX(EF!$H$116:$H$131,MATCH(Emissions!$D66,EF!$D$116:$D$131,0))*kgtoGg</f>
        <v>0.86319492850198365</v>
      </c>
      <c r="AL66" s="22">
        <f>INDEX('Activity data'!AL$24:AL$39,MATCH(Emissions!$D66,'Activity data'!$D$24:$D$39,0))*INDEX(EF!$H$84:$H$99,MATCH(Emissions!$D66,EF!$D$84:$D$99,0))*INDEX(EF!$H$100:$H$115,MATCH(Emissions!$D66,EF!$D$100:$D$115,0))*INDEX(EF!$H$116:$H$131,MATCH(Emissions!$D66,EF!$D$116:$D$131,0))*kgtoGg</f>
        <v>0.86319492850198365</v>
      </c>
      <c r="AM66" s="22">
        <f>INDEX('Activity data'!AM$24:AM$39,MATCH(Emissions!$D66,'Activity data'!$D$24:$D$39,0))*INDEX(EF!$H$84:$H$99,MATCH(Emissions!$D66,EF!$D$84:$D$99,0))*INDEX(EF!$H$100:$H$115,MATCH(Emissions!$D66,EF!$D$100:$D$115,0))*INDEX(EF!$H$116:$H$131,MATCH(Emissions!$D66,EF!$D$116:$D$131,0))*kgtoGg</f>
        <v>0.86319492850198365</v>
      </c>
      <c r="AN66" s="22">
        <f>INDEX('Activity data'!AN$24:AN$39,MATCH(Emissions!$D66,'Activity data'!$D$24:$D$39,0))*INDEX(EF!$H$84:$H$99,MATCH(Emissions!$D66,EF!$D$84:$D$99,0))*INDEX(EF!$H$100:$H$115,MATCH(Emissions!$D66,EF!$D$100:$D$115,0))*INDEX(EF!$H$116:$H$131,MATCH(Emissions!$D66,EF!$D$116:$D$131,0))*kgtoGg</f>
        <v>0.86319492850198365</v>
      </c>
      <c r="AO66" s="22">
        <f>INDEX('Activity data'!AO$24:AO$39,MATCH(Emissions!$D66,'Activity data'!$D$24:$D$39,0))*INDEX(EF!$H$84:$H$99,MATCH(Emissions!$D66,EF!$D$84:$D$99,0))*INDEX(EF!$H$100:$H$115,MATCH(Emissions!$D66,EF!$D$100:$D$115,0))*INDEX(EF!$H$116:$H$131,MATCH(Emissions!$D66,EF!$D$116:$D$131,0))*kgtoGg</f>
        <v>0.86319492850198365</v>
      </c>
      <c r="AP66" s="22">
        <f>INDEX('Activity data'!AP$24:AP$39,MATCH(Emissions!$D66,'Activity data'!$D$24:$D$39,0))*INDEX(EF!$H$84:$H$99,MATCH(Emissions!$D66,EF!$D$84:$D$99,0))*INDEX(EF!$H$100:$H$115,MATCH(Emissions!$D66,EF!$D$100:$D$115,0))*INDEX(EF!$H$116:$H$131,MATCH(Emissions!$D66,EF!$D$116:$D$131,0))*kgtoGg</f>
        <v>0.86319492850198365</v>
      </c>
      <c r="AQ66" s="22">
        <f>INDEX('Activity data'!AQ$24:AQ$39,MATCH(Emissions!$D66,'Activity data'!$D$24:$D$39,0))*INDEX(EF!$H$84:$H$99,MATCH(Emissions!$D66,EF!$D$84:$D$99,0))*INDEX(EF!$H$100:$H$115,MATCH(Emissions!$D66,EF!$D$100:$D$115,0))*INDEX(EF!$H$116:$H$131,MATCH(Emissions!$D66,EF!$D$116:$D$131,0))*kgtoGg</f>
        <v>0.86319492850198365</v>
      </c>
      <c r="AR66" s="22">
        <f>INDEX('Activity data'!AR$24:AR$39,MATCH(Emissions!$D66,'Activity data'!$D$24:$D$39,0))*INDEX(EF!$H$84:$H$99,MATCH(Emissions!$D66,EF!$D$84:$D$99,0))*INDEX(EF!$H$100:$H$115,MATCH(Emissions!$D66,EF!$D$100:$D$115,0))*INDEX(EF!$H$116:$H$131,MATCH(Emissions!$D66,EF!$D$116:$D$131,0))*kgtoGg</f>
        <v>0.86319492850198365</v>
      </c>
      <c r="AS66" s="22">
        <f>INDEX('Activity data'!AS$24:AS$39,MATCH(Emissions!$D66,'Activity data'!$D$24:$D$39,0))*INDEX(EF!$H$84:$H$99,MATCH(Emissions!$D66,EF!$D$84:$D$99,0))*INDEX(EF!$H$100:$H$115,MATCH(Emissions!$D66,EF!$D$100:$D$115,0))*INDEX(EF!$H$116:$H$131,MATCH(Emissions!$D66,EF!$D$116:$D$131,0))*kgtoGg</f>
        <v>0.86319492850198365</v>
      </c>
      <c r="AT66" s="22">
        <f>INDEX('Activity data'!AT$24:AT$39,MATCH(Emissions!$D66,'Activity data'!$D$24:$D$39,0))*INDEX(EF!$H$84:$H$99,MATCH(Emissions!$D66,EF!$D$84:$D$99,0))*INDEX(EF!$H$100:$H$115,MATCH(Emissions!$D66,EF!$D$100:$D$115,0))*INDEX(EF!$H$116:$H$131,MATCH(Emissions!$D66,EF!$D$116:$D$131,0))*kgtoGg</f>
        <v>0.86319492850198365</v>
      </c>
      <c r="AU66" s="22">
        <f>INDEX('Activity data'!AU$24:AU$39,MATCH(Emissions!$D66,'Activity data'!$D$24:$D$39,0))*INDEX(EF!$H$84:$H$99,MATCH(Emissions!$D66,EF!$D$84:$D$99,0))*INDEX(EF!$H$100:$H$115,MATCH(Emissions!$D66,EF!$D$100:$D$115,0))*INDEX(EF!$H$116:$H$131,MATCH(Emissions!$D66,EF!$D$116:$D$131,0))*kgtoGg</f>
        <v>0.86319492850198365</v>
      </c>
      <c r="AV66" s="22">
        <f>INDEX('Activity data'!AV$24:AV$39,MATCH(Emissions!$D66,'Activity data'!$D$24:$D$39,0))*INDEX(EF!$H$84:$H$99,MATCH(Emissions!$D66,EF!$D$84:$D$99,0))*INDEX(EF!$H$100:$H$115,MATCH(Emissions!$D66,EF!$D$100:$D$115,0))*INDEX(EF!$H$116:$H$131,MATCH(Emissions!$D66,EF!$D$116:$D$131,0))*kgtoGg</f>
        <v>0.86319492850198365</v>
      </c>
      <c r="AW66" s="22">
        <f>INDEX('Activity data'!AW$24:AW$39,MATCH(Emissions!$D66,'Activity data'!$D$24:$D$39,0))*INDEX(EF!$H$84:$H$99,MATCH(Emissions!$D66,EF!$D$84:$D$99,0))*INDEX(EF!$H$100:$H$115,MATCH(Emissions!$D66,EF!$D$100:$D$115,0))*INDEX(EF!$H$116:$H$131,MATCH(Emissions!$D66,EF!$D$116:$D$131,0))*kgtoGg</f>
        <v>0.86319492850198365</v>
      </c>
      <c r="AX66" s="22">
        <f>INDEX('Activity data'!AX$24:AX$39,MATCH(Emissions!$D66,'Activity data'!$D$24:$D$39,0))*INDEX(EF!$H$84:$H$99,MATCH(Emissions!$D66,EF!$D$84:$D$99,0))*INDEX(EF!$H$100:$H$115,MATCH(Emissions!$D66,EF!$D$100:$D$115,0))*INDEX(EF!$H$116:$H$131,MATCH(Emissions!$D66,EF!$D$116:$D$131,0))*kgtoGg</f>
        <v>0.86319492850198365</v>
      </c>
      <c r="AY66" s="22">
        <f>INDEX('Activity data'!AY$24:AY$39,MATCH(Emissions!$D66,'Activity data'!$D$24:$D$39,0))*INDEX(EF!$H$84:$H$99,MATCH(Emissions!$D66,EF!$D$84:$D$99,0))*INDEX(EF!$H$100:$H$115,MATCH(Emissions!$D66,EF!$D$100:$D$115,0))*INDEX(EF!$H$116:$H$131,MATCH(Emissions!$D66,EF!$D$116:$D$131,0))*kgtoGg</f>
        <v>0.86319492850198365</v>
      </c>
      <c r="AZ66" s="22">
        <f>INDEX('Activity data'!AZ$24:AZ$39,MATCH(Emissions!$D66,'Activity data'!$D$24:$D$39,0))*INDEX(EF!$H$84:$H$99,MATCH(Emissions!$D66,EF!$D$84:$D$99,0))*INDEX(EF!$H$100:$H$115,MATCH(Emissions!$D66,EF!$D$100:$D$115,0))*INDEX(EF!$H$116:$H$131,MATCH(Emissions!$D66,EF!$D$116:$D$131,0))*kgtoGg</f>
        <v>0.86319492850198365</v>
      </c>
      <c r="BA66" s="22">
        <f>INDEX('Activity data'!BA$24:BA$39,MATCH(Emissions!$D66,'Activity data'!$D$24:$D$39,0))*INDEX(EF!$H$84:$H$99,MATCH(Emissions!$D66,EF!$D$84:$D$99,0))*INDEX(EF!$H$100:$H$115,MATCH(Emissions!$D66,EF!$D$100:$D$115,0))*INDEX(EF!$H$116:$H$131,MATCH(Emissions!$D66,EF!$D$116:$D$131,0))*kgtoGg</f>
        <v>0.86319492850198365</v>
      </c>
      <c r="BB66" s="22">
        <f>INDEX('Activity data'!BB$24:BB$39,MATCH(Emissions!$D66,'Activity data'!$D$24:$D$39,0))*INDEX(EF!$H$84:$H$99,MATCH(Emissions!$D66,EF!$D$84:$D$99,0))*INDEX(EF!$H$100:$H$115,MATCH(Emissions!$D66,EF!$D$100:$D$115,0))*INDEX(EF!$H$116:$H$131,MATCH(Emissions!$D66,EF!$D$116:$D$131,0))*kgtoGg</f>
        <v>0.86319492850198365</v>
      </c>
      <c r="BC66" s="22">
        <f>INDEX('Activity data'!BC$24:BC$39,MATCH(Emissions!$D66,'Activity data'!$D$24:$D$39,0))*INDEX(EF!$H$84:$H$99,MATCH(Emissions!$D66,EF!$D$84:$D$99,0))*INDEX(EF!$H$100:$H$115,MATCH(Emissions!$D66,EF!$D$100:$D$115,0))*INDEX(EF!$H$116:$H$131,MATCH(Emissions!$D66,EF!$D$116:$D$131,0))*kgtoGg</f>
        <v>0.86319492850198365</v>
      </c>
      <c r="BD66" s="22">
        <f>INDEX('Activity data'!BD$24:BD$39,MATCH(Emissions!$D66,'Activity data'!$D$24:$D$39,0))*INDEX(EF!$H$84:$H$99,MATCH(Emissions!$D66,EF!$D$84:$D$99,0))*INDEX(EF!$H$100:$H$115,MATCH(Emissions!$D66,EF!$D$100:$D$115,0))*INDEX(EF!$H$116:$H$131,MATCH(Emissions!$D66,EF!$D$116:$D$131,0))*kgtoGg</f>
        <v>0.86319492850198365</v>
      </c>
      <c r="BE66" s="22">
        <f>INDEX('Activity data'!BE$24:BE$39,MATCH(Emissions!$D66,'Activity data'!$D$24:$D$39,0))*INDEX(EF!$H$84:$H$99,MATCH(Emissions!$D66,EF!$D$84:$D$99,0))*INDEX(EF!$H$100:$H$115,MATCH(Emissions!$D66,EF!$D$100:$D$115,0))*INDEX(EF!$H$116:$H$131,MATCH(Emissions!$D66,EF!$D$116:$D$131,0))*kgtoGg</f>
        <v>0.86319492850198365</v>
      </c>
      <c r="BF66" s="22">
        <f>INDEX('Activity data'!BF$24:BF$39,MATCH(Emissions!$D66,'Activity data'!$D$24:$D$39,0))*INDEX(EF!$H$84:$H$99,MATCH(Emissions!$D66,EF!$D$84:$D$99,0))*INDEX(EF!$H$100:$H$115,MATCH(Emissions!$D66,EF!$D$100:$D$115,0))*INDEX(EF!$H$116:$H$131,MATCH(Emissions!$D66,EF!$D$116:$D$131,0))*kgtoGg</f>
        <v>0.86319492850198365</v>
      </c>
      <c r="BG66" s="22">
        <f>INDEX('Activity data'!BG$24:BG$39,MATCH(Emissions!$D66,'Activity data'!$D$24:$D$39,0))*INDEX(EF!$H$84:$H$99,MATCH(Emissions!$D66,EF!$D$84:$D$99,0))*INDEX(EF!$H$100:$H$115,MATCH(Emissions!$D66,EF!$D$100:$D$115,0))*INDEX(EF!$H$116:$H$131,MATCH(Emissions!$D66,EF!$D$116:$D$131,0))*kgtoGg</f>
        <v>0.86319492850198365</v>
      </c>
      <c r="BH66" s="22">
        <f>INDEX('Activity data'!BH$24:BH$39,MATCH(Emissions!$D66,'Activity data'!$D$24:$D$39,0))*INDEX(EF!$H$84:$H$99,MATCH(Emissions!$D66,EF!$D$84:$D$99,0))*INDEX(EF!$H$100:$H$115,MATCH(Emissions!$D66,EF!$D$100:$D$115,0))*INDEX(EF!$H$116:$H$131,MATCH(Emissions!$D66,EF!$D$116:$D$131,0))*kgtoGg</f>
        <v>0.86319492850198365</v>
      </c>
      <c r="BI66" s="22">
        <f>INDEX('Activity data'!BI$24:BI$39,MATCH(Emissions!$D66,'Activity data'!$D$24:$D$39,0))*INDEX(EF!$H$84:$H$99,MATCH(Emissions!$D66,EF!$D$84:$D$99,0))*INDEX(EF!$H$100:$H$115,MATCH(Emissions!$D66,EF!$D$100:$D$115,0))*INDEX(EF!$H$116:$H$131,MATCH(Emissions!$D66,EF!$D$116:$D$131,0))*kgtoGg</f>
        <v>0.86319492850198365</v>
      </c>
      <c r="BJ66" s="22">
        <f>INDEX('Activity data'!BJ$24:BJ$39,MATCH(Emissions!$D66,'Activity data'!$D$24:$D$39,0))*INDEX(EF!$H$84:$H$99,MATCH(Emissions!$D66,EF!$D$84:$D$99,0))*INDEX(EF!$H$100:$H$115,MATCH(Emissions!$D66,EF!$D$100:$D$115,0))*INDEX(EF!$H$116:$H$131,MATCH(Emissions!$D66,EF!$D$116:$D$131,0))*kgtoGg</f>
        <v>0.86319492850198365</v>
      </c>
      <c r="BK66" s="22">
        <f>INDEX('Activity data'!BK$24:BK$39,MATCH(Emissions!$D66,'Activity data'!$D$24:$D$39,0))*INDEX(EF!$H$84:$H$99,MATCH(Emissions!$D66,EF!$D$84:$D$99,0))*INDEX(EF!$H$100:$H$115,MATCH(Emissions!$D66,EF!$D$100:$D$115,0))*INDEX(EF!$H$116:$H$131,MATCH(Emissions!$D66,EF!$D$116:$D$131,0))*kgtoGg</f>
        <v>0.86319492850198365</v>
      </c>
      <c r="BL66" s="22">
        <f>INDEX('Activity data'!BL$24:BL$39,MATCH(Emissions!$D66,'Activity data'!$D$24:$D$39,0))*INDEX(EF!$H$84:$H$99,MATCH(Emissions!$D66,EF!$D$84:$D$99,0))*INDEX(EF!$H$100:$H$115,MATCH(Emissions!$D66,EF!$D$100:$D$115,0))*INDEX(EF!$H$116:$H$131,MATCH(Emissions!$D66,EF!$D$116:$D$131,0))*kgtoGg</f>
        <v>0.86319492850198365</v>
      </c>
      <c r="BM66" s="22">
        <f>INDEX('Activity data'!BM$24:BM$39,MATCH(Emissions!$D66,'Activity data'!$D$24:$D$39,0))*INDEX(EF!$H$84:$H$99,MATCH(Emissions!$D66,EF!$D$84:$D$99,0))*INDEX(EF!$H$100:$H$115,MATCH(Emissions!$D66,EF!$D$100:$D$115,0))*INDEX(EF!$H$116:$H$131,MATCH(Emissions!$D66,EF!$D$116:$D$131,0))*kgtoGg</f>
        <v>0.86319492850198365</v>
      </c>
      <c r="BN66" s="22">
        <f>INDEX('Activity data'!BN$24:BN$39,MATCH(Emissions!$D66,'Activity data'!$D$24:$D$39,0))*INDEX(EF!$H$84:$H$99,MATCH(Emissions!$D66,EF!$D$84:$D$99,0))*INDEX(EF!$H$100:$H$115,MATCH(Emissions!$D66,EF!$D$100:$D$115,0))*INDEX(EF!$H$116:$H$131,MATCH(Emissions!$D66,EF!$D$116:$D$131,0))*kgtoGg</f>
        <v>0.86319492850198365</v>
      </c>
      <c r="BO66" s="22">
        <f>INDEX('Activity data'!BO$24:BO$39,MATCH(Emissions!$D66,'Activity data'!$D$24:$D$39,0))*INDEX(EF!$H$84:$H$99,MATCH(Emissions!$D66,EF!$D$84:$D$99,0))*INDEX(EF!$H$100:$H$115,MATCH(Emissions!$D66,EF!$D$100:$D$115,0))*INDEX(EF!$H$116:$H$131,MATCH(Emissions!$D66,EF!$D$116:$D$131,0))*kgtoGg</f>
        <v>0.86319492850198365</v>
      </c>
      <c r="BP66" s="22">
        <f>INDEX('Activity data'!BP$24:BP$39,MATCH(Emissions!$D66,'Activity data'!$D$24:$D$39,0))*INDEX(EF!$H$84:$H$99,MATCH(Emissions!$D66,EF!$D$84:$D$99,0))*INDEX(EF!$H$100:$H$115,MATCH(Emissions!$D66,EF!$D$100:$D$115,0))*INDEX(EF!$H$116:$H$131,MATCH(Emissions!$D66,EF!$D$116:$D$131,0))*kgtoGg</f>
        <v>0.86319492850198365</v>
      </c>
    </row>
    <row r="67" spans="1:68" x14ac:dyDescent="0.25">
      <c r="A67" t="str">
        <f t="shared" si="19"/>
        <v>3C Aggregated and non-CO2 emissions on land</v>
      </c>
      <c r="B67" t="str">
        <f t="shared" si="20"/>
        <v>3C1 Biomass burning (CH4)</v>
      </c>
      <c r="C67" t="str">
        <f>'IPCC Categories'!C63</f>
        <v>3C1e Biomass burning in Settlements</v>
      </c>
      <c r="D67" t="str">
        <f>EF!D97</f>
        <v>Settlements</v>
      </c>
      <c r="E67" t="s">
        <v>659</v>
      </c>
      <c r="F67" t="str">
        <f t="shared" si="23"/>
        <v>CH4</v>
      </c>
      <c r="G67" t="str">
        <f t="shared" si="24"/>
        <v>Gg CH4</v>
      </c>
      <c r="H67" s="22">
        <f>INDEX('Activity data'!H$24:H$39,MATCH(Emissions!$D67,'Activity data'!$D$24:$D$39,0))*INDEX(EF!$H$84:$H$99,MATCH(Emissions!$D67,EF!$D$84:$D$99,0))*INDEX(EF!$H$100:$H$115,MATCH(Emissions!$D67,EF!$D$100:$D$115,0))*INDEX(EF!$H$116:$H$131,MATCH(Emissions!$D67,EF!$D$116:$D$131,0))*kgtoGg</f>
        <v>0.48879168008497798</v>
      </c>
      <c r="I67" s="22">
        <f>INDEX('Activity data'!I$24:I$39,MATCH(Emissions!$D67,'Activity data'!$D$24:$D$39,0))*INDEX(EF!$H$84:$H$99,MATCH(Emissions!$D67,EF!$D$84:$D$99,0))*INDEX(EF!$H$100:$H$115,MATCH(Emissions!$D67,EF!$D$100:$D$115,0))*INDEX(EF!$H$116:$H$131,MATCH(Emissions!$D67,EF!$D$116:$D$131,0))*kgtoGg</f>
        <v>0.48879168008497798</v>
      </c>
      <c r="J67" s="22">
        <f>INDEX('Activity data'!J$24:J$39,MATCH(Emissions!$D67,'Activity data'!$D$24:$D$39,0))*INDEX(EF!$H$84:$H$99,MATCH(Emissions!$D67,EF!$D$84:$D$99,0))*INDEX(EF!$H$100:$H$115,MATCH(Emissions!$D67,EF!$D$100:$D$115,0))*INDEX(EF!$H$116:$H$131,MATCH(Emissions!$D67,EF!$D$116:$D$131,0))*kgtoGg</f>
        <v>0.48879168008497798</v>
      </c>
      <c r="K67" s="22">
        <f>INDEX('Activity data'!K$24:K$39,MATCH(Emissions!$D67,'Activity data'!$D$24:$D$39,0))*INDEX(EF!$H$84:$H$99,MATCH(Emissions!$D67,EF!$D$84:$D$99,0))*INDEX(EF!$H$100:$H$115,MATCH(Emissions!$D67,EF!$D$100:$D$115,0))*INDEX(EF!$H$116:$H$131,MATCH(Emissions!$D67,EF!$D$116:$D$131,0))*kgtoGg</f>
        <v>0.48879168008497798</v>
      </c>
      <c r="L67" s="22">
        <f>INDEX('Activity data'!L$24:L$39,MATCH(Emissions!$D67,'Activity data'!$D$24:$D$39,0))*INDEX(EF!$H$84:$H$99,MATCH(Emissions!$D67,EF!$D$84:$D$99,0))*INDEX(EF!$H$100:$H$115,MATCH(Emissions!$D67,EF!$D$100:$D$115,0))*INDEX(EF!$H$116:$H$131,MATCH(Emissions!$D67,EF!$D$116:$D$131,0))*kgtoGg</f>
        <v>0.48879168008497798</v>
      </c>
      <c r="M67" s="22">
        <f>INDEX('Activity data'!M$24:M$39,MATCH(Emissions!$D67,'Activity data'!$D$24:$D$39,0))*INDEX(EF!$H$84:$H$99,MATCH(Emissions!$D67,EF!$D$84:$D$99,0))*INDEX(EF!$H$100:$H$115,MATCH(Emissions!$D67,EF!$D$100:$D$115,0))*INDEX(EF!$H$116:$H$131,MATCH(Emissions!$D67,EF!$D$116:$D$131,0))*kgtoGg</f>
        <v>0.48879168008497798</v>
      </c>
      <c r="N67" s="22">
        <f>INDEX('Activity data'!N$24:N$39,MATCH(Emissions!$D67,'Activity data'!$D$24:$D$39,0))*INDEX(EF!$H$84:$H$99,MATCH(Emissions!$D67,EF!$D$84:$D$99,0))*INDEX(EF!$H$100:$H$115,MATCH(Emissions!$D67,EF!$D$100:$D$115,0))*INDEX(EF!$H$116:$H$131,MATCH(Emissions!$D67,EF!$D$116:$D$131,0))*kgtoGg</f>
        <v>0.48879168008497798</v>
      </c>
      <c r="O67" s="22">
        <f>INDEX('Activity data'!O$24:O$39,MATCH(Emissions!$D67,'Activity data'!$D$24:$D$39,0))*INDEX(EF!$H$84:$H$99,MATCH(Emissions!$D67,EF!$D$84:$D$99,0))*INDEX(EF!$H$100:$H$115,MATCH(Emissions!$D67,EF!$D$100:$D$115,0))*INDEX(EF!$H$116:$H$131,MATCH(Emissions!$D67,EF!$D$116:$D$131,0))*kgtoGg</f>
        <v>0.48879168008497798</v>
      </c>
      <c r="P67" s="22">
        <f>INDEX('Activity data'!P$24:P$39,MATCH(Emissions!$D67,'Activity data'!$D$24:$D$39,0))*INDEX(EF!$H$84:$H$99,MATCH(Emissions!$D67,EF!$D$84:$D$99,0))*INDEX(EF!$H$100:$H$115,MATCH(Emissions!$D67,EF!$D$100:$D$115,0))*INDEX(EF!$H$116:$H$131,MATCH(Emissions!$D67,EF!$D$116:$D$131,0))*kgtoGg</f>
        <v>0.48879168008497798</v>
      </c>
      <c r="Q67" s="22">
        <f>INDEX('Activity data'!Q$24:Q$39,MATCH(Emissions!$D67,'Activity data'!$D$24:$D$39,0))*INDEX(EF!$H$84:$H$99,MATCH(Emissions!$D67,EF!$D$84:$D$99,0))*INDEX(EF!$H$100:$H$115,MATCH(Emissions!$D67,EF!$D$100:$D$115,0))*INDEX(EF!$H$116:$H$131,MATCH(Emissions!$D67,EF!$D$116:$D$131,0))*kgtoGg</f>
        <v>0.48879168008497798</v>
      </c>
      <c r="R67" s="22">
        <f>INDEX('Activity data'!R$24:R$39,MATCH(Emissions!$D67,'Activity data'!$D$24:$D$39,0))*INDEX(EF!$H$84:$H$99,MATCH(Emissions!$D67,EF!$D$84:$D$99,0))*INDEX(EF!$H$100:$H$115,MATCH(Emissions!$D67,EF!$D$100:$D$115,0))*INDEX(EF!$H$116:$H$131,MATCH(Emissions!$D67,EF!$D$116:$D$131,0))*kgtoGg</f>
        <v>0.53244001120367745</v>
      </c>
      <c r="S67" s="22">
        <f>INDEX('Activity data'!S$24:S$39,MATCH(Emissions!$D67,'Activity data'!$D$24:$D$39,0))*INDEX(EF!$H$84:$H$99,MATCH(Emissions!$D67,EF!$D$84:$D$99,0))*INDEX(EF!$H$100:$H$115,MATCH(Emissions!$D67,EF!$D$100:$D$115,0))*INDEX(EF!$H$116:$H$131,MATCH(Emissions!$D67,EF!$D$116:$D$131,0))*kgtoGg</f>
        <v>0.58966588899140415</v>
      </c>
      <c r="T67" s="22">
        <f>INDEX('Activity data'!T$24:T$39,MATCH(Emissions!$D67,'Activity data'!$D$24:$D$39,0))*INDEX(EF!$H$84:$H$99,MATCH(Emissions!$D67,EF!$D$84:$D$99,0))*INDEX(EF!$H$100:$H$115,MATCH(Emissions!$D67,EF!$D$100:$D$115,0))*INDEX(EF!$H$116:$H$131,MATCH(Emissions!$D67,EF!$D$116:$D$131,0))*kgtoGg</f>
        <v>0.52134297786841477</v>
      </c>
      <c r="U67" s="22">
        <f>INDEX('Activity data'!U$24:U$39,MATCH(Emissions!$D67,'Activity data'!$D$24:$D$39,0))*INDEX(EF!$H$84:$H$99,MATCH(Emissions!$D67,EF!$D$84:$D$99,0))*INDEX(EF!$H$100:$H$115,MATCH(Emissions!$D67,EF!$D$100:$D$115,0))*INDEX(EF!$H$116:$H$131,MATCH(Emissions!$D67,EF!$D$116:$D$131,0))*kgtoGg</f>
        <v>0.44975623341152487</v>
      </c>
      <c r="V67" s="22">
        <f>INDEX('Activity data'!V$24:V$39,MATCH(Emissions!$D67,'Activity data'!$D$24:$D$39,0))*INDEX(EF!$H$84:$H$99,MATCH(Emissions!$D67,EF!$D$84:$D$99,0))*INDEX(EF!$H$100:$H$115,MATCH(Emissions!$D67,EF!$D$100:$D$115,0))*INDEX(EF!$H$116:$H$131,MATCH(Emissions!$D67,EF!$D$116:$D$131,0))*kgtoGg</f>
        <v>0.35075328894986846</v>
      </c>
      <c r="W67" s="22">
        <f>INDEX('Activity data'!W$24:W$39,MATCH(Emissions!$D67,'Activity data'!$D$24:$D$39,0))*INDEX(EF!$H$84:$H$99,MATCH(Emissions!$D67,EF!$D$84:$D$99,0))*INDEX(EF!$H$100:$H$115,MATCH(Emissions!$D67,EF!$D$100:$D$115,0))*INDEX(EF!$H$116:$H$131,MATCH(Emissions!$D67,EF!$D$116:$D$131,0))*kgtoGg</f>
        <v>0.79419944458251857</v>
      </c>
      <c r="X67" s="22">
        <f>INDEX('Activity data'!X$24:X$39,MATCH(Emissions!$D67,'Activity data'!$D$24:$D$39,0))*INDEX(EF!$H$84:$H$99,MATCH(Emissions!$D67,EF!$D$84:$D$99,0))*INDEX(EF!$H$100:$H$115,MATCH(Emissions!$D67,EF!$D$100:$D$115,0))*INDEX(EF!$H$116:$H$131,MATCH(Emissions!$D67,EF!$D$116:$D$131,0))*kgtoGg</f>
        <v>0.69563167789871561</v>
      </c>
      <c r="Y67" s="22">
        <f>INDEX('Activity data'!Y$24:Y$39,MATCH(Emissions!$D67,'Activity data'!$D$24:$D$39,0))*INDEX(EF!$H$84:$H$99,MATCH(Emissions!$D67,EF!$D$84:$D$99,0))*INDEX(EF!$H$100:$H$115,MATCH(Emissions!$D67,EF!$D$100:$D$115,0))*INDEX(EF!$H$116:$H$131,MATCH(Emissions!$D67,EF!$D$116:$D$131,0))*kgtoGg</f>
        <v>0.76939431124487268</v>
      </c>
      <c r="Z67" s="22">
        <f>INDEX('Activity data'!Z$24:Z$39,MATCH(Emissions!$D67,'Activity data'!$D$24:$D$39,0))*INDEX(EF!$H$84:$H$99,MATCH(Emissions!$D67,EF!$D$84:$D$99,0))*INDEX(EF!$H$100:$H$115,MATCH(Emissions!$D67,EF!$D$100:$D$115,0))*INDEX(EF!$H$116:$H$131,MATCH(Emissions!$D67,EF!$D$116:$D$131,0))*kgtoGg</f>
        <v>0.47499654452702411</v>
      </c>
      <c r="AA67" s="22">
        <f>INDEX('Activity data'!AA$24:AA$39,MATCH(Emissions!$D67,'Activity data'!$D$24:$D$39,0))*INDEX(EF!$H$84:$H$99,MATCH(Emissions!$D67,EF!$D$84:$D$99,0))*INDEX(EF!$H$100:$H$115,MATCH(Emissions!$D67,EF!$D$100:$D$115,0))*INDEX(EF!$H$116:$H$131,MATCH(Emissions!$D67,EF!$D$116:$D$131,0))*kgtoGg</f>
        <v>0.5716060112104866</v>
      </c>
      <c r="AB67" s="22">
        <f>INDEX('Activity data'!AB$24:AB$39,MATCH(Emissions!$D67,'Activity data'!$D$24:$D$39,0))*INDEX(EF!$H$84:$H$99,MATCH(Emissions!$D67,EF!$D$84:$D$99,0))*INDEX(EF!$H$100:$H$115,MATCH(Emissions!$D67,EF!$D$100:$D$115,0))*INDEX(EF!$H$116:$H$131,MATCH(Emissions!$D67,EF!$D$116:$D$131,0))*kgtoGg</f>
        <v>0.42745793939999993</v>
      </c>
      <c r="AC67" s="22">
        <f>INDEX('Activity data'!AC$24:AC$39,MATCH(Emissions!$D67,'Activity data'!$D$24:$D$39,0))*INDEX(EF!$H$84:$H$99,MATCH(Emissions!$D67,EF!$D$84:$D$99,0))*INDEX(EF!$H$100:$H$115,MATCH(Emissions!$D67,EF!$D$100:$D$115,0))*INDEX(EF!$H$116:$H$131,MATCH(Emissions!$D67,EF!$D$116:$D$131,0))*kgtoGg</f>
        <v>0.29794462199999994</v>
      </c>
      <c r="AD67" s="22">
        <f>INDEX('Activity data'!AD$24:AD$39,MATCH(Emissions!$D67,'Activity data'!$D$24:$D$39,0))*INDEX(EF!$H$84:$H$99,MATCH(Emissions!$D67,EF!$D$84:$D$99,0))*INDEX(EF!$H$100:$H$115,MATCH(Emissions!$D67,EF!$D$100:$D$115,0))*INDEX(EF!$H$116:$H$131,MATCH(Emissions!$D67,EF!$D$116:$D$131,0))*kgtoGg</f>
        <v>0.42972240374246135</v>
      </c>
      <c r="AE67" s="22">
        <f>INDEX('Activity data'!AE$24:AE$39,MATCH(Emissions!$D67,'Activity data'!$D$24:$D$39,0))*INDEX(EF!$H$84:$H$99,MATCH(Emissions!$D67,EF!$D$84:$D$99,0))*INDEX(EF!$H$100:$H$115,MATCH(Emissions!$D67,EF!$D$100:$D$115,0))*INDEX(EF!$H$116:$H$131,MATCH(Emissions!$D67,EF!$D$116:$D$131,0))*kgtoGg</f>
        <v>0.43063058922924524</v>
      </c>
      <c r="AF67" s="22">
        <f>INDEX('Activity data'!AF$24:AF$39,MATCH(Emissions!$D67,'Activity data'!$D$24:$D$39,0))*INDEX(EF!$H$84:$H$99,MATCH(Emissions!$D67,EF!$D$84:$D$99,0))*INDEX(EF!$H$100:$H$115,MATCH(Emissions!$D67,EF!$D$100:$D$115,0))*INDEX(EF!$H$116:$H$131,MATCH(Emissions!$D67,EF!$D$116:$D$131,0))*kgtoGg</f>
        <v>0.43153877471602919</v>
      </c>
      <c r="AG67" s="22">
        <f>INDEX('Activity data'!AG$24:AG$39,MATCH(Emissions!$D67,'Activity data'!$D$24:$D$39,0))*INDEX(EF!$H$84:$H$99,MATCH(Emissions!$D67,EF!$D$84:$D$99,0))*INDEX(EF!$H$100:$H$115,MATCH(Emissions!$D67,EF!$D$100:$D$115,0))*INDEX(EF!$H$116:$H$131,MATCH(Emissions!$D67,EF!$D$116:$D$131,0))*kgtoGg</f>
        <v>0.43244696020281326</v>
      </c>
      <c r="AH67" s="22">
        <f>INDEX('Activity data'!AH$24:AH$39,MATCH(Emissions!$D67,'Activity data'!$D$24:$D$39,0))*INDEX(EF!$H$84:$H$99,MATCH(Emissions!$D67,EF!$D$84:$D$99,0))*INDEX(EF!$H$100:$H$115,MATCH(Emissions!$D67,EF!$D$100:$D$115,0))*INDEX(EF!$H$116:$H$131,MATCH(Emissions!$D67,EF!$D$116:$D$131,0))*kgtoGg</f>
        <v>0.43335514568959721</v>
      </c>
      <c r="AI67" s="22">
        <f>INDEX('Activity data'!AI$24:AI$39,MATCH(Emissions!$D67,'Activity data'!$D$24:$D$39,0))*INDEX(EF!$H$84:$H$99,MATCH(Emissions!$D67,EF!$D$84:$D$99,0))*INDEX(EF!$H$100:$H$115,MATCH(Emissions!$D67,EF!$D$100:$D$115,0))*INDEX(EF!$H$116:$H$131,MATCH(Emissions!$D67,EF!$D$116:$D$131,0))*kgtoGg</f>
        <v>0.43426333117638116</v>
      </c>
      <c r="AJ67" s="22">
        <f>INDEX('Activity data'!AJ$24:AJ$39,MATCH(Emissions!$D67,'Activity data'!$D$24:$D$39,0))*INDEX(EF!$H$84:$H$99,MATCH(Emissions!$D67,EF!$D$84:$D$99,0))*INDEX(EF!$H$100:$H$115,MATCH(Emissions!$D67,EF!$D$100:$D$115,0))*INDEX(EF!$H$116:$H$131,MATCH(Emissions!$D67,EF!$D$116:$D$131,0))*kgtoGg</f>
        <v>0.43517151666316517</v>
      </c>
      <c r="AK67" s="22">
        <f>INDEX('Activity data'!AK$24:AK$39,MATCH(Emissions!$D67,'Activity data'!$D$24:$D$39,0))*INDEX(EF!$H$84:$H$99,MATCH(Emissions!$D67,EF!$D$84:$D$99,0))*INDEX(EF!$H$100:$H$115,MATCH(Emissions!$D67,EF!$D$100:$D$115,0))*INDEX(EF!$H$116:$H$131,MATCH(Emissions!$D67,EF!$D$116:$D$131,0))*kgtoGg</f>
        <v>0.43604518290887651</v>
      </c>
      <c r="AL67" s="22">
        <f>INDEX('Activity data'!AL$24:AL$39,MATCH(Emissions!$D67,'Activity data'!$D$24:$D$39,0))*INDEX(EF!$H$84:$H$99,MATCH(Emissions!$D67,EF!$D$84:$D$99,0))*INDEX(EF!$H$100:$H$115,MATCH(Emissions!$D67,EF!$D$100:$D$115,0))*INDEX(EF!$H$116:$H$131,MATCH(Emissions!$D67,EF!$D$116:$D$131,0))*kgtoGg</f>
        <v>0.43691884915458773</v>
      </c>
      <c r="AM67" s="22">
        <f>INDEX('Activity data'!AM$24:AM$39,MATCH(Emissions!$D67,'Activity data'!$D$24:$D$39,0))*INDEX(EF!$H$84:$H$99,MATCH(Emissions!$D67,EF!$D$84:$D$99,0))*INDEX(EF!$H$100:$H$115,MATCH(Emissions!$D67,EF!$D$100:$D$115,0))*INDEX(EF!$H$116:$H$131,MATCH(Emissions!$D67,EF!$D$116:$D$131,0))*kgtoGg</f>
        <v>0.43779251540029912</v>
      </c>
      <c r="AN67" s="22">
        <f>INDEX('Activity data'!AN$24:AN$39,MATCH(Emissions!$D67,'Activity data'!$D$24:$D$39,0))*INDEX(EF!$H$84:$H$99,MATCH(Emissions!$D67,EF!$D$84:$D$99,0))*INDEX(EF!$H$100:$H$115,MATCH(Emissions!$D67,EF!$D$100:$D$115,0))*INDEX(EF!$H$116:$H$131,MATCH(Emissions!$D67,EF!$D$116:$D$131,0))*kgtoGg</f>
        <v>0.43866618164601046</v>
      </c>
      <c r="AO67" s="22">
        <f>INDEX('Activity data'!AO$24:AO$39,MATCH(Emissions!$D67,'Activity data'!$D$24:$D$39,0))*INDEX(EF!$H$84:$H$99,MATCH(Emissions!$D67,EF!$D$84:$D$99,0))*INDEX(EF!$H$100:$H$115,MATCH(Emissions!$D67,EF!$D$100:$D$115,0))*INDEX(EF!$H$116:$H$131,MATCH(Emissions!$D67,EF!$D$116:$D$131,0))*kgtoGg</f>
        <v>0.43953984789172174</v>
      </c>
      <c r="AP67" s="22">
        <f>INDEX('Activity data'!AP$24:AP$39,MATCH(Emissions!$D67,'Activity data'!$D$24:$D$39,0))*INDEX(EF!$H$84:$H$99,MATCH(Emissions!$D67,EF!$D$84:$D$99,0))*INDEX(EF!$H$100:$H$115,MATCH(Emissions!$D67,EF!$D$100:$D$115,0))*INDEX(EF!$H$116:$H$131,MATCH(Emissions!$D67,EF!$D$116:$D$131,0))*kgtoGg</f>
        <v>0.44041351413743302</v>
      </c>
      <c r="AQ67" s="22">
        <f>INDEX('Activity data'!AQ$24:AQ$39,MATCH(Emissions!$D67,'Activity data'!$D$24:$D$39,0))*INDEX(EF!$H$84:$H$99,MATCH(Emissions!$D67,EF!$D$84:$D$99,0))*INDEX(EF!$H$100:$H$115,MATCH(Emissions!$D67,EF!$D$100:$D$115,0))*INDEX(EF!$H$116:$H$131,MATCH(Emissions!$D67,EF!$D$116:$D$131,0))*kgtoGg</f>
        <v>0.44128718038314435</v>
      </c>
      <c r="AR67" s="22">
        <f>INDEX('Activity data'!AR$24:AR$39,MATCH(Emissions!$D67,'Activity data'!$D$24:$D$39,0))*INDEX(EF!$H$84:$H$99,MATCH(Emissions!$D67,EF!$D$84:$D$99,0))*INDEX(EF!$H$100:$H$115,MATCH(Emissions!$D67,EF!$D$100:$D$115,0))*INDEX(EF!$H$116:$H$131,MATCH(Emissions!$D67,EF!$D$116:$D$131,0))*kgtoGg</f>
        <v>0.44216084662885569</v>
      </c>
      <c r="AS67" s="22">
        <f>INDEX('Activity data'!AS$24:AS$39,MATCH(Emissions!$D67,'Activity data'!$D$24:$D$39,0))*INDEX(EF!$H$84:$H$99,MATCH(Emissions!$D67,EF!$D$84:$D$99,0))*INDEX(EF!$H$100:$H$115,MATCH(Emissions!$D67,EF!$D$100:$D$115,0))*INDEX(EF!$H$116:$H$131,MATCH(Emissions!$D67,EF!$D$116:$D$131,0))*kgtoGg</f>
        <v>0.44303451287456691</v>
      </c>
      <c r="AT67" s="22">
        <f>INDEX('Activity data'!AT$24:AT$39,MATCH(Emissions!$D67,'Activity data'!$D$24:$D$39,0))*INDEX(EF!$H$84:$H$99,MATCH(Emissions!$D67,EF!$D$84:$D$99,0))*INDEX(EF!$H$100:$H$115,MATCH(Emissions!$D67,EF!$D$100:$D$115,0))*INDEX(EF!$H$116:$H$131,MATCH(Emissions!$D67,EF!$D$116:$D$131,0))*kgtoGg</f>
        <v>0.44390817912027825</v>
      </c>
      <c r="AU67" s="22">
        <f>INDEX('Activity data'!AU$24:AU$39,MATCH(Emissions!$D67,'Activity data'!$D$24:$D$39,0))*INDEX(EF!$H$84:$H$99,MATCH(Emissions!$D67,EF!$D$84:$D$99,0))*INDEX(EF!$H$100:$H$115,MATCH(Emissions!$D67,EF!$D$100:$D$115,0))*INDEX(EF!$H$116:$H$131,MATCH(Emissions!$D67,EF!$D$116:$D$131,0))*kgtoGg</f>
        <v>0.44478184536598953</v>
      </c>
      <c r="AV67" s="22">
        <f>INDEX('Activity data'!AV$24:AV$39,MATCH(Emissions!$D67,'Activity data'!$D$24:$D$39,0))*INDEX(EF!$H$84:$H$99,MATCH(Emissions!$D67,EF!$D$84:$D$99,0))*INDEX(EF!$H$100:$H$115,MATCH(Emissions!$D67,EF!$D$100:$D$115,0))*INDEX(EF!$H$116:$H$131,MATCH(Emissions!$D67,EF!$D$116:$D$131,0))*kgtoGg</f>
        <v>0.44565551161170081</v>
      </c>
      <c r="AW67" s="22">
        <f>INDEX('Activity data'!AW$24:AW$39,MATCH(Emissions!$D67,'Activity data'!$D$24:$D$39,0))*INDEX(EF!$H$84:$H$99,MATCH(Emissions!$D67,EF!$D$84:$D$99,0))*INDEX(EF!$H$100:$H$115,MATCH(Emissions!$D67,EF!$D$100:$D$115,0))*INDEX(EF!$H$116:$H$131,MATCH(Emissions!$D67,EF!$D$116:$D$131,0))*kgtoGg</f>
        <v>0.44652917785741214</v>
      </c>
      <c r="AX67" s="22">
        <f>INDEX('Activity data'!AX$24:AX$39,MATCH(Emissions!$D67,'Activity data'!$D$24:$D$39,0))*INDEX(EF!$H$84:$H$99,MATCH(Emissions!$D67,EF!$D$84:$D$99,0))*INDEX(EF!$H$100:$H$115,MATCH(Emissions!$D67,EF!$D$100:$D$115,0))*INDEX(EF!$H$116:$H$131,MATCH(Emissions!$D67,EF!$D$116:$D$131,0))*kgtoGg</f>
        <v>0.44740284410312353</v>
      </c>
      <c r="AY67" s="22">
        <f>INDEX('Activity data'!AY$24:AY$39,MATCH(Emissions!$D67,'Activity data'!$D$24:$D$39,0))*INDEX(EF!$H$84:$H$99,MATCH(Emissions!$D67,EF!$D$84:$D$99,0))*INDEX(EF!$H$100:$H$115,MATCH(Emissions!$D67,EF!$D$100:$D$115,0))*INDEX(EF!$H$116:$H$131,MATCH(Emissions!$D67,EF!$D$116:$D$131,0))*kgtoGg</f>
        <v>0.4482765103488347</v>
      </c>
      <c r="AZ67" s="22">
        <f>INDEX('Activity data'!AZ$24:AZ$39,MATCH(Emissions!$D67,'Activity data'!$D$24:$D$39,0))*INDEX(EF!$H$84:$H$99,MATCH(Emissions!$D67,EF!$D$84:$D$99,0))*INDEX(EF!$H$100:$H$115,MATCH(Emissions!$D67,EF!$D$100:$D$115,0))*INDEX(EF!$H$116:$H$131,MATCH(Emissions!$D67,EF!$D$116:$D$131,0))*kgtoGg</f>
        <v>0.44915017659454598</v>
      </c>
      <c r="BA67" s="22">
        <f>INDEX('Activity data'!BA$24:BA$39,MATCH(Emissions!$D67,'Activity data'!$D$24:$D$39,0))*INDEX(EF!$H$84:$H$99,MATCH(Emissions!$D67,EF!$D$84:$D$99,0))*INDEX(EF!$H$100:$H$115,MATCH(Emissions!$D67,EF!$D$100:$D$115,0))*INDEX(EF!$H$116:$H$131,MATCH(Emissions!$D67,EF!$D$116:$D$131,0))*kgtoGg</f>
        <v>0.45002384284025743</v>
      </c>
      <c r="BB67" s="22">
        <f>INDEX('Activity data'!BB$24:BB$39,MATCH(Emissions!$D67,'Activity data'!$D$24:$D$39,0))*INDEX(EF!$H$84:$H$99,MATCH(Emissions!$D67,EF!$D$84:$D$99,0))*INDEX(EF!$H$100:$H$115,MATCH(Emissions!$D67,EF!$D$100:$D$115,0))*INDEX(EF!$H$116:$H$131,MATCH(Emissions!$D67,EF!$D$116:$D$131,0))*kgtoGg</f>
        <v>0.45089750908596871</v>
      </c>
      <c r="BC67" s="22">
        <f>INDEX('Activity data'!BC$24:BC$39,MATCH(Emissions!$D67,'Activity data'!$D$24:$D$39,0))*INDEX(EF!$H$84:$H$99,MATCH(Emissions!$D67,EF!$D$84:$D$99,0))*INDEX(EF!$H$100:$H$115,MATCH(Emissions!$D67,EF!$D$100:$D$115,0))*INDEX(EF!$H$116:$H$131,MATCH(Emissions!$D67,EF!$D$116:$D$131,0))*kgtoGg</f>
        <v>0.45177117533167999</v>
      </c>
      <c r="BD67" s="22">
        <f>INDEX('Activity data'!BD$24:BD$39,MATCH(Emissions!$D67,'Activity data'!$D$24:$D$39,0))*INDEX(EF!$H$84:$H$99,MATCH(Emissions!$D67,EF!$D$84:$D$99,0))*INDEX(EF!$H$100:$H$115,MATCH(Emissions!$D67,EF!$D$100:$D$115,0))*INDEX(EF!$H$116:$H$131,MATCH(Emissions!$D67,EF!$D$116:$D$131,0))*kgtoGg</f>
        <v>0.45264484157739138</v>
      </c>
      <c r="BE67" s="22">
        <f>INDEX('Activity data'!BE$24:BE$39,MATCH(Emissions!$D67,'Activity data'!$D$24:$D$39,0))*INDEX(EF!$H$84:$H$99,MATCH(Emissions!$D67,EF!$D$84:$D$99,0))*INDEX(EF!$H$100:$H$115,MATCH(Emissions!$D67,EF!$D$100:$D$115,0))*INDEX(EF!$H$116:$H$131,MATCH(Emissions!$D67,EF!$D$116:$D$131,0))*kgtoGg</f>
        <v>0.4535185078231026</v>
      </c>
      <c r="BF67" s="22">
        <f>INDEX('Activity data'!BF$24:BF$39,MATCH(Emissions!$D67,'Activity data'!$D$24:$D$39,0))*INDEX(EF!$H$84:$H$99,MATCH(Emissions!$D67,EF!$D$84:$D$99,0))*INDEX(EF!$H$100:$H$115,MATCH(Emissions!$D67,EF!$D$100:$D$115,0))*INDEX(EF!$H$116:$H$131,MATCH(Emissions!$D67,EF!$D$116:$D$131,0))*kgtoGg</f>
        <v>0.45439217406881388</v>
      </c>
      <c r="BG67" s="22">
        <f>INDEX('Activity data'!BG$24:BG$39,MATCH(Emissions!$D67,'Activity data'!$D$24:$D$39,0))*INDEX(EF!$H$84:$H$99,MATCH(Emissions!$D67,EF!$D$84:$D$99,0))*INDEX(EF!$H$100:$H$115,MATCH(Emissions!$D67,EF!$D$100:$D$115,0))*INDEX(EF!$H$116:$H$131,MATCH(Emissions!$D67,EF!$D$116:$D$131,0))*kgtoGg</f>
        <v>0.45526584031452527</v>
      </c>
      <c r="BH67" s="22">
        <f>INDEX('Activity data'!BH$24:BH$39,MATCH(Emissions!$D67,'Activity data'!$D$24:$D$39,0))*INDEX(EF!$H$84:$H$99,MATCH(Emissions!$D67,EF!$D$84:$D$99,0))*INDEX(EF!$H$100:$H$115,MATCH(Emissions!$D67,EF!$D$100:$D$115,0))*INDEX(EF!$H$116:$H$131,MATCH(Emissions!$D67,EF!$D$116:$D$131,0))*kgtoGg</f>
        <v>0.45613950656023655</v>
      </c>
      <c r="BI67" s="22">
        <f>INDEX('Activity data'!BI$24:BI$39,MATCH(Emissions!$D67,'Activity data'!$D$24:$D$39,0))*INDEX(EF!$H$84:$H$99,MATCH(Emissions!$D67,EF!$D$84:$D$99,0))*INDEX(EF!$H$100:$H$115,MATCH(Emissions!$D67,EF!$D$100:$D$115,0))*INDEX(EF!$H$116:$H$131,MATCH(Emissions!$D67,EF!$D$116:$D$131,0))*kgtoGg</f>
        <v>0.45701317280594789</v>
      </c>
      <c r="BJ67" s="22">
        <f>INDEX('Activity data'!BJ$24:BJ$39,MATCH(Emissions!$D67,'Activity data'!$D$24:$D$39,0))*INDEX(EF!$H$84:$H$99,MATCH(Emissions!$D67,EF!$D$84:$D$99,0))*INDEX(EF!$H$100:$H$115,MATCH(Emissions!$D67,EF!$D$100:$D$115,0))*INDEX(EF!$H$116:$H$131,MATCH(Emissions!$D67,EF!$D$116:$D$131,0))*kgtoGg</f>
        <v>0.45788683905165917</v>
      </c>
      <c r="BK67" s="22">
        <f>INDEX('Activity data'!BK$24:BK$39,MATCH(Emissions!$D67,'Activity data'!$D$24:$D$39,0))*INDEX(EF!$H$84:$H$99,MATCH(Emissions!$D67,EF!$D$84:$D$99,0))*INDEX(EF!$H$100:$H$115,MATCH(Emissions!$D67,EF!$D$100:$D$115,0))*INDEX(EF!$H$116:$H$131,MATCH(Emissions!$D67,EF!$D$116:$D$131,0))*kgtoGg</f>
        <v>0.45876050529737045</v>
      </c>
      <c r="BL67" s="22">
        <f>INDEX('Activity data'!BL$24:BL$39,MATCH(Emissions!$D67,'Activity data'!$D$24:$D$39,0))*INDEX(EF!$H$84:$H$99,MATCH(Emissions!$D67,EF!$D$84:$D$99,0))*INDEX(EF!$H$100:$H$115,MATCH(Emissions!$D67,EF!$D$100:$D$115,0))*INDEX(EF!$H$116:$H$131,MATCH(Emissions!$D67,EF!$D$116:$D$131,0))*kgtoGg</f>
        <v>0.45963417154308178</v>
      </c>
      <c r="BM67" s="22">
        <f>INDEX('Activity data'!BM$24:BM$39,MATCH(Emissions!$D67,'Activity data'!$D$24:$D$39,0))*INDEX(EF!$H$84:$H$99,MATCH(Emissions!$D67,EF!$D$84:$D$99,0))*INDEX(EF!$H$100:$H$115,MATCH(Emissions!$D67,EF!$D$100:$D$115,0))*INDEX(EF!$H$116:$H$131,MATCH(Emissions!$D67,EF!$D$116:$D$131,0))*kgtoGg</f>
        <v>0.46050783778879306</v>
      </c>
      <c r="BN67" s="22">
        <f>INDEX('Activity data'!BN$24:BN$39,MATCH(Emissions!$D67,'Activity data'!$D$24:$D$39,0))*INDEX(EF!$H$84:$H$99,MATCH(Emissions!$D67,EF!$D$84:$D$99,0))*INDEX(EF!$H$100:$H$115,MATCH(Emissions!$D67,EF!$D$100:$D$115,0))*INDEX(EF!$H$116:$H$131,MATCH(Emissions!$D67,EF!$D$116:$D$131,0))*kgtoGg</f>
        <v>0.4613815040345044</v>
      </c>
      <c r="BO67" s="22">
        <f>INDEX('Activity data'!BO$24:BO$39,MATCH(Emissions!$D67,'Activity data'!$D$24:$D$39,0))*INDEX(EF!$H$84:$H$99,MATCH(Emissions!$D67,EF!$D$84:$D$99,0))*INDEX(EF!$H$100:$H$115,MATCH(Emissions!$D67,EF!$D$100:$D$115,0))*INDEX(EF!$H$116:$H$131,MATCH(Emissions!$D67,EF!$D$116:$D$131,0))*kgtoGg</f>
        <v>0.46225517028021573</v>
      </c>
      <c r="BP67" s="22">
        <f>INDEX('Activity data'!BP$24:BP$39,MATCH(Emissions!$D67,'Activity data'!$D$24:$D$39,0))*INDEX(EF!$H$84:$H$99,MATCH(Emissions!$D67,EF!$D$84:$D$99,0))*INDEX(EF!$H$100:$H$115,MATCH(Emissions!$D67,EF!$D$100:$D$115,0))*INDEX(EF!$H$116:$H$131,MATCH(Emissions!$D67,EF!$D$116:$D$131,0))*kgtoGg</f>
        <v>0.46312883652592701</v>
      </c>
    </row>
    <row r="68" spans="1:68" x14ac:dyDescent="0.25">
      <c r="A68" t="str">
        <f t="shared" si="19"/>
        <v>3C Aggregated and non-CO2 emissions on land</v>
      </c>
      <c r="B68" t="str">
        <f t="shared" si="20"/>
        <v>3C1 Biomass burning (CH4)</v>
      </c>
      <c r="C68" t="str">
        <f>C67</f>
        <v>3C1e Biomass burning in Settlements</v>
      </c>
      <c r="D68" t="str">
        <f>EF!D98</f>
        <v>Mines</v>
      </c>
      <c r="E68" t="s">
        <v>660</v>
      </c>
      <c r="F68" t="str">
        <f t="shared" si="23"/>
        <v>CH4</v>
      </c>
      <c r="G68" t="str">
        <f t="shared" si="24"/>
        <v>Gg CH4</v>
      </c>
      <c r="H68" s="22">
        <f>INDEX('Activity data'!H$24:H$39,MATCH(Emissions!$D68,'Activity data'!$D$24:$D$39,0))*INDEX(EF!$H$84:$H$99,MATCH(Emissions!$D68,EF!$D$84:$D$99,0))*INDEX(EF!$H$100:$H$115,MATCH(Emissions!$D68,EF!$D$100:$D$115,0))*INDEX(EF!$H$116:$H$131,MATCH(Emissions!$D68,EF!$D$116:$D$131,0))*kgtoGg</f>
        <v>0</v>
      </c>
      <c r="I68" s="22">
        <f>INDEX('Activity data'!I$24:I$39,MATCH(Emissions!$D68,'Activity data'!$D$24:$D$39,0))*INDEX(EF!$H$84:$H$99,MATCH(Emissions!$D68,EF!$D$84:$D$99,0))*INDEX(EF!$H$100:$H$115,MATCH(Emissions!$D68,EF!$D$100:$D$115,0))*INDEX(EF!$H$116:$H$131,MATCH(Emissions!$D68,EF!$D$116:$D$131,0))*kgtoGg</f>
        <v>0</v>
      </c>
      <c r="J68" s="22">
        <f>INDEX('Activity data'!J$24:J$39,MATCH(Emissions!$D68,'Activity data'!$D$24:$D$39,0))*INDEX(EF!$H$84:$H$99,MATCH(Emissions!$D68,EF!$D$84:$D$99,0))*INDEX(EF!$H$100:$H$115,MATCH(Emissions!$D68,EF!$D$100:$D$115,0))*INDEX(EF!$H$116:$H$131,MATCH(Emissions!$D68,EF!$D$116:$D$131,0))*kgtoGg</f>
        <v>0</v>
      </c>
      <c r="K68" s="22">
        <f>INDEX('Activity data'!K$24:K$39,MATCH(Emissions!$D68,'Activity data'!$D$24:$D$39,0))*INDEX(EF!$H$84:$H$99,MATCH(Emissions!$D68,EF!$D$84:$D$99,0))*INDEX(EF!$H$100:$H$115,MATCH(Emissions!$D68,EF!$D$100:$D$115,0))*INDEX(EF!$H$116:$H$131,MATCH(Emissions!$D68,EF!$D$116:$D$131,0))*kgtoGg</f>
        <v>0</v>
      </c>
      <c r="L68" s="22">
        <f>INDEX('Activity data'!L$24:L$39,MATCH(Emissions!$D68,'Activity data'!$D$24:$D$39,0))*INDEX(EF!$H$84:$H$99,MATCH(Emissions!$D68,EF!$D$84:$D$99,0))*INDEX(EF!$H$100:$H$115,MATCH(Emissions!$D68,EF!$D$100:$D$115,0))*INDEX(EF!$H$116:$H$131,MATCH(Emissions!$D68,EF!$D$116:$D$131,0))*kgtoGg</f>
        <v>0</v>
      </c>
      <c r="M68" s="22">
        <f>INDEX('Activity data'!M$24:M$39,MATCH(Emissions!$D68,'Activity data'!$D$24:$D$39,0))*INDEX(EF!$H$84:$H$99,MATCH(Emissions!$D68,EF!$D$84:$D$99,0))*INDEX(EF!$H$100:$H$115,MATCH(Emissions!$D68,EF!$D$100:$D$115,0))*INDEX(EF!$H$116:$H$131,MATCH(Emissions!$D68,EF!$D$116:$D$131,0))*kgtoGg</f>
        <v>0</v>
      </c>
      <c r="N68" s="22">
        <f>INDEX('Activity data'!N$24:N$39,MATCH(Emissions!$D68,'Activity data'!$D$24:$D$39,0))*INDEX(EF!$H$84:$H$99,MATCH(Emissions!$D68,EF!$D$84:$D$99,0))*INDEX(EF!$H$100:$H$115,MATCH(Emissions!$D68,EF!$D$100:$D$115,0))*INDEX(EF!$H$116:$H$131,MATCH(Emissions!$D68,EF!$D$116:$D$131,0))*kgtoGg</f>
        <v>0</v>
      </c>
      <c r="O68" s="22">
        <f>INDEX('Activity data'!O$24:O$39,MATCH(Emissions!$D68,'Activity data'!$D$24:$D$39,0))*INDEX(EF!$H$84:$H$99,MATCH(Emissions!$D68,EF!$D$84:$D$99,0))*INDEX(EF!$H$100:$H$115,MATCH(Emissions!$D68,EF!$D$100:$D$115,0))*INDEX(EF!$H$116:$H$131,MATCH(Emissions!$D68,EF!$D$116:$D$131,0))*kgtoGg</f>
        <v>0</v>
      </c>
      <c r="P68" s="22">
        <f>INDEX('Activity data'!P$24:P$39,MATCH(Emissions!$D68,'Activity data'!$D$24:$D$39,0))*INDEX(EF!$H$84:$H$99,MATCH(Emissions!$D68,EF!$D$84:$D$99,0))*INDEX(EF!$H$100:$H$115,MATCH(Emissions!$D68,EF!$D$100:$D$115,0))*INDEX(EF!$H$116:$H$131,MATCH(Emissions!$D68,EF!$D$116:$D$131,0))*kgtoGg</f>
        <v>0</v>
      </c>
      <c r="Q68" s="22">
        <f>INDEX('Activity data'!Q$24:Q$39,MATCH(Emissions!$D68,'Activity data'!$D$24:$D$39,0))*INDEX(EF!$H$84:$H$99,MATCH(Emissions!$D68,EF!$D$84:$D$99,0))*INDEX(EF!$H$100:$H$115,MATCH(Emissions!$D68,EF!$D$100:$D$115,0))*INDEX(EF!$H$116:$H$131,MATCH(Emissions!$D68,EF!$D$116:$D$131,0))*kgtoGg</f>
        <v>0</v>
      </c>
      <c r="R68" s="22">
        <f>INDEX('Activity data'!R$24:R$39,MATCH(Emissions!$D68,'Activity data'!$D$24:$D$39,0))*INDEX(EF!$H$84:$H$99,MATCH(Emissions!$D68,EF!$D$84:$D$99,0))*INDEX(EF!$H$100:$H$115,MATCH(Emissions!$D68,EF!$D$100:$D$115,0))*INDEX(EF!$H$116:$H$131,MATCH(Emissions!$D68,EF!$D$116:$D$131,0))*kgtoGg</f>
        <v>0</v>
      </c>
      <c r="S68" s="22">
        <f>INDEX('Activity data'!S$24:S$39,MATCH(Emissions!$D68,'Activity data'!$D$24:$D$39,0))*INDEX(EF!$H$84:$H$99,MATCH(Emissions!$D68,EF!$D$84:$D$99,0))*INDEX(EF!$H$100:$H$115,MATCH(Emissions!$D68,EF!$D$100:$D$115,0))*INDEX(EF!$H$116:$H$131,MATCH(Emissions!$D68,EF!$D$116:$D$131,0))*kgtoGg</f>
        <v>0</v>
      </c>
      <c r="T68" s="22">
        <f>INDEX('Activity data'!T$24:T$39,MATCH(Emissions!$D68,'Activity data'!$D$24:$D$39,0))*INDEX(EF!$H$84:$H$99,MATCH(Emissions!$D68,EF!$D$84:$D$99,0))*INDEX(EF!$H$100:$H$115,MATCH(Emissions!$D68,EF!$D$100:$D$115,0))*INDEX(EF!$H$116:$H$131,MATCH(Emissions!$D68,EF!$D$116:$D$131,0))*kgtoGg</f>
        <v>0</v>
      </c>
      <c r="U68" s="22">
        <f>INDEX('Activity data'!U$24:U$39,MATCH(Emissions!$D68,'Activity data'!$D$24:$D$39,0))*INDEX(EF!$H$84:$H$99,MATCH(Emissions!$D68,EF!$D$84:$D$99,0))*INDEX(EF!$H$100:$H$115,MATCH(Emissions!$D68,EF!$D$100:$D$115,0))*INDEX(EF!$H$116:$H$131,MATCH(Emissions!$D68,EF!$D$116:$D$131,0))*kgtoGg</f>
        <v>0</v>
      </c>
      <c r="V68" s="22">
        <f>INDEX('Activity data'!V$24:V$39,MATCH(Emissions!$D68,'Activity data'!$D$24:$D$39,0))*INDEX(EF!$H$84:$H$99,MATCH(Emissions!$D68,EF!$D$84:$D$99,0))*INDEX(EF!$H$100:$H$115,MATCH(Emissions!$D68,EF!$D$100:$D$115,0))*INDEX(EF!$H$116:$H$131,MATCH(Emissions!$D68,EF!$D$116:$D$131,0))*kgtoGg</f>
        <v>0</v>
      </c>
      <c r="W68" s="22">
        <f>INDEX('Activity data'!W$24:W$39,MATCH(Emissions!$D68,'Activity data'!$D$24:$D$39,0))*INDEX(EF!$H$84:$H$99,MATCH(Emissions!$D68,EF!$D$84:$D$99,0))*INDEX(EF!$H$100:$H$115,MATCH(Emissions!$D68,EF!$D$100:$D$115,0))*INDEX(EF!$H$116:$H$131,MATCH(Emissions!$D68,EF!$D$116:$D$131,0))*kgtoGg</f>
        <v>0</v>
      </c>
      <c r="X68" s="22">
        <f>INDEX('Activity data'!X$24:X$39,MATCH(Emissions!$D68,'Activity data'!$D$24:$D$39,0))*INDEX(EF!$H$84:$H$99,MATCH(Emissions!$D68,EF!$D$84:$D$99,0))*INDEX(EF!$H$100:$H$115,MATCH(Emissions!$D68,EF!$D$100:$D$115,0))*INDEX(EF!$H$116:$H$131,MATCH(Emissions!$D68,EF!$D$116:$D$131,0))*kgtoGg</f>
        <v>0</v>
      </c>
      <c r="Y68" s="22">
        <f>INDEX('Activity data'!Y$24:Y$39,MATCH(Emissions!$D68,'Activity data'!$D$24:$D$39,0))*INDEX(EF!$H$84:$H$99,MATCH(Emissions!$D68,EF!$D$84:$D$99,0))*INDEX(EF!$H$100:$H$115,MATCH(Emissions!$D68,EF!$D$100:$D$115,0))*INDEX(EF!$H$116:$H$131,MATCH(Emissions!$D68,EF!$D$116:$D$131,0))*kgtoGg</f>
        <v>0</v>
      </c>
      <c r="Z68" s="22">
        <f>INDEX('Activity data'!Z$24:Z$39,MATCH(Emissions!$D68,'Activity data'!$D$24:$D$39,0))*INDEX(EF!$H$84:$H$99,MATCH(Emissions!$D68,EF!$D$84:$D$99,0))*INDEX(EF!$H$100:$H$115,MATCH(Emissions!$D68,EF!$D$100:$D$115,0))*INDEX(EF!$H$116:$H$131,MATCH(Emissions!$D68,EF!$D$116:$D$131,0))*kgtoGg</f>
        <v>0</v>
      </c>
      <c r="AA68" s="22">
        <f>INDEX('Activity data'!AA$24:AA$39,MATCH(Emissions!$D68,'Activity data'!$D$24:$D$39,0))*INDEX(EF!$H$84:$H$99,MATCH(Emissions!$D68,EF!$D$84:$D$99,0))*INDEX(EF!$H$100:$H$115,MATCH(Emissions!$D68,EF!$D$100:$D$115,0))*INDEX(EF!$H$116:$H$131,MATCH(Emissions!$D68,EF!$D$116:$D$131,0))*kgtoGg</f>
        <v>0</v>
      </c>
      <c r="AB68" s="22">
        <f>INDEX('Activity data'!AB$24:AB$39,MATCH(Emissions!$D68,'Activity data'!$D$24:$D$39,0))*INDEX(EF!$H$84:$H$99,MATCH(Emissions!$D68,EF!$D$84:$D$99,0))*INDEX(EF!$H$100:$H$115,MATCH(Emissions!$D68,EF!$D$100:$D$115,0))*INDEX(EF!$H$116:$H$131,MATCH(Emissions!$D68,EF!$D$116:$D$131,0))*kgtoGg</f>
        <v>0</v>
      </c>
      <c r="AC68" s="22">
        <f>INDEX('Activity data'!AC$24:AC$39,MATCH(Emissions!$D68,'Activity data'!$D$24:$D$39,0))*INDEX(EF!$H$84:$H$99,MATCH(Emissions!$D68,EF!$D$84:$D$99,0))*INDEX(EF!$H$100:$H$115,MATCH(Emissions!$D68,EF!$D$100:$D$115,0))*INDEX(EF!$H$116:$H$131,MATCH(Emissions!$D68,EF!$D$116:$D$131,0))*kgtoGg</f>
        <v>0</v>
      </c>
      <c r="AD68" s="22">
        <f>INDEX('Activity data'!AD$24:AD$39,MATCH(Emissions!$D68,'Activity data'!$D$24:$D$39,0))*INDEX(EF!$H$84:$H$99,MATCH(Emissions!$D68,EF!$D$84:$D$99,0))*INDEX(EF!$H$100:$H$115,MATCH(Emissions!$D68,EF!$D$100:$D$115,0))*INDEX(EF!$H$116:$H$131,MATCH(Emissions!$D68,EF!$D$116:$D$131,0))*kgtoGg</f>
        <v>0</v>
      </c>
      <c r="AE68" s="22">
        <f>INDEX('Activity data'!AE$24:AE$39,MATCH(Emissions!$D68,'Activity data'!$D$24:$D$39,0))*INDEX(EF!$H$84:$H$99,MATCH(Emissions!$D68,EF!$D$84:$D$99,0))*INDEX(EF!$H$100:$H$115,MATCH(Emissions!$D68,EF!$D$100:$D$115,0))*INDEX(EF!$H$116:$H$131,MATCH(Emissions!$D68,EF!$D$116:$D$131,0))*kgtoGg</f>
        <v>0</v>
      </c>
      <c r="AF68" s="22">
        <f>INDEX('Activity data'!AF$24:AF$39,MATCH(Emissions!$D68,'Activity data'!$D$24:$D$39,0))*INDEX(EF!$H$84:$H$99,MATCH(Emissions!$D68,EF!$D$84:$D$99,0))*INDEX(EF!$H$100:$H$115,MATCH(Emissions!$D68,EF!$D$100:$D$115,0))*INDEX(EF!$H$116:$H$131,MATCH(Emissions!$D68,EF!$D$116:$D$131,0))*kgtoGg</f>
        <v>0</v>
      </c>
      <c r="AG68" s="22">
        <f>INDEX('Activity data'!AG$24:AG$39,MATCH(Emissions!$D68,'Activity data'!$D$24:$D$39,0))*INDEX(EF!$H$84:$H$99,MATCH(Emissions!$D68,EF!$D$84:$D$99,0))*INDEX(EF!$H$100:$H$115,MATCH(Emissions!$D68,EF!$D$100:$D$115,0))*INDEX(EF!$H$116:$H$131,MATCH(Emissions!$D68,EF!$D$116:$D$131,0))*kgtoGg</f>
        <v>0</v>
      </c>
      <c r="AH68" s="22">
        <f>INDEX('Activity data'!AH$24:AH$39,MATCH(Emissions!$D68,'Activity data'!$D$24:$D$39,0))*INDEX(EF!$H$84:$H$99,MATCH(Emissions!$D68,EF!$D$84:$D$99,0))*INDEX(EF!$H$100:$H$115,MATCH(Emissions!$D68,EF!$D$100:$D$115,0))*INDEX(EF!$H$116:$H$131,MATCH(Emissions!$D68,EF!$D$116:$D$131,0))*kgtoGg</f>
        <v>0</v>
      </c>
      <c r="AI68" s="22">
        <f>INDEX('Activity data'!AI$24:AI$39,MATCH(Emissions!$D68,'Activity data'!$D$24:$D$39,0))*INDEX(EF!$H$84:$H$99,MATCH(Emissions!$D68,EF!$D$84:$D$99,0))*INDEX(EF!$H$100:$H$115,MATCH(Emissions!$D68,EF!$D$100:$D$115,0))*INDEX(EF!$H$116:$H$131,MATCH(Emissions!$D68,EF!$D$116:$D$131,0))*kgtoGg</f>
        <v>0</v>
      </c>
      <c r="AJ68" s="22">
        <f>INDEX('Activity data'!AJ$24:AJ$39,MATCH(Emissions!$D68,'Activity data'!$D$24:$D$39,0))*INDEX(EF!$H$84:$H$99,MATCH(Emissions!$D68,EF!$D$84:$D$99,0))*INDEX(EF!$H$100:$H$115,MATCH(Emissions!$D68,EF!$D$100:$D$115,0))*INDEX(EF!$H$116:$H$131,MATCH(Emissions!$D68,EF!$D$116:$D$131,0))*kgtoGg</f>
        <v>0</v>
      </c>
      <c r="AK68" s="22">
        <f>INDEX('Activity data'!AK$24:AK$39,MATCH(Emissions!$D68,'Activity data'!$D$24:$D$39,0))*INDEX(EF!$H$84:$H$99,MATCH(Emissions!$D68,EF!$D$84:$D$99,0))*INDEX(EF!$H$100:$H$115,MATCH(Emissions!$D68,EF!$D$100:$D$115,0))*INDEX(EF!$H$116:$H$131,MATCH(Emissions!$D68,EF!$D$116:$D$131,0))*kgtoGg</f>
        <v>0</v>
      </c>
      <c r="AL68" s="22">
        <f>INDEX('Activity data'!AL$24:AL$39,MATCH(Emissions!$D68,'Activity data'!$D$24:$D$39,0))*INDEX(EF!$H$84:$H$99,MATCH(Emissions!$D68,EF!$D$84:$D$99,0))*INDEX(EF!$H$100:$H$115,MATCH(Emissions!$D68,EF!$D$100:$D$115,0))*INDEX(EF!$H$116:$H$131,MATCH(Emissions!$D68,EF!$D$116:$D$131,0))*kgtoGg</f>
        <v>0</v>
      </c>
      <c r="AM68" s="22">
        <f>INDEX('Activity data'!AM$24:AM$39,MATCH(Emissions!$D68,'Activity data'!$D$24:$D$39,0))*INDEX(EF!$H$84:$H$99,MATCH(Emissions!$D68,EF!$D$84:$D$99,0))*INDEX(EF!$H$100:$H$115,MATCH(Emissions!$D68,EF!$D$100:$D$115,0))*INDEX(EF!$H$116:$H$131,MATCH(Emissions!$D68,EF!$D$116:$D$131,0))*kgtoGg</f>
        <v>0</v>
      </c>
      <c r="AN68" s="22">
        <f>INDEX('Activity data'!AN$24:AN$39,MATCH(Emissions!$D68,'Activity data'!$D$24:$D$39,0))*INDEX(EF!$H$84:$H$99,MATCH(Emissions!$D68,EF!$D$84:$D$99,0))*INDEX(EF!$H$100:$H$115,MATCH(Emissions!$D68,EF!$D$100:$D$115,0))*INDEX(EF!$H$116:$H$131,MATCH(Emissions!$D68,EF!$D$116:$D$131,0))*kgtoGg</f>
        <v>0</v>
      </c>
      <c r="AO68" s="22">
        <f>INDEX('Activity data'!AO$24:AO$39,MATCH(Emissions!$D68,'Activity data'!$D$24:$D$39,0))*INDEX(EF!$H$84:$H$99,MATCH(Emissions!$D68,EF!$D$84:$D$99,0))*INDEX(EF!$H$100:$H$115,MATCH(Emissions!$D68,EF!$D$100:$D$115,0))*INDEX(EF!$H$116:$H$131,MATCH(Emissions!$D68,EF!$D$116:$D$131,0))*kgtoGg</f>
        <v>0</v>
      </c>
      <c r="AP68" s="22">
        <f>INDEX('Activity data'!AP$24:AP$39,MATCH(Emissions!$D68,'Activity data'!$D$24:$D$39,0))*INDEX(EF!$H$84:$H$99,MATCH(Emissions!$D68,EF!$D$84:$D$99,0))*INDEX(EF!$H$100:$H$115,MATCH(Emissions!$D68,EF!$D$100:$D$115,0))*INDEX(EF!$H$116:$H$131,MATCH(Emissions!$D68,EF!$D$116:$D$131,0))*kgtoGg</f>
        <v>0</v>
      </c>
      <c r="AQ68" s="22">
        <f>INDEX('Activity data'!AQ$24:AQ$39,MATCH(Emissions!$D68,'Activity data'!$D$24:$D$39,0))*INDEX(EF!$H$84:$H$99,MATCH(Emissions!$D68,EF!$D$84:$D$99,0))*INDEX(EF!$H$100:$H$115,MATCH(Emissions!$D68,EF!$D$100:$D$115,0))*INDEX(EF!$H$116:$H$131,MATCH(Emissions!$D68,EF!$D$116:$D$131,0))*kgtoGg</f>
        <v>0</v>
      </c>
      <c r="AR68" s="22">
        <f>INDEX('Activity data'!AR$24:AR$39,MATCH(Emissions!$D68,'Activity data'!$D$24:$D$39,0))*INDEX(EF!$H$84:$H$99,MATCH(Emissions!$D68,EF!$D$84:$D$99,0))*INDEX(EF!$H$100:$H$115,MATCH(Emissions!$D68,EF!$D$100:$D$115,0))*INDEX(EF!$H$116:$H$131,MATCH(Emissions!$D68,EF!$D$116:$D$131,0))*kgtoGg</f>
        <v>0</v>
      </c>
      <c r="AS68" s="22">
        <f>INDEX('Activity data'!AS$24:AS$39,MATCH(Emissions!$D68,'Activity data'!$D$24:$D$39,0))*INDEX(EF!$H$84:$H$99,MATCH(Emissions!$D68,EF!$D$84:$D$99,0))*INDEX(EF!$H$100:$H$115,MATCH(Emissions!$D68,EF!$D$100:$D$115,0))*INDEX(EF!$H$116:$H$131,MATCH(Emissions!$D68,EF!$D$116:$D$131,0))*kgtoGg</f>
        <v>0</v>
      </c>
      <c r="AT68" s="22">
        <f>INDEX('Activity data'!AT$24:AT$39,MATCH(Emissions!$D68,'Activity data'!$D$24:$D$39,0))*INDEX(EF!$H$84:$H$99,MATCH(Emissions!$D68,EF!$D$84:$D$99,0))*INDEX(EF!$H$100:$H$115,MATCH(Emissions!$D68,EF!$D$100:$D$115,0))*INDEX(EF!$H$116:$H$131,MATCH(Emissions!$D68,EF!$D$116:$D$131,0))*kgtoGg</f>
        <v>0</v>
      </c>
      <c r="AU68" s="22">
        <f>INDEX('Activity data'!AU$24:AU$39,MATCH(Emissions!$D68,'Activity data'!$D$24:$D$39,0))*INDEX(EF!$H$84:$H$99,MATCH(Emissions!$D68,EF!$D$84:$D$99,0))*INDEX(EF!$H$100:$H$115,MATCH(Emissions!$D68,EF!$D$100:$D$115,0))*INDEX(EF!$H$116:$H$131,MATCH(Emissions!$D68,EF!$D$116:$D$131,0))*kgtoGg</f>
        <v>0</v>
      </c>
      <c r="AV68" s="22">
        <f>INDEX('Activity data'!AV$24:AV$39,MATCH(Emissions!$D68,'Activity data'!$D$24:$D$39,0))*INDEX(EF!$H$84:$H$99,MATCH(Emissions!$D68,EF!$D$84:$D$99,0))*INDEX(EF!$H$100:$H$115,MATCH(Emissions!$D68,EF!$D$100:$D$115,0))*INDEX(EF!$H$116:$H$131,MATCH(Emissions!$D68,EF!$D$116:$D$131,0))*kgtoGg</f>
        <v>0</v>
      </c>
      <c r="AW68" s="22">
        <f>INDEX('Activity data'!AW$24:AW$39,MATCH(Emissions!$D68,'Activity data'!$D$24:$D$39,0))*INDEX(EF!$H$84:$H$99,MATCH(Emissions!$D68,EF!$D$84:$D$99,0))*INDEX(EF!$H$100:$H$115,MATCH(Emissions!$D68,EF!$D$100:$D$115,0))*INDEX(EF!$H$116:$H$131,MATCH(Emissions!$D68,EF!$D$116:$D$131,0))*kgtoGg</f>
        <v>0</v>
      </c>
      <c r="AX68" s="22">
        <f>INDEX('Activity data'!AX$24:AX$39,MATCH(Emissions!$D68,'Activity data'!$D$24:$D$39,0))*INDEX(EF!$H$84:$H$99,MATCH(Emissions!$D68,EF!$D$84:$D$99,0))*INDEX(EF!$H$100:$H$115,MATCH(Emissions!$D68,EF!$D$100:$D$115,0))*INDEX(EF!$H$116:$H$131,MATCH(Emissions!$D68,EF!$D$116:$D$131,0))*kgtoGg</f>
        <v>0</v>
      </c>
      <c r="AY68" s="22">
        <f>INDEX('Activity data'!AY$24:AY$39,MATCH(Emissions!$D68,'Activity data'!$D$24:$D$39,0))*INDEX(EF!$H$84:$H$99,MATCH(Emissions!$D68,EF!$D$84:$D$99,0))*INDEX(EF!$H$100:$H$115,MATCH(Emissions!$D68,EF!$D$100:$D$115,0))*INDEX(EF!$H$116:$H$131,MATCH(Emissions!$D68,EF!$D$116:$D$131,0))*kgtoGg</f>
        <v>0</v>
      </c>
      <c r="AZ68" s="22">
        <f>INDEX('Activity data'!AZ$24:AZ$39,MATCH(Emissions!$D68,'Activity data'!$D$24:$D$39,0))*INDEX(EF!$H$84:$H$99,MATCH(Emissions!$D68,EF!$D$84:$D$99,0))*INDEX(EF!$H$100:$H$115,MATCH(Emissions!$D68,EF!$D$100:$D$115,0))*INDEX(EF!$H$116:$H$131,MATCH(Emissions!$D68,EF!$D$116:$D$131,0))*kgtoGg</f>
        <v>0</v>
      </c>
      <c r="BA68" s="22">
        <f>INDEX('Activity data'!BA$24:BA$39,MATCH(Emissions!$D68,'Activity data'!$D$24:$D$39,0))*INDEX(EF!$H$84:$H$99,MATCH(Emissions!$D68,EF!$D$84:$D$99,0))*INDEX(EF!$H$100:$H$115,MATCH(Emissions!$D68,EF!$D$100:$D$115,0))*INDEX(EF!$H$116:$H$131,MATCH(Emissions!$D68,EF!$D$116:$D$131,0))*kgtoGg</f>
        <v>0</v>
      </c>
      <c r="BB68" s="22">
        <f>INDEX('Activity data'!BB$24:BB$39,MATCH(Emissions!$D68,'Activity data'!$D$24:$D$39,0))*INDEX(EF!$H$84:$H$99,MATCH(Emissions!$D68,EF!$D$84:$D$99,0))*INDEX(EF!$H$100:$H$115,MATCH(Emissions!$D68,EF!$D$100:$D$115,0))*INDEX(EF!$H$116:$H$131,MATCH(Emissions!$D68,EF!$D$116:$D$131,0))*kgtoGg</f>
        <v>0</v>
      </c>
      <c r="BC68" s="22">
        <f>INDEX('Activity data'!BC$24:BC$39,MATCH(Emissions!$D68,'Activity data'!$D$24:$D$39,0))*INDEX(EF!$H$84:$H$99,MATCH(Emissions!$D68,EF!$D$84:$D$99,0))*INDEX(EF!$H$100:$H$115,MATCH(Emissions!$D68,EF!$D$100:$D$115,0))*INDEX(EF!$H$116:$H$131,MATCH(Emissions!$D68,EF!$D$116:$D$131,0))*kgtoGg</f>
        <v>0</v>
      </c>
      <c r="BD68" s="22">
        <f>INDEX('Activity data'!BD$24:BD$39,MATCH(Emissions!$D68,'Activity data'!$D$24:$D$39,0))*INDEX(EF!$H$84:$H$99,MATCH(Emissions!$D68,EF!$D$84:$D$99,0))*INDEX(EF!$H$100:$H$115,MATCH(Emissions!$D68,EF!$D$100:$D$115,0))*INDEX(EF!$H$116:$H$131,MATCH(Emissions!$D68,EF!$D$116:$D$131,0))*kgtoGg</f>
        <v>0</v>
      </c>
      <c r="BE68" s="22">
        <f>INDEX('Activity data'!BE$24:BE$39,MATCH(Emissions!$D68,'Activity data'!$D$24:$D$39,0))*INDEX(EF!$H$84:$H$99,MATCH(Emissions!$D68,EF!$D$84:$D$99,0))*INDEX(EF!$H$100:$H$115,MATCH(Emissions!$D68,EF!$D$100:$D$115,0))*INDEX(EF!$H$116:$H$131,MATCH(Emissions!$D68,EF!$D$116:$D$131,0))*kgtoGg</f>
        <v>0</v>
      </c>
      <c r="BF68" s="22">
        <f>INDEX('Activity data'!BF$24:BF$39,MATCH(Emissions!$D68,'Activity data'!$D$24:$D$39,0))*INDEX(EF!$H$84:$H$99,MATCH(Emissions!$D68,EF!$D$84:$D$99,0))*INDEX(EF!$H$100:$H$115,MATCH(Emissions!$D68,EF!$D$100:$D$115,0))*INDEX(EF!$H$116:$H$131,MATCH(Emissions!$D68,EF!$D$116:$D$131,0))*kgtoGg</f>
        <v>0</v>
      </c>
      <c r="BG68" s="22">
        <f>INDEX('Activity data'!BG$24:BG$39,MATCH(Emissions!$D68,'Activity data'!$D$24:$D$39,0))*INDEX(EF!$H$84:$H$99,MATCH(Emissions!$D68,EF!$D$84:$D$99,0))*INDEX(EF!$H$100:$H$115,MATCH(Emissions!$D68,EF!$D$100:$D$115,0))*INDEX(EF!$H$116:$H$131,MATCH(Emissions!$D68,EF!$D$116:$D$131,0))*kgtoGg</f>
        <v>0</v>
      </c>
      <c r="BH68" s="22">
        <f>INDEX('Activity data'!BH$24:BH$39,MATCH(Emissions!$D68,'Activity data'!$D$24:$D$39,0))*INDEX(EF!$H$84:$H$99,MATCH(Emissions!$D68,EF!$D$84:$D$99,0))*INDEX(EF!$H$100:$H$115,MATCH(Emissions!$D68,EF!$D$100:$D$115,0))*INDEX(EF!$H$116:$H$131,MATCH(Emissions!$D68,EF!$D$116:$D$131,0))*kgtoGg</f>
        <v>0</v>
      </c>
      <c r="BI68" s="22">
        <f>INDEX('Activity data'!BI$24:BI$39,MATCH(Emissions!$D68,'Activity data'!$D$24:$D$39,0))*INDEX(EF!$H$84:$H$99,MATCH(Emissions!$D68,EF!$D$84:$D$99,0))*INDEX(EF!$H$100:$H$115,MATCH(Emissions!$D68,EF!$D$100:$D$115,0))*INDEX(EF!$H$116:$H$131,MATCH(Emissions!$D68,EF!$D$116:$D$131,0))*kgtoGg</f>
        <v>0</v>
      </c>
      <c r="BJ68" s="22">
        <f>INDEX('Activity data'!BJ$24:BJ$39,MATCH(Emissions!$D68,'Activity data'!$D$24:$D$39,0))*INDEX(EF!$H$84:$H$99,MATCH(Emissions!$D68,EF!$D$84:$D$99,0))*INDEX(EF!$H$100:$H$115,MATCH(Emissions!$D68,EF!$D$100:$D$115,0))*INDEX(EF!$H$116:$H$131,MATCH(Emissions!$D68,EF!$D$116:$D$131,0))*kgtoGg</f>
        <v>0</v>
      </c>
      <c r="BK68" s="22">
        <f>INDEX('Activity data'!BK$24:BK$39,MATCH(Emissions!$D68,'Activity data'!$D$24:$D$39,0))*INDEX(EF!$H$84:$H$99,MATCH(Emissions!$D68,EF!$D$84:$D$99,0))*INDEX(EF!$H$100:$H$115,MATCH(Emissions!$D68,EF!$D$100:$D$115,0))*INDEX(EF!$H$116:$H$131,MATCH(Emissions!$D68,EF!$D$116:$D$131,0))*kgtoGg</f>
        <v>0</v>
      </c>
      <c r="BL68" s="22">
        <f>INDEX('Activity data'!BL$24:BL$39,MATCH(Emissions!$D68,'Activity data'!$D$24:$D$39,0))*INDEX(EF!$H$84:$H$99,MATCH(Emissions!$D68,EF!$D$84:$D$99,0))*INDEX(EF!$H$100:$H$115,MATCH(Emissions!$D68,EF!$D$100:$D$115,0))*INDEX(EF!$H$116:$H$131,MATCH(Emissions!$D68,EF!$D$116:$D$131,0))*kgtoGg</f>
        <v>0</v>
      </c>
      <c r="BM68" s="22">
        <f>INDEX('Activity data'!BM$24:BM$39,MATCH(Emissions!$D68,'Activity data'!$D$24:$D$39,0))*INDEX(EF!$H$84:$H$99,MATCH(Emissions!$D68,EF!$D$84:$D$99,0))*INDEX(EF!$H$100:$H$115,MATCH(Emissions!$D68,EF!$D$100:$D$115,0))*INDEX(EF!$H$116:$H$131,MATCH(Emissions!$D68,EF!$D$116:$D$131,0))*kgtoGg</f>
        <v>0</v>
      </c>
      <c r="BN68" s="22">
        <f>INDEX('Activity data'!BN$24:BN$39,MATCH(Emissions!$D68,'Activity data'!$D$24:$D$39,0))*INDEX(EF!$H$84:$H$99,MATCH(Emissions!$D68,EF!$D$84:$D$99,0))*INDEX(EF!$H$100:$H$115,MATCH(Emissions!$D68,EF!$D$100:$D$115,0))*INDEX(EF!$H$116:$H$131,MATCH(Emissions!$D68,EF!$D$116:$D$131,0))*kgtoGg</f>
        <v>0</v>
      </c>
      <c r="BO68" s="22">
        <f>INDEX('Activity data'!BO$24:BO$39,MATCH(Emissions!$D68,'Activity data'!$D$24:$D$39,0))*INDEX(EF!$H$84:$H$99,MATCH(Emissions!$D68,EF!$D$84:$D$99,0))*INDEX(EF!$H$100:$H$115,MATCH(Emissions!$D68,EF!$D$100:$D$115,0))*INDEX(EF!$H$116:$H$131,MATCH(Emissions!$D68,EF!$D$116:$D$131,0))*kgtoGg</f>
        <v>0</v>
      </c>
      <c r="BP68" s="22">
        <f>INDEX('Activity data'!BP$24:BP$39,MATCH(Emissions!$D68,'Activity data'!$D$24:$D$39,0))*INDEX(EF!$H$84:$H$99,MATCH(Emissions!$D68,EF!$D$84:$D$99,0))*INDEX(EF!$H$100:$H$115,MATCH(Emissions!$D68,EF!$D$100:$D$115,0))*INDEX(EF!$H$116:$H$131,MATCH(Emissions!$D68,EF!$D$116:$D$131,0))*kgtoGg</f>
        <v>0</v>
      </c>
    </row>
    <row r="69" spans="1:68" x14ac:dyDescent="0.25">
      <c r="A69" t="str">
        <f t="shared" si="19"/>
        <v>3C Aggregated and non-CO2 emissions on land</v>
      </c>
      <c r="B69" t="str">
        <f t="shared" si="20"/>
        <v>3C1 Biomass burning (CH4)</v>
      </c>
      <c r="C69" t="str">
        <f>'IPCC Categories'!C64</f>
        <v>3C1f Biomass burning in Other lands</v>
      </c>
      <c r="D69" t="str">
        <f>EF!D99</f>
        <v>Bare ground</v>
      </c>
      <c r="E69" t="s">
        <v>661</v>
      </c>
      <c r="F69" t="str">
        <f t="shared" si="23"/>
        <v>CH4</v>
      </c>
      <c r="G69" t="str">
        <f t="shared" si="24"/>
        <v>Gg CH4</v>
      </c>
      <c r="H69" s="22">
        <f>INDEX('Activity data'!H$24:H$39,MATCH(Emissions!$D69,'Activity data'!$D$24:$D$39,0))*INDEX(EF!$H$84:$H$99,MATCH(Emissions!$D69,EF!$D$84:$D$99,0))*INDEX(EF!$H$100:$H$115,MATCH(Emissions!$D69,EF!$D$100:$D$115,0))*INDEX(EF!$H$116:$H$131,MATCH(Emissions!$D69,EF!$D$116:$D$131,0))*kgtoGg</f>
        <v>0</v>
      </c>
      <c r="I69" s="22">
        <f>INDEX('Activity data'!I$24:I$39,MATCH(Emissions!$D69,'Activity data'!$D$24:$D$39,0))*INDEX(EF!$H$84:$H$99,MATCH(Emissions!$D69,EF!$D$84:$D$99,0))*INDEX(EF!$H$100:$H$115,MATCH(Emissions!$D69,EF!$D$100:$D$115,0))*INDEX(EF!$H$116:$H$131,MATCH(Emissions!$D69,EF!$D$116:$D$131,0))*kgtoGg</f>
        <v>0</v>
      </c>
      <c r="J69" s="22">
        <f>INDEX('Activity data'!J$24:J$39,MATCH(Emissions!$D69,'Activity data'!$D$24:$D$39,0))*INDEX(EF!$H$84:$H$99,MATCH(Emissions!$D69,EF!$D$84:$D$99,0))*INDEX(EF!$H$100:$H$115,MATCH(Emissions!$D69,EF!$D$100:$D$115,0))*INDEX(EF!$H$116:$H$131,MATCH(Emissions!$D69,EF!$D$116:$D$131,0))*kgtoGg</f>
        <v>0</v>
      </c>
      <c r="K69" s="22">
        <f>INDEX('Activity data'!K$24:K$39,MATCH(Emissions!$D69,'Activity data'!$D$24:$D$39,0))*INDEX(EF!$H$84:$H$99,MATCH(Emissions!$D69,EF!$D$84:$D$99,0))*INDEX(EF!$H$100:$H$115,MATCH(Emissions!$D69,EF!$D$100:$D$115,0))*INDEX(EF!$H$116:$H$131,MATCH(Emissions!$D69,EF!$D$116:$D$131,0))*kgtoGg</f>
        <v>0</v>
      </c>
      <c r="L69" s="22">
        <f>INDEX('Activity data'!L$24:L$39,MATCH(Emissions!$D69,'Activity data'!$D$24:$D$39,0))*INDEX(EF!$H$84:$H$99,MATCH(Emissions!$D69,EF!$D$84:$D$99,0))*INDEX(EF!$H$100:$H$115,MATCH(Emissions!$D69,EF!$D$100:$D$115,0))*INDEX(EF!$H$116:$H$131,MATCH(Emissions!$D69,EF!$D$116:$D$131,0))*kgtoGg</f>
        <v>0</v>
      </c>
      <c r="M69" s="22">
        <f>INDEX('Activity data'!M$24:M$39,MATCH(Emissions!$D69,'Activity data'!$D$24:$D$39,0))*INDEX(EF!$H$84:$H$99,MATCH(Emissions!$D69,EF!$D$84:$D$99,0))*INDEX(EF!$H$100:$H$115,MATCH(Emissions!$D69,EF!$D$100:$D$115,0))*INDEX(EF!$H$116:$H$131,MATCH(Emissions!$D69,EF!$D$116:$D$131,0))*kgtoGg</f>
        <v>0</v>
      </c>
      <c r="N69" s="22">
        <f>INDEX('Activity data'!N$24:N$39,MATCH(Emissions!$D69,'Activity data'!$D$24:$D$39,0))*INDEX(EF!$H$84:$H$99,MATCH(Emissions!$D69,EF!$D$84:$D$99,0))*INDEX(EF!$H$100:$H$115,MATCH(Emissions!$D69,EF!$D$100:$D$115,0))*INDEX(EF!$H$116:$H$131,MATCH(Emissions!$D69,EF!$D$116:$D$131,0))*kgtoGg</f>
        <v>0</v>
      </c>
      <c r="O69" s="22">
        <f>INDEX('Activity data'!O$24:O$39,MATCH(Emissions!$D69,'Activity data'!$D$24:$D$39,0))*INDEX(EF!$H$84:$H$99,MATCH(Emissions!$D69,EF!$D$84:$D$99,0))*INDEX(EF!$H$100:$H$115,MATCH(Emissions!$D69,EF!$D$100:$D$115,0))*INDEX(EF!$H$116:$H$131,MATCH(Emissions!$D69,EF!$D$116:$D$131,0))*kgtoGg</f>
        <v>0</v>
      </c>
      <c r="P69" s="22">
        <f>INDEX('Activity data'!P$24:P$39,MATCH(Emissions!$D69,'Activity data'!$D$24:$D$39,0))*INDEX(EF!$H$84:$H$99,MATCH(Emissions!$D69,EF!$D$84:$D$99,0))*INDEX(EF!$H$100:$H$115,MATCH(Emissions!$D69,EF!$D$100:$D$115,0))*INDEX(EF!$H$116:$H$131,MATCH(Emissions!$D69,EF!$D$116:$D$131,0))*kgtoGg</f>
        <v>0</v>
      </c>
      <c r="Q69" s="22">
        <f>INDEX('Activity data'!Q$24:Q$39,MATCH(Emissions!$D69,'Activity data'!$D$24:$D$39,0))*INDEX(EF!$H$84:$H$99,MATCH(Emissions!$D69,EF!$D$84:$D$99,0))*INDEX(EF!$H$100:$H$115,MATCH(Emissions!$D69,EF!$D$100:$D$115,0))*INDEX(EF!$H$116:$H$131,MATCH(Emissions!$D69,EF!$D$116:$D$131,0))*kgtoGg</f>
        <v>0</v>
      </c>
      <c r="R69" s="22">
        <f>INDEX('Activity data'!R$24:R$39,MATCH(Emissions!$D69,'Activity data'!$D$24:$D$39,0))*INDEX(EF!$H$84:$H$99,MATCH(Emissions!$D69,EF!$D$84:$D$99,0))*INDEX(EF!$H$100:$H$115,MATCH(Emissions!$D69,EF!$D$100:$D$115,0))*INDEX(EF!$H$116:$H$131,MATCH(Emissions!$D69,EF!$D$116:$D$131,0))*kgtoGg</f>
        <v>0</v>
      </c>
      <c r="S69" s="22">
        <f>INDEX('Activity data'!S$24:S$39,MATCH(Emissions!$D69,'Activity data'!$D$24:$D$39,0))*INDEX(EF!$H$84:$H$99,MATCH(Emissions!$D69,EF!$D$84:$D$99,0))*INDEX(EF!$H$100:$H$115,MATCH(Emissions!$D69,EF!$D$100:$D$115,0))*INDEX(EF!$H$116:$H$131,MATCH(Emissions!$D69,EF!$D$116:$D$131,0))*kgtoGg</f>
        <v>0</v>
      </c>
      <c r="T69" s="22">
        <f>INDEX('Activity data'!T$24:T$39,MATCH(Emissions!$D69,'Activity data'!$D$24:$D$39,0))*INDEX(EF!$H$84:$H$99,MATCH(Emissions!$D69,EF!$D$84:$D$99,0))*INDEX(EF!$H$100:$H$115,MATCH(Emissions!$D69,EF!$D$100:$D$115,0))*INDEX(EF!$H$116:$H$131,MATCH(Emissions!$D69,EF!$D$116:$D$131,0))*kgtoGg</f>
        <v>0</v>
      </c>
      <c r="U69" s="22">
        <f>INDEX('Activity data'!U$24:U$39,MATCH(Emissions!$D69,'Activity data'!$D$24:$D$39,0))*INDEX(EF!$H$84:$H$99,MATCH(Emissions!$D69,EF!$D$84:$D$99,0))*INDEX(EF!$H$100:$H$115,MATCH(Emissions!$D69,EF!$D$100:$D$115,0))*INDEX(EF!$H$116:$H$131,MATCH(Emissions!$D69,EF!$D$116:$D$131,0))*kgtoGg</f>
        <v>0</v>
      </c>
      <c r="V69" s="22">
        <f>INDEX('Activity data'!V$24:V$39,MATCH(Emissions!$D69,'Activity data'!$D$24:$D$39,0))*INDEX(EF!$H$84:$H$99,MATCH(Emissions!$D69,EF!$D$84:$D$99,0))*INDEX(EF!$H$100:$H$115,MATCH(Emissions!$D69,EF!$D$100:$D$115,0))*INDEX(EF!$H$116:$H$131,MATCH(Emissions!$D69,EF!$D$116:$D$131,0))*kgtoGg</f>
        <v>0</v>
      </c>
      <c r="W69" s="22">
        <f>INDEX('Activity data'!W$24:W$39,MATCH(Emissions!$D69,'Activity data'!$D$24:$D$39,0))*INDEX(EF!$H$84:$H$99,MATCH(Emissions!$D69,EF!$D$84:$D$99,0))*INDEX(EF!$H$100:$H$115,MATCH(Emissions!$D69,EF!$D$100:$D$115,0))*INDEX(EF!$H$116:$H$131,MATCH(Emissions!$D69,EF!$D$116:$D$131,0))*kgtoGg</f>
        <v>0</v>
      </c>
      <c r="X69" s="22">
        <f>INDEX('Activity data'!X$24:X$39,MATCH(Emissions!$D69,'Activity data'!$D$24:$D$39,0))*INDEX(EF!$H$84:$H$99,MATCH(Emissions!$D69,EF!$D$84:$D$99,0))*INDEX(EF!$H$100:$H$115,MATCH(Emissions!$D69,EF!$D$100:$D$115,0))*INDEX(EF!$H$116:$H$131,MATCH(Emissions!$D69,EF!$D$116:$D$131,0))*kgtoGg</f>
        <v>0</v>
      </c>
      <c r="Y69" s="22">
        <f>INDEX('Activity data'!Y$24:Y$39,MATCH(Emissions!$D69,'Activity data'!$D$24:$D$39,0))*INDEX(EF!$H$84:$H$99,MATCH(Emissions!$D69,EF!$D$84:$D$99,0))*INDEX(EF!$H$100:$H$115,MATCH(Emissions!$D69,EF!$D$100:$D$115,0))*INDEX(EF!$H$116:$H$131,MATCH(Emissions!$D69,EF!$D$116:$D$131,0))*kgtoGg</f>
        <v>0</v>
      </c>
      <c r="Z69" s="22">
        <f>INDEX('Activity data'!Z$24:Z$39,MATCH(Emissions!$D69,'Activity data'!$D$24:$D$39,0))*INDEX(EF!$H$84:$H$99,MATCH(Emissions!$D69,EF!$D$84:$D$99,0))*INDEX(EF!$H$100:$H$115,MATCH(Emissions!$D69,EF!$D$100:$D$115,0))*INDEX(EF!$H$116:$H$131,MATCH(Emissions!$D69,EF!$D$116:$D$131,0))*kgtoGg</f>
        <v>0</v>
      </c>
      <c r="AA69" s="22">
        <f>INDEX('Activity data'!AA$24:AA$39,MATCH(Emissions!$D69,'Activity data'!$D$24:$D$39,0))*INDEX(EF!$H$84:$H$99,MATCH(Emissions!$D69,EF!$D$84:$D$99,0))*INDEX(EF!$H$100:$H$115,MATCH(Emissions!$D69,EF!$D$100:$D$115,0))*INDEX(EF!$H$116:$H$131,MATCH(Emissions!$D69,EF!$D$116:$D$131,0))*kgtoGg</f>
        <v>0</v>
      </c>
      <c r="AB69" s="22">
        <f>INDEX('Activity data'!AB$24:AB$39,MATCH(Emissions!$D69,'Activity data'!$D$24:$D$39,0))*INDEX(EF!$H$84:$H$99,MATCH(Emissions!$D69,EF!$D$84:$D$99,0))*INDEX(EF!$H$100:$H$115,MATCH(Emissions!$D69,EF!$D$100:$D$115,0))*INDEX(EF!$H$116:$H$131,MATCH(Emissions!$D69,EF!$D$116:$D$131,0))*kgtoGg</f>
        <v>0</v>
      </c>
      <c r="AC69" s="22">
        <f>INDEX('Activity data'!AC$24:AC$39,MATCH(Emissions!$D69,'Activity data'!$D$24:$D$39,0))*INDEX(EF!$H$84:$H$99,MATCH(Emissions!$D69,EF!$D$84:$D$99,0))*INDEX(EF!$H$100:$H$115,MATCH(Emissions!$D69,EF!$D$100:$D$115,0))*INDEX(EF!$H$116:$H$131,MATCH(Emissions!$D69,EF!$D$116:$D$131,0))*kgtoGg</f>
        <v>0</v>
      </c>
      <c r="AD69" s="22">
        <f>INDEX('Activity data'!AD$24:AD$39,MATCH(Emissions!$D69,'Activity data'!$D$24:$D$39,0))*INDEX(EF!$H$84:$H$99,MATCH(Emissions!$D69,EF!$D$84:$D$99,0))*INDEX(EF!$H$100:$H$115,MATCH(Emissions!$D69,EF!$D$100:$D$115,0))*INDEX(EF!$H$116:$H$131,MATCH(Emissions!$D69,EF!$D$116:$D$131,0))*kgtoGg</f>
        <v>0</v>
      </c>
      <c r="AE69" s="22">
        <f>INDEX('Activity data'!AE$24:AE$39,MATCH(Emissions!$D69,'Activity data'!$D$24:$D$39,0))*INDEX(EF!$H$84:$H$99,MATCH(Emissions!$D69,EF!$D$84:$D$99,0))*INDEX(EF!$H$100:$H$115,MATCH(Emissions!$D69,EF!$D$100:$D$115,0))*INDEX(EF!$H$116:$H$131,MATCH(Emissions!$D69,EF!$D$116:$D$131,0))*kgtoGg</f>
        <v>0</v>
      </c>
      <c r="AF69" s="22">
        <f>INDEX('Activity data'!AF$24:AF$39,MATCH(Emissions!$D69,'Activity data'!$D$24:$D$39,0))*INDEX(EF!$H$84:$H$99,MATCH(Emissions!$D69,EF!$D$84:$D$99,0))*INDEX(EF!$H$100:$H$115,MATCH(Emissions!$D69,EF!$D$100:$D$115,0))*INDEX(EF!$H$116:$H$131,MATCH(Emissions!$D69,EF!$D$116:$D$131,0))*kgtoGg</f>
        <v>0</v>
      </c>
      <c r="AG69" s="22">
        <f>INDEX('Activity data'!AG$24:AG$39,MATCH(Emissions!$D69,'Activity data'!$D$24:$D$39,0))*INDEX(EF!$H$84:$H$99,MATCH(Emissions!$D69,EF!$D$84:$D$99,0))*INDEX(EF!$H$100:$H$115,MATCH(Emissions!$D69,EF!$D$100:$D$115,0))*INDEX(EF!$H$116:$H$131,MATCH(Emissions!$D69,EF!$D$116:$D$131,0))*kgtoGg</f>
        <v>0</v>
      </c>
      <c r="AH69" s="22">
        <f>INDEX('Activity data'!AH$24:AH$39,MATCH(Emissions!$D69,'Activity data'!$D$24:$D$39,0))*INDEX(EF!$H$84:$H$99,MATCH(Emissions!$D69,EF!$D$84:$D$99,0))*INDEX(EF!$H$100:$H$115,MATCH(Emissions!$D69,EF!$D$100:$D$115,0))*INDEX(EF!$H$116:$H$131,MATCH(Emissions!$D69,EF!$D$116:$D$131,0))*kgtoGg</f>
        <v>0</v>
      </c>
      <c r="AI69" s="22">
        <f>INDEX('Activity data'!AI$24:AI$39,MATCH(Emissions!$D69,'Activity data'!$D$24:$D$39,0))*INDEX(EF!$H$84:$H$99,MATCH(Emissions!$D69,EF!$D$84:$D$99,0))*INDEX(EF!$H$100:$H$115,MATCH(Emissions!$D69,EF!$D$100:$D$115,0))*INDEX(EF!$H$116:$H$131,MATCH(Emissions!$D69,EF!$D$116:$D$131,0))*kgtoGg</f>
        <v>0</v>
      </c>
      <c r="AJ69" s="22">
        <f>INDEX('Activity data'!AJ$24:AJ$39,MATCH(Emissions!$D69,'Activity data'!$D$24:$D$39,0))*INDEX(EF!$H$84:$H$99,MATCH(Emissions!$D69,EF!$D$84:$D$99,0))*INDEX(EF!$H$100:$H$115,MATCH(Emissions!$D69,EF!$D$100:$D$115,0))*INDEX(EF!$H$116:$H$131,MATCH(Emissions!$D69,EF!$D$116:$D$131,0))*kgtoGg</f>
        <v>0</v>
      </c>
      <c r="AK69" s="22">
        <f>INDEX('Activity data'!AK$24:AK$39,MATCH(Emissions!$D69,'Activity data'!$D$24:$D$39,0))*INDEX(EF!$H$84:$H$99,MATCH(Emissions!$D69,EF!$D$84:$D$99,0))*INDEX(EF!$H$100:$H$115,MATCH(Emissions!$D69,EF!$D$100:$D$115,0))*INDEX(EF!$H$116:$H$131,MATCH(Emissions!$D69,EF!$D$116:$D$131,0))*kgtoGg</f>
        <v>0</v>
      </c>
      <c r="AL69" s="22">
        <f>INDEX('Activity data'!AL$24:AL$39,MATCH(Emissions!$D69,'Activity data'!$D$24:$D$39,0))*INDEX(EF!$H$84:$H$99,MATCH(Emissions!$D69,EF!$D$84:$D$99,0))*INDEX(EF!$H$100:$H$115,MATCH(Emissions!$D69,EF!$D$100:$D$115,0))*INDEX(EF!$H$116:$H$131,MATCH(Emissions!$D69,EF!$D$116:$D$131,0))*kgtoGg</f>
        <v>0</v>
      </c>
      <c r="AM69" s="22">
        <f>INDEX('Activity data'!AM$24:AM$39,MATCH(Emissions!$D69,'Activity data'!$D$24:$D$39,0))*INDEX(EF!$H$84:$H$99,MATCH(Emissions!$D69,EF!$D$84:$D$99,0))*INDEX(EF!$H$100:$H$115,MATCH(Emissions!$D69,EF!$D$100:$D$115,0))*INDEX(EF!$H$116:$H$131,MATCH(Emissions!$D69,EF!$D$116:$D$131,0))*kgtoGg</f>
        <v>0</v>
      </c>
      <c r="AN69" s="22">
        <f>INDEX('Activity data'!AN$24:AN$39,MATCH(Emissions!$D69,'Activity data'!$D$24:$D$39,0))*INDEX(EF!$H$84:$H$99,MATCH(Emissions!$D69,EF!$D$84:$D$99,0))*INDEX(EF!$H$100:$H$115,MATCH(Emissions!$D69,EF!$D$100:$D$115,0))*INDEX(EF!$H$116:$H$131,MATCH(Emissions!$D69,EF!$D$116:$D$131,0))*kgtoGg</f>
        <v>0</v>
      </c>
      <c r="AO69" s="22">
        <f>INDEX('Activity data'!AO$24:AO$39,MATCH(Emissions!$D69,'Activity data'!$D$24:$D$39,0))*INDEX(EF!$H$84:$H$99,MATCH(Emissions!$D69,EF!$D$84:$D$99,0))*INDEX(EF!$H$100:$H$115,MATCH(Emissions!$D69,EF!$D$100:$D$115,0))*INDEX(EF!$H$116:$H$131,MATCH(Emissions!$D69,EF!$D$116:$D$131,0))*kgtoGg</f>
        <v>0</v>
      </c>
      <c r="AP69" s="22">
        <f>INDEX('Activity data'!AP$24:AP$39,MATCH(Emissions!$D69,'Activity data'!$D$24:$D$39,0))*INDEX(EF!$H$84:$H$99,MATCH(Emissions!$D69,EF!$D$84:$D$99,0))*INDEX(EF!$H$100:$H$115,MATCH(Emissions!$D69,EF!$D$100:$D$115,0))*INDEX(EF!$H$116:$H$131,MATCH(Emissions!$D69,EF!$D$116:$D$131,0))*kgtoGg</f>
        <v>0</v>
      </c>
      <c r="AQ69" s="22">
        <f>INDEX('Activity data'!AQ$24:AQ$39,MATCH(Emissions!$D69,'Activity data'!$D$24:$D$39,0))*INDEX(EF!$H$84:$H$99,MATCH(Emissions!$D69,EF!$D$84:$D$99,0))*INDEX(EF!$H$100:$H$115,MATCH(Emissions!$D69,EF!$D$100:$D$115,0))*INDEX(EF!$H$116:$H$131,MATCH(Emissions!$D69,EF!$D$116:$D$131,0))*kgtoGg</f>
        <v>0</v>
      </c>
      <c r="AR69" s="22">
        <f>INDEX('Activity data'!AR$24:AR$39,MATCH(Emissions!$D69,'Activity data'!$D$24:$D$39,0))*INDEX(EF!$H$84:$H$99,MATCH(Emissions!$D69,EF!$D$84:$D$99,0))*INDEX(EF!$H$100:$H$115,MATCH(Emissions!$D69,EF!$D$100:$D$115,0))*INDEX(EF!$H$116:$H$131,MATCH(Emissions!$D69,EF!$D$116:$D$131,0))*kgtoGg</f>
        <v>0</v>
      </c>
      <c r="AS69" s="22">
        <f>INDEX('Activity data'!AS$24:AS$39,MATCH(Emissions!$D69,'Activity data'!$D$24:$D$39,0))*INDEX(EF!$H$84:$H$99,MATCH(Emissions!$D69,EF!$D$84:$D$99,0))*INDEX(EF!$H$100:$H$115,MATCH(Emissions!$D69,EF!$D$100:$D$115,0))*INDEX(EF!$H$116:$H$131,MATCH(Emissions!$D69,EF!$D$116:$D$131,0))*kgtoGg</f>
        <v>0</v>
      </c>
      <c r="AT69" s="22">
        <f>INDEX('Activity data'!AT$24:AT$39,MATCH(Emissions!$D69,'Activity data'!$D$24:$D$39,0))*INDEX(EF!$H$84:$H$99,MATCH(Emissions!$D69,EF!$D$84:$D$99,0))*INDEX(EF!$H$100:$H$115,MATCH(Emissions!$D69,EF!$D$100:$D$115,0))*INDEX(EF!$H$116:$H$131,MATCH(Emissions!$D69,EF!$D$116:$D$131,0))*kgtoGg</f>
        <v>0</v>
      </c>
      <c r="AU69" s="22">
        <f>INDEX('Activity data'!AU$24:AU$39,MATCH(Emissions!$D69,'Activity data'!$D$24:$D$39,0))*INDEX(EF!$H$84:$H$99,MATCH(Emissions!$D69,EF!$D$84:$D$99,0))*INDEX(EF!$H$100:$H$115,MATCH(Emissions!$D69,EF!$D$100:$D$115,0))*INDEX(EF!$H$116:$H$131,MATCH(Emissions!$D69,EF!$D$116:$D$131,0))*kgtoGg</f>
        <v>0</v>
      </c>
      <c r="AV69" s="22">
        <f>INDEX('Activity data'!AV$24:AV$39,MATCH(Emissions!$D69,'Activity data'!$D$24:$D$39,0))*INDEX(EF!$H$84:$H$99,MATCH(Emissions!$D69,EF!$D$84:$D$99,0))*INDEX(EF!$H$100:$H$115,MATCH(Emissions!$D69,EF!$D$100:$D$115,0))*INDEX(EF!$H$116:$H$131,MATCH(Emissions!$D69,EF!$D$116:$D$131,0))*kgtoGg</f>
        <v>0</v>
      </c>
      <c r="AW69" s="22">
        <f>INDEX('Activity data'!AW$24:AW$39,MATCH(Emissions!$D69,'Activity data'!$D$24:$D$39,0))*INDEX(EF!$H$84:$H$99,MATCH(Emissions!$D69,EF!$D$84:$D$99,0))*INDEX(EF!$H$100:$H$115,MATCH(Emissions!$D69,EF!$D$100:$D$115,0))*INDEX(EF!$H$116:$H$131,MATCH(Emissions!$D69,EF!$D$116:$D$131,0))*kgtoGg</f>
        <v>0</v>
      </c>
      <c r="AX69" s="22">
        <f>INDEX('Activity data'!AX$24:AX$39,MATCH(Emissions!$D69,'Activity data'!$D$24:$D$39,0))*INDEX(EF!$H$84:$H$99,MATCH(Emissions!$D69,EF!$D$84:$D$99,0))*INDEX(EF!$H$100:$H$115,MATCH(Emissions!$D69,EF!$D$100:$D$115,0))*INDEX(EF!$H$116:$H$131,MATCH(Emissions!$D69,EF!$D$116:$D$131,0))*kgtoGg</f>
        <v>0</v>
      </c>
      <c r="AY69" s="22">
        <f>INDEX('Activity data'!AY$24:AY$39,MATCH(Emissions!$D69,'Activity data'!$D$24:$D$39,0))*INDEX(EF!$H$84:$H$99,MATCH(Emissions!$D69,EF!$D$84:$D$99,0))*INDEX(EF!$H$100:$H$115,MATCH(Emissions!$D69,EF!$D$100:$D$115,0))*INDEX(EF!$H$116:$H$131,MATCH(Emissions!$D69,EF!$D$116:$D$131,0))*kgtoGg</f>
        <v>0</v>
      </c>
      <c r="AZ69" s="22">
        <f>INDEX('Activity data'!AZ$24:AZ$39,MATCH(Emissions!$D69,'Activity data'!$D$24:$D$39,0))*INDEX(EF!$H$84:$H$99,MATCH(Emissions!$D69,EF!$D$84:$D$99,0))*INDEX(EF!$H$100:$H$115,MATCH(Emissions!$D69,EF!$D$100:$D$115,0))*INDEX(EF!$H$116:$H$131,MATCH(Emissions!$D69,EF!$D$116:$D$131,0))*kgtoGg</f>
        <v>0</v>
      </c>
      <c r="BA69" s="22">
        <f>INDEX('Activity data'!BA$24:BA$39,MATCH(Emissions!$D69,'Activity data'!$D$24:$D$39,0))*INDEX(EF!$H$84:$H$99,MATCH(Emissions!$D69,EF!$D$84:$D$99,0))*INDEX(EF!$H$100:$H$115,MATCH(Emissions!$D69,EF!$D$100:$D$115,0))*INDEX(EF!$H$116:$H$131,MATCH(Emissions!$D69,EF!$D$116:$D$131,0))*kgtoGg</f>
        <v>0</v>
      </c>
      <c r="BB69" s="22">
        <f>INDEX('Activity data'!BB$24:BB$39,MATCH(Emissions!$D69,'Activity data'!$D$24:$D$39,0))*INDEX(EF!$H$84:$H$99,MATCH(Emissions!$D69,EF!$D$84:$D$99,0))*INDEX(EF!$H$100:$H$115,MATCH(Emissions!$D69,EF!$D$100:$D$115,0))*INDEX(EF!$H$116:$H$131,MATCH(Emissions!$D69,EF!$D$116:$D$131,0))*kgtoGg</f>
        <v>0</v>
      </c>
      <c r="BC69" s="22">
        <f>INDEX('Activity data'!BC$24:BC$39,MATCH(Emissions!$D69,'Activity data'!$D$24:$D$39,0))*INDEX(EF!$H$84:$H$99,MATCH(Emissions!$D69,EF!$D$84:$D$99,0))*INDEX(EF!$H$100:$H$115,MATCH(Emissions!$D69,EF!$D$100:$D$115,0))*INDEX(EF!$H$116:$H$131,MATCH(Emissions!$D69,EF!$D$116:$D$131,0))*kgtoGg</f>
        <v>0</v>
      </c>
      <c r="BD69" s="22">
        <f>INDEX('Activity data'!BD$24:BD$39,MATCH(Emissions!$D69,'Activity data'!$D$24:$D$39,0))*INDEX(EF!$H$84:$H$99,MATCH(Emissions!$D69,EF!$D$84:$D$99,0))*INDEX(EF!$H$100:$H$115,MATCH(Emissions!$D69,EF!$D$100:$D$115,0))*INDEX(EF!$H$116:$H$131,MATCH(Emissions!$D69,EF!$D$116:$D$131,0))*kgtoGg</f>
        <v>0</v>
      </c>
      <c r="BE69" s="22">
        <f>INDEX('Activity data'!BE$24:BE$39,MATCH(Emissions!$D69,'Activity data'!$D$24:$D$39,0))*INDEX(EF!$H$84:$H$99,MATCH(Emissions!$D69,EF!$D$84:$D$99,0))*INDEX(EF!$H$100:$H$115,MATCH(Emissions!$D69,EF!$D$100:$D$115,0))*INDEX(EF!$H$116:$H$131,MATCH(Emissions!$D69,EF!$D$116:$D$131,0))*kgtoGg</f>
        <v>0</v>
      </c>
      <c r="BF69" s="22">
        <f>INDEX('Activity data'!BF$24:BF$39,MATCH(Emissions!$D69,'Activity data'!$D$24:$D$39,0))*INDEX(EF!$H$84:$H$99,MATCH(Emissions!$D69,EF!$D$84:$D$99,0))*INDEX(EF!$H$100:$H$115,MATCH(Emissions!$D69,EF!$D$100:$D$115,0))*INDEX(EF!$H$116:$H$131,MATCH(Emissions!$D69,EF!$D$116:$D$131,0))*kgtoGg</f>
        <v>0</v>
      </c>
      <c r="BG69" s="22">
        <f>INDEX('Activity data'!BG$24:BG$39,MATCH(Emissions!$D69,'Activity data'!$D$24:$D$39,0))*INDEX(EF!$H$84:$H$99,MATCH(Emissions!$D69,EF!$D$84:$D$99,0))*INDEX(EF!$H$100:$H$115,MATCH(Emissions!$D69,EF!$D$100:$D$115,0))*INDEX(EF!$H$116:$H$131,MATCH(Emissions!$D69,EF!$D$116:$D$131,0))*kgtoGg</f>
        <v>0</v>
      </c>
      <c r="BH69" s="22">
        <f>INDEX('Activity data'!BH$24:BH$39,MATCH(Emissions!$D69,'Activity data'!$D$24:$D$39,0))*INDEX(EF!$H$84:$H$99,MATCH(Emissions!$D69,EF!$D$84:$D$99,0))*INDEX(EF!$H$100:$H$115,MATCH(Emissions!$D69,EF!$D$100:$D$115,0))*INDEX(EF!$H$116:$H$131,MATCH(Emissions!$D69,EF!$D$116:$D$131,0))*kgtoGg</f>
        <v>0</v>
      </c>
      <c r="BI69" s="22">
        <f>INDEX('Activity data'!BI$24:BI$39,MATCH(Emissions!$D69,'Activity data'!$D$24:$D$39,0))*INDEX(EF!$H$84:$H$99,MATCH(Emissions!$D69,EF!$D$84:$D$99,0))*INDEX(EF!$H$100:$H$115,MATCH(Emissions!$D69,EF!$D$100:$D$115,0))*INDEX(EF!$H$116:$H$131,MATCH(Emissions!$D69,EF!$D$116:$D$131,0))*kgtoGg</f>
        <v>0</v>
      </c>
      <c r="BJ69" s="22">
        <f>INDEX('Activity data'!BJ$24:BJ$39,MATCH(Emissions!$D69,'Activity data'!$D$24:$D$39,0))*INDEX(EF!$H$84:$H$99,MATCH(Emissions!$D69,EF!$D$84:$D$99,0))*INDEX(EF!$H$100:$H$115,MATCH(Emissions!$D69,EF!$D$100:$D$115,0))*INDEX(EF!$H$116:$H$131,MATCH(Emissions!$D69,EF!$D$116:$D$131,0))*kgtoGg</f>
        <v>0</v>
      </c>
      <c r="BK69" s="22">
        <f>INDEX('Activity data'!BK$24:BK$39,MATCH(Emissions!$D69,'Activity data'!$D$24:$D$39,0))*INDEX(EF!$H$84:$H$99,MATCH(Emissions!$D69,EF!$D$84:$D$99,0))*INDEX(EF!$H$100:$H$115,MATCH(Emissions!$D69,EF!$D$100:$D$115,0))*INDEX(EF!$H$116:$H$131,MATCH(Emissions!$D69,EF!$D$116:$D$131,0))*kgtoGg</f>
        <v>0</v>
      </c>
      <c r="BL69" s="22">
        <f>INDEX('Activity data'!BL$24:BL$39,MATCH(Emissions!$D69,'Activity data'!$D$24:$D$39,0))*INDEX(EF!$H$84:$H$99,MATCH(Emissions!$D69,EF!$D$84:$D$99,0))*INDEX(EF!$H$100:$H$115,MATCH(Emissions!$D69,EF!$D$100:$D$115,0))*INDEX(EF!$H$116:$H$131,MATCH(Emissions!$D69,EF!$D$116:$D$131,0))*kgtoGg</f>
        <v>0</v>
      </c>
      <c r="BM69" s="22">
        <f>INDEX('Activity data'!BM$24:BM$39,MATCH(Emissions!$D69,'Activity data'!$D$24:$D$39,0))*INDEX(EF!$H$84:$H$99,MATCH(Emissions!$D69,EF!$D$84:$D$99,0))*INDEX(EF!$H$100:$H$115,MATCH(Emissions!$D69,EF!$D$100:$D$115,0))*INDEX(EF!$H$116:$H$131,MATCH(Emissions!$D69,EF!$D$116:$D$131,0))*kgtoGg</f>
        <v>0</v>
      </c>
      <c r="BN69" s="22">
        <f>INDEX('Activity data'!BN$24:BN$39,MATCH(Emissions!$D69,'Activity data'!$D$24:$D$39,0))*INDEX(EF!$H$84:$H$99,MATCH(Emissions!$D69,EF!$D$84:$D$99,0))*INDEX(EF!$H$100:$H$115,MATCH(Emissions!$D69,EF!$D$100:$D$115,0))*INDEX(EF!$H$116:$H$131,MATCH(Emissions!$D69,EF!$D$116:$D$131,0))*kgtoGg</f>
        <v>0</v>
      </c>
      <c r="BO69" s="22">
        <f>INDEX('Activity data'!BO$24:BO$39,MATCH(Emissions!$D69,'Activity data'!$D$24:$D$39,0))*INDEX(EF!$H$84:$H$99,MATCH(Emissions!$D69,EF!$D$84:$D$99,0))*INDEX(EF!$H$100:$H$115,MATCH(Emissions!$D69,EF!$D$100:$D$115,0))*INDEX(EF!$H$116:$H$131,MATCH(Emissions!$D69,EF!$D$116:$D$131,0))*kgtoGg</f>
        <v>0</v>
      </c>
      <c r="BP69" s="22">
        <f>INDEX('Activity data'!BP$24:BP$39,MATCH(Emissions!$D69,'Activity data'!$D$24:$D$39,0))*INDEX(EF!$H$84:$H$99,MATCH(Emissions!$D69,EF!$D$84:$D$99,0))*INDEX(EF!$H$100:$H$115,MATCH(Emissions!$D69,EF!$D$100:$D$115,0))*INDEX(EF!$H$116:$H$131,MATCH(Emissions!$D69,EF!$D$116:$D$131,0))*kgtoGg</f>
        <v>0</v>
      </c>
    </row>
    <row r="70" spans="1:68" x14ac:dyDescent="0.25">
      <c r="A70" t="str">
        <f t="shared" si="19"/>
        <v>3C Aggregated and non-CO2 emissions on land</v>
      </c>
      <c r="B70" t="str">
        <f>'IPCC Categories'!B65</f>
        <v>3C1 Biomass burning (N2O)</v>
      </c>
      <c r="C70" t="str">
        <f>C54</f>
        <v>3C1a Biomass burning in forest land</v>
      </c>
      <c r="D70" t="str">
        <f>EF!D100</f>
        <v>Indigenous forests</v>
      </c>
      <c r="E70" t="s">
        <v>646</v>
      </c>
      <c r="F70" t="s">
        <v>139</v>
      </c>
      <c r="G70" t="s">
        <v>287</v>
      </c>
      <c r="H70" s="22">
        <f>INDEX('Activity data'!H$24:H$39,MATCH(Emissions!$D70,'Activity data'!$D$24:$D$39,0))*INDEX(EF!$H$84:$H$99,MATCH(Emissions!$D70,EF!$D$84:$D$99,0))*INDEX(EF!$H$100:$H$115,MATCH(Emissions!$D70,EF!$D$100:$D$115,0))*INDEX(EF!$H$132:$H$147,MATCH(Emissions!$D70,EF!$D$132:$D$147,0))*kgtoGg</f>
        <v>7.1698949255307107E-2</v>
      </c>
      <c r="I70" s="22">
        <f>INDEX('Activity data'!I$24:I$39,MATCH(Emissions!$D70,'Activity data'!$D$24:$D$39,0))*INDEX(EF!$H$84:$H$99,MATCH(Emissions!$D70,EF!$D$84:$D$99,0))*INDEX(EF!$H$100:$H$115,MATCH(Emissions!$D70,EF!$D$100:$D$115,0))*INDEX(EF!$H$132:$H$147,MATCH(Emissions!$D70,EF!$D$132:$D$147,0))*kgtoGg</f>
        <v>7.1698949255307107E-2</v>
      </c>
      <c r="J70" s="22">
        <f>INDEX('Activity data'!J$24:J$39,MATCH(Emissions!$D70,'Activity data'!$D$24:$D$39,0))*INDEX(EF!$H$84:$H$99,MATCH(Emissions!$D70,EF!$D$84:$D$99,0))*INDEX(EF!$H$100:$H$115,MATCH(Emissions!$D70,EF!$D$100:$D$115,0))*INDEX(EF!$H$132:$H$147,MATCH(Emissions!$D70,EF!$D$132:$D$147,0))*kgtoGg</f>
        <v>7.1698949255307107E-2</v>
      </c>
      <c r="K70" s="22">
        <f>INDEX('Activity data'!K$24:K$39,MATCH(Emissions!$D70,'Activity data'!$D$24:$D$39,0))*INDEX(EF!$H$84:$H$99,MATCH(Emissions!$D70,EF!$D$84:$D$99,0))*INDEX(EF!$H$100:$H$115,MATCH(Emissions!$D70,EF!$D$100:$D$115,0))*INDEX(EF!$H$132:$H$147,MATCH(Emissions!$D70,EF!$D$132:$D$147,0))*kgtoGg</f>
        <v>7.1698949255307107E-2</v>
      </c>
      <c r="L70" s="22">
        <f>INDEX('Activity data'!L$24:L$39,MATCH(Emissions!$D70,'Activity data'!$D$24:$D$39,0))*INDEX(EF!$H$84:$H$99,MATCH(Emissions!$D70,EF!$D$84:$D$99,0))*INDEX(EF!$H$100:$H$115,MATCH(Emissions!$D70,EF!$D$100:$D$115,0))*INDEX(EF!$H$132:$H$147,MATCH(Emissions!$D70,EF!$D$132:$D$147,0))*kgtoGg</f>
        <v>7.1698949255307107E-2</v>
      </c>
      <c r="M70" s="22">
        <f>INDEX('Activity data'!M$24:M$39,MATCH(Emissions!$D70,'Activity data'!$D$24:$D$39,0))*INDEX(EF!$H$84:$H$99,MATCH(Emissions!$D70,EF!$D$84:$D$99,0))*INDEX(EF!$H$100:$H$115,MATCH(Emissions!$D70,EF!$D$100:$D$115,0))*INDEX(EF!$H$132:$H$147,MATCH(Emissions!$D70,EF!$D$132:$D$147,0))*kgtoGg</f>
        <v>7.1698949255307107E-2</v>
      </c>
      <c r="N70" s="22">
        <f>INDEX('Activity data'!N$24:N$39,MATCH(Emissions!$D70,'Activity data'!$D$24:$D$39,0))*INDEX(EF!$H$84:$H$99,MATCH(Emissions!$D70,EF!$D$84:$D$99,0))*INDEX(EF!$H$100:$H$115,MATCH(Emissions!$D70,EF!$D$100:$D$115,0))*INDEX(EF!$H$132:$H$147,MATCH(Emissions!$D70,EF!$D$132:$D$147,0))*kgtoGg</f>
        <v>7.1698949255307107E-2</v>
      </c>
      <c r="O70" s="22">
        <f>INDEX('Activity data'!O$24:O$39,MATCH(Emissions!$D70,'Activity data'!$D$24:$D$39,0))*INDEX(EF!$H$84:$H$99,MATCH(Emissions!$D70,EF!$D$84:$D$99,0))*INDEX(EF!$H$100:$H$115,MATCH(Emissions!$D70,EF!$D$100:$D$115,0))*INDEX(EF!$H$132:$H$147,MATCH(Emissions!$D70,EF!$D$132:$D$147,0))*kgtoGg</f>
        <v>7.1698949255307107E-2</v>
      </c>
      <c r="P70" s="22">
        <f>INDEX('Activity data'!P$24:P$39,MATCH(Emissions!$D70,'Activity data'!$D$24:$D$39,0))*INDEX(EF!$H$84:$H$99,MATCH(Emissions!$D70,EF!$D$84:$D$99,0))*INDEX(EF!$H$100:$H$115,MATCH(Emissions!$D70,EF!$D$100:$D$115,0))*INDEX(EF!$H$132:$H$147,MATCH(Emissions!$D70,EF!$D$132:$D$147,0))*kgtoGg</f>
        <v>7.1698949255307107E-2</v>
      </c>
      <c r="Q70" s="22">
        <f>INDEX('Activity data'!Q$24:Q$39,MATCH(Emissions!$D70,'Activity data'!$D$24:$D$39,0))*INDEX(EF!$H$84:$H$99,MATCH(Emissions!$D70,EF!$D$84:$D$99,0))*INDEX(EF!$H$100:$H$115,MATCH(Emissions!$D70,EF!$D$100:$D$115,0))*INDEX(EF!$H$132:$H$147,MATCH(Emissions!$D70,EF!$D$132:$D$147,0))*kgtoGg</f>
        <v>7.1698949255307107E-2</v>
      </c>
      <c r="R70" s="22">
        <f>INDEX('Activity data'!R$24:R$39,MATCH(Emissions!$D70,'Activity data'!$D$24:$D$39,0))*INDEX(EF!$H$84:$H$99,MATCH(Emissions!$D70,EF!$D$84:$D$99,0))*INDEX(EF!$H$100:$H$115,MATCH(Emissions!$D70,EF!$D$100:$D$115,0))*INDEX(EF!$H$132:$H$147,MATCH(Emissions!$D70,EF!$D$132:$D$147,0))*kgtoGg</f>
        <v>6.6163543298883465E-2</v>
      </c>
      <c r="S70" s="22">
        <f>INDEX('Activity data'!S$24:S$39,MATCH(Emissions!$D70,'Activity data'!$D$24:$D$39,0))*INDEX(EF!$H$84:$H$99,MATCH(Emissions!$D70,EF!$D$84:$D$99,0))*INDEX(EF!$H$100:$H$115,MATCH(Emissions!$D70,EF!$D$100:$D$115,0))*INDEX(EF!$H$132:$H$147,MATCH(Emissions!$D70,EF!$D$132:$D$147,0))*kgtoGg</f>
        <v>7.3647032038254498E-2</v>
      </c>
      <c r="T70" s="22">
        <f>INDEX('Activity data'!T$24:T$39,MATCH(Emissions!$D70,'Activity data'!$D$24:$D$39,0))*INDEX(EF!$H$84:$H$99,MATCH(Emissions!$D70,EF!$D$84:$D$99,0))*INDEX(EF!$H$100:$H$115,MATCH(Emissions!$D70,EF!$D$100:$D$115,0))*INDEX(EF!$H$132:$H$147,MATCH(Emissions!$D70,EF!$D$132:$D$147,0))*kgtoGg</f>
        <v>6.7351398654339173E-2</v>
      </c>
      <c r="U70" s="22">
        <f>INDEX('Activity data'!U$24:U$39,MATCH(Emissions!$D70,'Activity data'!$D$24:$D$39,0))*INDEX(EF!$H$84:$H$99,MATCH(Emissions!$D70,EF!$D$84:$D$99,0))*INDEX(EF!$H$100:$H$115,MATCH(Emissions!$D70,EF!$D$100:$D$115,0))*INDEX(EF!$H$132:$H$147,MATCH(Emissions!$D70,EF!$D$132:$D$147,0))*kgtoGg</f>
        <v>8.4931657915083808E-2</v>
      </c>
      <c r="V70" s="22">
        <f>INDEX('Activity data'!V$24:V$39,MATCH(Emissions!$D70,'Activity data'!$D$24:$D$39,0))*INDEX(EF!$H$84:$H$99,MATCH(Emissions!$D70,EF!$D$84:$D$99,0))*INDEX(EF!$H$100:$H$115,MATCH(Emissions!$D70,EF!$D$100:$D$115,0))*INDEX(EF!$H$132:$H$147,MATCH(Emissions!$D70,EF!$D$132:$D$147,0))*kgtoGg</f>
        <v>6.6401114369974604E-2</v>
      </c>
      <c r="W70" s="22">
        <f>INDEX('Activity data'!W$24:W$39,MATCH(Emissions!$D70,'Activity data'!$D$24:$D$39,0))*INDEX(EF!$H$84:$H$99,MATCH(Emissions!$D70,EF!$D$84:$D$99,0))*INDEX(EF!$H$100:$H$115,MATCH(Emissions!$D70,EF!$D$100:$D$115,0))*INDEX(EF!$H$132:$H$147,MATCH(Emissions!$D70,EF!$D$132:$D$147,0))*kgtoGg</f>
        <v>8.7307368625995224E-2</v>
      </c>
      <c r="X70" s="22">
        <f>INDEX('Activity data'!X$24:X$39,MATCH(Emissions!$D70,'Activity data'!$D$24:$D$39,0))*INDEX(EF!$H$84:$H$99,MATCH(Emissions!$D70,EF!$D$84:$D$99,0))*INDEX(EF!$H$100:$H$115,MATCH(Emissions!$D70,EF!$D$100:$D$115,0))*INDEX(EF!$H$132:$H$147,MATCH(Emissions!$D70,EF!$D$132:$D$147,0))*kgtoGg</f>
        <v>7.7923311317895039E-2</v>
      </c>
      <c r="Y70" s="22">
        <f>INDEX('Activity data'!Y$24:Y$39,MATCH(Emissions!$D70,'Activity data'!$D$24:$D$39,0))*INDEX(EF!$H$84:$H$99,MATCH(Emissions!$D70,EF!$D$84:$D$99,0))*INDEX(EF!$H$100:$H$115,MATCH(Emissions!$D70,EF!$D$100:$D$115,0))*INDEX(EF!$H$132:$H$147,MATCH(Emissions!$D70,EF!$D$132:$D$147,0))*kgtoGg</f>
        <v>0.10191798949810055</v>
      </c>
      <c r="Z70" s="22">
        <f>INDEX('Activity data'!Z$24:Z$39,MATCH(Emissions!$D70,'Activity data'!$D$24:$D$39,0))*INDEX(EF!$H$84:$H$99,MATCH(Emissions!$D70,EF!$D$84:$D$99,0))*INDEX(EF!$H$100:$H$115,MATCH(Emissions!$D70,EF!$D$100:$D$115,0))*INDEX(EF!$H$132:$H$147,MATCH(Emissions!$D70,EF!$D$132:$D$147,0))*kgtoGg</f>
        <v>8.5288014521720509E-2</v>
      </c>
      <c r="AA70" s="22">
        <f>INDEX('Activity data'!AA$24:AA$39,MATCH(Emissions!$D70,'Activity data'!$D$24:$D$39,0))*INDEX(EF!$H$84:$H$99,MATCH(Emissions!$D70,EF!$D$84:$D$99,0))*INDEX(EF!$H$100:$H$115,MATCH(Emissions!$D70,EF!$D$100:$D$115,0))*INDEX(EF!$H$132:$H$147,MATCH(Emissions!$D70,EF!$D$132:$D$147,0))*kgtoGg</f>
        <v>8.4100159166264801E-2</v>
      </c>
      <c r="AB70" s="22">
        <f>INDEX('Activity data'!AB$24:AB$39,MATCH(Emissions!$D70,'Activity data'!$D$24:$D$39,0))*INDEX(EF!$H$84:$H$99,MATCH(Emissions!$D70,EF!$D$84:$D$99,0))*INDEX(EF!$H$100:$H$115,MATCH(Emissions!$D70,EF!$D$100:$D$115,0))*INDEX(EF!$H$132:$H$147,MATCH(Emissions!$D70,EF!$D$132:$D$147,0))*kgtoGg</f>
        <v>6.8956842239999996E-2</v>
      </c>
      <c r="AC70" s="22">
        <f>INDEX('Activity data'!AC$24:AC$39,MATCH(Emissions!$D70,'Activity data'!$D$24:$D$39,0))*INDEX(EF!$H$84:$H$99,MATCH(Emissions!$D70,EF!$D$84:$D$99,0))*INDEX(EF!$H$100:$H$115,MATCH(Emissions!$D70,EF!$D$100:$D$115,0))*INDEX(EF!$H$132:$H$147,MATCH(Emissions!$D70,EF!$D$132:$D$147,0))*kgtoGg</f>
        <v>5.1697708920000009E-2</v>
      </c>
      <c r="AD70" s="22">
        <f>INDEX('Activity data'!AD$24:AD$39,MATCH(Emissions!$D70,'Activity data'!$D$24:$D$39,0))*INDEX(EF!$H$84:$H$99,MATCH(Emissions!$D70,EF!$D$84:$D$99,0))*INDEX(EF!$H$100:$H$115,MATCH(Emissions!$D70,EF!$D$100:$D$115,0))*INDEX(EF!$H$132:$H$147,MATCH(Emissions!$D70,EF!$D$132:$D$147,0))*kgtoGg</f>
        <v>6.9614619163484256E-2</v>
      </c>
      <c r="AE70" s="22">
        <f>INDEX('Activity data'!AE$24:AE$39,MATCH(Emissions!$D70,'Activity data'!$D$24:$D$39,0))*INDEX(EF!$H$84:$H$99,MATCH(Emissions!$D70,EF!$D$84:$D$99,0))*INDEX(EF!$H$100:$H$115,MATCH(Emissions!$D70,EF!$D$100:$D$115,0))*INDEX(EF!$H$132:$H$147,MATCH(Emissions!$D70,EF!$D$132:$D$147,0))*kgtoGg</f>
        <v>6.9777003008589619E-2</v>
      </c>
      <c r="AF70" s="22">
        <f>INDEX('Activity data'!AF$24:AF$39,MATCH(Emissions!$D70,'Activity data'!$D$24:$D$39,0))*INDEX(EF!$H$84:$H$99,MATCH(Emissions!$D70,EF!$D$84:$D$99,0))*INDEX(EF!$H$100:$H$115,MATCH(Emissions!$D70,EF!$D$100:$D$115,0))*INDEX(EF!$H$132:$H$147,MATCH(Emissions!$D70,EF!$D$132:$D$147,0))*kgtoGg</f>
        <v>6.9939386853694996E-2</v>
      </c>
      <c r="AG70" s="22">
        <f>INDEX('Activity data'!AG$24:AG$39,MATCH(Emissions!$D70,'Activity data'!$D$24:$D$39,0))*INDEX(EF!$H$84:$H$99,MATCH(Emissions!$D70,EF!$D$84:$D$99,0))*INDEX(EF!$H$100:$H$115,MATCH(Emissions!$D70,EF!$D$100:$D$115,0))*INDEX(EF!$H$132:$H$147,MATCH(Emissions!$D70,EF!$D$132:$D$147,0))*kgtoGg</f>
        <v>6.9874921112346625E-2</v>
      </c>
      <c r="AH70" s="22">
        <f>INDEX('Activity data'!AH$24:AH$39,MATCH(Emissions!$D70,'Activity data'!$D$24:$D$39,0))*INDEX(EF!$H$84:$H$99,MATCH(Emissions!$D70,EF!$D$84:$D$99,0))*INDEX(EF!$H$100:$H$115,MATCH(Emissions!$D70,EF!$D$100:$D$115,0))*INDEX(EF!$H$132:$H$147,MATCH(Emissions!$D70,EF!$D$132:$D$147,0))*kgtoGg</f>
        <v>6.9810455370998226E-2</v>
      </c>
      <c r="AI70" s="22">
        <f>INDEX('Activity data'!AI$24:AI$39,MATCH(Emissions!$D70,'Activity data'!$D$24:$D$39,0))*INDEX(EF!$H$84:$H$99,MATCH(Emissions!$D70,EF!$D$84:$D$99,0))*INDEX(EF!$H$100:$H$115,MATCH(Emissions!$D70,EF!$D$100:$D$115,0))*INDEX(EF!$H$132:$H$147,MATCH(Emissions!$D70,EF!$D$132:$D$147,0))*kgtoGg</f>
        <v>6.9745989629649827E-2</v>
      </c>
      <c r="AJ70" s="22">
        <f>INDEX('Activity data'!AJ$24:AJ$39,MATCH(Emissions!$D70,'Activity data'!$D$24:$D$39,0))*INDEX(EF!$H$84:$H$99,MATCH(Emissions!$D70,EF!$D$84:$D$99,0))*INDEX(EF!$H$100:$H$115,MATCH(Emissions!$D70,EF!$D$100:$D$115,0))*INDEX(EF!$H$132:$H$147,MATCH(Emissions!$D70,EF!$D$132:$D$147,0))*kgtoGg</f>
        <v>6.9681523888301455E-2</v>
      </c>
      <c r="AK70" s="22">
        <f>INDEX('Activity data'!AK$24:AK$39,MATCH(Emissions!$D70,'Activity data'!$D$24:$D$39,0))*INDEX(EF!$H$84:$H$99,MATCH(Emissions!$D70,EF!$D$84:$D$99,0))*INDEX(EF!$H$100:$H$115,MATCH(Emissions!$D70,EF!$D$100:$D$115,0))*INDEX(EF!$H$132:$H$147,MATCH(Emissions!$D70,EF!$D$132:$D$147,0))*kgtoGg</f>
        <v>6.9616061646225622E-2</v>
      </c>
      <c r="AL70" s="22">
        <f>INDEX('Activity data'!AL$24:AL$39,MATCH(Emissions!$D70,'Activity data'!$D$24:$D$39,0))*INDEX(EF!$H$84:$H$99,MATCH(Emissions!$D70,EF!$D$84:$D$99,0))*INDEX(EF!$H$100:$H$115,MATCH(Emissions!$D70,EF!$D$100:$D$115,0))*INDEX(EF!$H$132:$H$147,MATCH(Emissions!$D70,EF!$D$132:$D$147,0))*kgtoGg</f>
        <v>6.9550599404149815E-2</v>
      </c>
      <c r="AM70" s="22">
        <f>INDEX('Activity data'!AM$24:AM$39,MATCH(Emissions!$D70,'Activity data'!$D$24:$D$39,0))*INDEX(EF!$H$84:$H$99,MATCH(Emissions!$D70,EF!$D$84:$D$99,0))*INDEX(EF!$H$100:$H$115,MATCH(Emissions!$D70,EF!$D$100:$D$115,0))*INDEX(EF!$H$132:$H$147,MATCH(Emissions!$D70,EF!$D$132:$D$147,0))*kgtoGg</f>
        <v>6.9485137162074009E-2</v>
      </c>
      <c r="AN70" s="22">
        <f>INDEX('Activity data'!AN$24:AN$39,MATCH(Emissions!$D70,'Activity data'!$D$24:$D$39,0))*INDEX(EF!$H$84:$H$99,MATCH(Emissions!$D70,EF!$D$84:$D$99,0))*INDEX(EF!$H$100:$H$115,MATCH(Emissions!$D70,EF!$D$100:$D$115,0))*INDEX(EF!$H$132:$H$147,MATCH(Emissions!$D70,EF!$D$132:$D$147,0))*kgtoGg</f>
        <v>6.9419674919998189E-2</v>
      </c>
      <c r="AO70" s="22">
        <f>INDEX('Activity data'!AO$24:AO$39,MATCH(Emissions!$D70,'Activity data'!$D$24:$D$39,0))*INDEX(EF!$H$84:$H$99,MATCH(Emissions!$D70,EF!$D$84:$D$99,0))*INDEX(EF!$H$100:$H$115,MATCH(Emissions!$D70,EF!$D$100:$D$115,0))*INDEX(EF!$H$132:$H$147,MATCH(Emissions!$D70,EF!$D$132:$D$147,0))*kgtoGg</f>
        <v>6.9354212677922369E-2</v>
      </c>
      <c r="AP70" s="22">
        <f>INDEX('Activity data'!AP$24:AP$39,MATCH(Emissions!$D70,'Activity data'!$D$24:$D$39,0))*INDEX(EF!$H$84:$H$99,MATCH(Emissions!$D70,EF!$D$84:$D$99,0))*INDEX(EF!$H$100:$H$115,MATCH(Emissions!$D70,EF!$D$100:$D$115,0))*INDEX(EF!$H$132:$H$147,MATCH(Emissions!$D70,EF!$D$132:$D$147,0))*kgtoGg</f>
        <v>6.9288750435846536E-2</v>
      </c>
      <c r="AQ70" s="22">
        <f>INDEX('Activity data'!AQ$24:AQ$39,MATCH(Emissions!$D70,'Activity data'!$D$24:$D$39,0))*INDEX(EF!$H$84:$H$99,MATCH(Emissions!$D70,EF!$D$84:$D$99,0))*INDEX(EF!$H$100:$H$115,MATCH(Emissions!$D70,EF!$D$100:$D$115,0))*INDEX(EF!$H$132:$H$147,MATCH(Emissions!$D70,EF!$D$132:$D$147,0))*kgtoGg</f>
        <v>6.922328819377073E-2</v>
      </c>
      <c r="AR70" s="22">
        <f>INDEX('Activity data'!AR$24:AR$39,MATCH(Emissions!$D70,'Activity data'!$D$24:$D$39,0))*INDEX(EF!$H$84:$H$99,MATCH(Emissions!$D70,EF!$D$84:$D$99,0))*INDEX(EF!$H$100:$H$115,MATCH(Emissions!$D70,EF!$D$100:$D$115,0))*INDEX(EF!$H$132:$H$147,MATCH(Emissions!$D70,EF!$D$132:$D$147,0))*kgtoGg</f>
        <v>6.915782595169491E-2</v>
      </c>
      <c r="AS70" s="22">
        <f>INDEX('Activity data'!AS$24:AS$39,MATCH(Emissions!$D70,'Activity data'!$D$24:$D$39,0))*INDEX(EF!$H$84:$H$99,MATCH(Emissions!$D70,EF!$D$84:$D$99,0))*INDEX(EF!$H$100:$H$115,MATCH(Emissions!$D70,EF!$D$100:$D$115,0))*INDEX(EF!$H$132:$H$147,MATCH(Emissions!$D70,EF!$D$132:$D$147,0))*kgtoGg</f>
        <v>6.9092363709619103E-2</v>
      </c>
      <c r="AT70" s="22">
        <f>INDEX('Activity data'!AT$24:AT$39,MATCH(Emissions!$D70,'Activity data'!$D$24:$D$39,0))*INDEX(EF!$H$84:$H$99,MATCH(Emissions!$D70,EF!$D$84:$D$99,0))*INDEX(EF!$H$100:$H$115,MATCH(Emissions!$D70,EF!$D$100:$D$115,0))*INDEX(EF!$H$132:$H$147,MATCH(Emissions!$D70,EF!$D$132:$D$147,0))*kgtoGg</f>
        <v>6.902690146754327E-2</v>
      </c>
      <c r="AU70" s="22">
        <f>INDEX('Activity data'!AU$24:AU$39,MATCH(Emissions!$D70,'Activity data'!$D$24:$D$39,0))*INDEX(EF!$H$84:$H$99,MATCH(Emissions!$D70,EF!$D$84:$D$99,0))*INDEX(EF!$H$100:$H$115,MATCH(Emissions!$D70,EF!$D$100:$D$115,0))*INDEX(EF!$H$132:$H$147,MATCH(Emissions!$D70,EF!$D$132:$D$147,0))*kgtoGg</f>
        <v>6.8961439225467422E-2</v>
      </c>
      <c r="AV70" s="22">
        <f>INDEX('Activity data'!AV$24:AV$39,MATCH(Emissions!$D70,'Activity data'!$D$24:$D$39,0))*INDEX(EF!$H$84:$H$99,MATCH(Emissions!$D70,EF!$D$84:$D$99,0))*INDEX(EF!$H$100:$H$115,MATCH(Emissions!$D70,EF!$D$100:$D$115,0))*INDEX(EF!$H$132:$H$147,MATCH(Emissions!$D70,EF!$D$132:$D$147,0))*kgtoGg</f>
        <v>6.8895976983391616E-2</v>
      </c>
      <c r="AW70" s="22">
        <f>INDEX('Activity data'!AW$24:AW$39,MATCH(Emissions!$D70,'Activity data'!$D$24:$D$39,0))*INDEX(EF!$H$84:$H$99,MATCH(Emissions!$D70,EF!$D$84:$D$99,0))*INDEX(EF!$H$100:$H$115,MATCH(Emissions!$D70,EF!$D$100:$D$115,0))*INDEX(EF!$H$132:$H$147,MATCH(Emissions!$D70,EF!$D$132:$D$147,0))*kgtoGg</f>
        <v>6.883051474131581E-2</v>
      </c>
      <c r="AX70" s="22">
        <f>INDEX('Activity data'!AX$24:AX$39,MATCH(Emissions!$D70,'Activity data'!$D$24:$D$39,0))*INDEX(EF!$H$84:$H$99,MATCH(Emissions!$D70,EF!$D$84:$D$99,0))*INDEX(EF!$H$100:$H$115,MATCH(Emissions!$D70,EF!$D$100:$D$115,0))*INDEX(EF!$H$132:$H$147,MATCH(Emissions!$D70,EF!$D$132:$D$147,0))*kgtoGg</f>
        <v>6.8765052499240018E-2</v>
      </c>
      <c r="AY70" s="22">
        <f>INDEX('Activity data'!AY$24:AY$39,MATCH(Emissions!$D70,'Activity data'!$D$24:$D$39,0))*INDEX(EF!$H$84:$H$99,MATCH(Emissions!$D70,EF!$D$84:$D$99,0))*INDEX(EF!$H$100:$H$115,MATCH(Emissions!$D70,EF!$D$100:$D$115,0))*INDEX(EF!$H$132:$H$147,MATCH(Emissions!$D70,EF!$D$132:$D$147,0))*kgtoGg</f>
        <v>6.8699590257164156E-2</v>
      </c>
      <c r="AZ70" s="22">
        <f>INDEX('Activity data'!AZ$24:AZ$39,MATCH(Emissions!$D70,'Activity data'!$D$24:$D$39,0))*INDEX(EF!$H$84:$H$99,MATCH(Emissions!$D70,EF!$D$84:$D$99,0))*INDEX(EF!$H$100:$H$115,MATCH(Emissions!$D70,EF!$D$100:$D$115,0))*INDEX(EF!$H$132:$H$147,MATCH(Emissions!$D70,EF!$D$132:$D$147,0))*kgtoGg</f>
        <v>6.863412801508835E-2</v>
      </c>
      <c r="BA70" s="22">
        <f>INDEX('Activity data'!BA$24:BA$39,MATCH(Emissions!$D70,'Activity data'!$D$24:$D$39,0))*INDEX(EF!$H$84:$H$99,MATCH(Emissions!$D70,EF!$D$84:$D$99,0))*INDEX(EF!$H$100:$H$115,MATCH(Emissions!$D70,EF!$D$100:$D$115,0))*INDEX(EF!$H$132:$H$147,MATCH(Emissions!$D70,EF!$D$132:$D$147,0))*kgtoGg</f>
        <v>6.8568665773012558E-2</v>
      </c>
      <c r="BB70" s="22">
        <f>INDEX('Activity data'!BB$24:BB$39,MATCH(Emissions!$D70,'Activity data'!$D$24:$D$39,0))*INDEX(EF!$H$84:$H$99,MATCH(Emissions!$D70,EF!$D$84:$D$99,0))*INDEX(EF!$H$100:$H$115,MATCH(Emissions!$D70,EF!$D$100:$D$115,0))*INDEX(EF!$H$132:$H$147,MATCH(Emissions!$D70,EF!$D$132:$D$147,0))*kgtoGg</f>
        <v>6.8503203530936738E-2</v>
      </c>
      <c r="BC70" s="22">
        <f>INDEX('Activity data'!BC$24:BC$39,MATCH(Emissions!$D70,'Activity data'!$D$24:$D$39,0))*INDEX(EF!$H$84:$H$99,MATCH(Emissions!$D70,EF!$D$84:$D$99,0))*INDEX(EF!$H$100:$H$115,MATCH(Emissions!$D70,EF!$D$100:$D$115,0))*INDEX(EF!$H$132:$H$147,MATCH(Emissions!$D70,EF!$D$132:$D$147,0))*kgtoGg</f>
        <v>6.8437741288860918E-2</v>
      </c>
      <c r="BD70" s="22">
        <f>INDEX('Activity data'!BD$24:BD$39,MATCH(Emissions!$D70,'Activity data'!$D$24:$D$39,0))*INDEX(EF!$H$84:$H$99,MATCH(Emissions!$D70,EF!$D$84:$D$99,0))*INDEX(EF!$H$100:$H$115,MATCH(Emissions!$D70,EF!$D$100:$D$115,0))*INDEX(EF!$H$132:$H$147,MATCH(Emissions!$D70,EF!$D$132:$D$147,0))*kgtoGg</f>
        <v>6.8372279046785098E-2</v>
      </c>
      <c r="BE70" s="22">
        <f>INDEX('Activity data'!BE$24:BE$39,MATCH(Emissions!$D70,'Activity data'!$D$24:$D$39,0))*INDEX(EF!$H$84:$H$99,MATCH(Emissions!$D70,EF!$D$84:$D$99,0))*INDEX(EF!$H$100:$H$115,MATCH(Emissions!$D70,EF!$D$100:$D$115,0))*INDEX(EF!$H$132:$H$147,MATCH(Emissions!$D70,EF!$D$132:$D$147,0))*kgtoGg</f>
        <v>6.8306816804709278E-2</v>
      </c>
      <c r="BF70" s="22">
        <f>INDEX('Activity data'!BF$24:BF$39,MATCH(Emissions!$D70,'Activity data'!$D$24:$D$39,0))*INDEX(EF!$H$84:$H$99,MATCH(Emissions!$D70,EF!$D$84:$D$99,0))*INDEX(EF!$H$100:$H$115,MATCH(Emissions!$D70,EF!$D$100:$D$115,0))*INDEX(EF!$H$132:$H$147,MATCH(Emissions!$D70,EF!$D$132:$D$147,0))*kgtoGg</f>
        <v>6.8241354562633458E-2</v>
      </c>
      <c r="BG70" s="22">
        <f>INDEX('Activity data'!BG$24:BG$39,MATCH(Emissions!$D70,'Activity data'!$D$24:$D$39,0))*INDEX(EF!$H$84:$H$99,MATCH(Emissions!$D70,EF!$D$84:$D$99,0))*INDEX(EF!$H$100:$H$115,MATCH(Emissions!$D70,EF!$D$100:$D$115,0))*INDEX(EF!$H$132:$H$147,MATCH(Emissions!$D70,EF!$D$132:$D$147,0))*kgtoGg</f>
        <v>6.8175892320557638E-2</v>
      </c>
      <c r="BH70" s="22">
        <f>INDEX('Activity data'!BH$24:BH$39,MATCH(Emissions!$D70,'Activity data'!$D$24:$D$39,0))*INDEX(EF!$H$84:$H$99,MATCH(Emissions!$D70,EF!$D$84:$D$99,0))*INDEX(EF!$H$100:$H$115,MATCH(Emissions!$D70,EF!$D$100:$D$115,0))*INDEX(EF!$H$132:$H$147,MATCH(Emissions!$D70,EF!$D$132:$D$147,0))*kgtoGg</f>
        <v>6.8110430078481832E-2</v>
      </c>
      <c r="BI70" s="22">
        <f>INDEX('Activity data'!BI$24:BI$39,MATCH(Emissions!$D70,'Activity data'!$D$24:$D$39,0))*INDEX(EF!$H$84:$H$99,MATCH(Emissions!$D70,EF!$D$84:$D$99,0))*INDEX(EF!$H$100:$H$115,MATCH(Emissions!$D70,EF!$D$100:$D$115,0))*INDEX(EF!$H$132:$H$147,MATCH(Emissions!$D70,EF!$D$132:$D$147,0))*kgtoGg</f>
        <v>6.8044967836406026E-2</v>
      </c>
      <c r="BJ70" s="22">
        <f>INDEX('Activity data'!BJ$24:BJ$39,MATCH(Emissions!$D70,'Activity data'!$D$24:$D$39,0))*INDEX(EF!$H$84:$H$99,MATCH(Emissions!$D70,EF!$D$84:$D$99,0))*INDEX(EF!$H$100:$H$115,MATCH(Emissions!$D70,EF!$D$100:$D$115,0))*INDEX(EF!$H$132:$H$147,MATCH(Emissions!$D70,EF!$D$132:$D$147,0))*kgtoGg</f>
        <v>6.7979505594330192E-2</v>
      </c>
      <c r="BK70" s="22">
        <f>INDEX('Activity data'!BK$24:BK$39,MATCH(Emissions!$D70,'Activity data'!$D$24:$D$39,0))*INDEX(EF!$H$84:$H$99,MATCH(Emissions!$D70,EF!$D$84:$D$99,0))*INDEX(EF!$H$100:$H$115,MATCH(Emissions!$D70,EF!$D$100:$D$115,0))*INDEX(EF!$H$132:$H$147,MATCH(Emissions!$D70,EF!$D$132:$D$147,0))*kgtoGg</f>
        <v>6.7914043352254372E-2</v>
      </c>
      <c r="BL70" s="22">
        <f>INDEX('Activity data'!BL$24:BL$39,MATCH(Emissions!$D70,'Activity data'!$D$24:$D$39,0))*INDEX(EF!$H$84:$H$99,MATCH(Emissions!$D70,EF!$D$84:$D$99,0))*INDEX(EF!$H$100:$H$115,MATCH(Emissions!$D70,EF!$D$100:$D$115,0))*INDEX(EF!$H$132:$H$147,MATCH(Emissions!$D70,EF!$D$132:$D$147,0))*kgtoGg</f>
        <v>6.7848581110178566E-2</v>
      </c>
      <c r="BM70" s="22">
        <f>INDEX('Activity data'!BM$24:BM$39,MATCH(Emissions!$D70,'Activity data'!$D$24:$D$39,0))*INDEX(EF!$H$84:$H$99,MATCH(Emissions!$D70,EF!$D$84:$D$99,0))*INDEX(EF!$H$100:$H$115,MATCH(Emissions!$D70,EF!$D$100:$D$115,0))*INDEX(EF!$H$132:$H$147,MATCH(Emissions!$D70,EF!$D$132:$D$147,0))*kgtoGg</f>
        <v>6.778311886810276E-2</v>
      </c>
      <c r="BN70" s="22">
        <f>INDEX('Activity data'!BN$24:BN$39,MATCH(Emissions!$D70,'Activity data'!$D$24:$D$39,0))*INDEX(EF!$H$84:$H$99,MATCH(Emissions!$D70,EF!$D$84:$D$99,0))*INDEX(EF!$H$100:$H$115,MATCH(Emissions!$D70,EF!$D$100:$D$115,0))*INDEX(EF!$H$132:$H$147,MATCH(Emissions!$D70,EF!$D$132:$D$147,0))*kgtoGg</f>
        <v>6.771765662602694E-2</v>
      </c>
      <c r="BO70" s="22">
        <f>INDEX('Activity data'!BO$24:BO$39,MATCH(Emissions!$D70,'Activity data'!$D$24:$D$39,0))*INDEX(EF!$H$84:$H$99,MATCH(Emissions!$D70,EF!$D$84:$D$99,0))*INDEX(EF!$H$100:$H$115,MATCH(Emissions!$D70,EF!$D$100:$D$115,0))*INDEX(EF!$H$132:$H$147,MATCH(Emissions!$D70,EF!$D$132:$D$147,0))*kgtoGg</f>
        <v>6.765219438395112E-2</v>
      </c>
      <c r="BP70" s="22">
        <f>INDEX('Activity data'!BP$24:BP$39,MATCH(Emissions!$D70,'Activity data'!$D$24:$D$39,0))*INDEX(EF!$H$84:$H$99,MATCH(Emissions!$D70,EF!$D$84:$D$99,0))*INDEX(EF!$H$100:$H$115,MATCH(Emissions!$D70,EF!$D$100:$D$115,0))*INDEX(EF!$H$132:$H$147,MATCH(Emissions!$D70,EF!$D$132:$D$147,0))*kgtoGg</f>
        <v>6.75867321418753E-2</v>
      </c>
    </row>
    <row r="71" spans="1:68" x14ac:dyDescent="0.25">
      <c r="A71" t="str">
        <f t="shared" si="19"/>
        <v>3C Aggregated and non-CO2 emissions on land</v>
      </c>
      <c r="B71" t="str">
        <f>B70</f>
        <v>3C1 Biomass burning (N2O)</v>
      </c>
      <c r="C71" t="str">
        <f t="shared" ref="C71:C85" si="25">C55</f>
        <v>3C1a Biomass burning in forest land</v>
      </c>
      <c r="D71" t="str">
        <f>EF!D101</f>
        <v>Thickets</v>
      </c>
      <c r="E71" t="s">
        <v>648</v>
      </c>
      <c r="F71" t="str">
        <f>F70</f>
        <v>N2O</v>
      </c>
      <c r="G71" t="str">
        <f>G70</f>
        <v>Gg N2O</v>
      </c>
      <c r="H71" s="22">
        <f>INDEX('Activity data'!H$24:H$39,MATCH(Emissions!$D71,'Activity data'!$D$24:$D$39,0))*INDEX(EF!$H$84:$H$99,MATCH(Emissions!$D71,EF!$D$84:$D$99,0))*INDEX(EF!$H$100:$H$115,MATCH(Emissions!$D71,EF!$D$100:$D$115,0))*INDEX(EF!$H$132:$H$147,MATCH(Emissions!$D71,EF!$D$132:$D$147,0))*kgtoGg</f>
        <v>0.1386787051643949</v>
      </c>
      <c r="I71" s="22">
        <f>INDEX('Activity data'!I$24:I$39,MATCH(Emissions!$D71,'Activity data'!$D$24:$D$39,0))*INDEX(EF!$H$84:$H$99,MATCH(Emissions!$D71,EF!$D$84:$D$99,0))*INDEX(EF!$H$100:$H$115,MATCH(Emissions!$D71,EF!$D$100:$D$115,0))*INDEX(EF!$H$132:$H$147,MATCH(Emissions!$D71,EF!$D$132:$D$147,0))*kgtoGg</f>
        <v>0.1386787051643949</v>
      </c>
      <c r="J71" s="22">
        <f>INDEX('Activity data'!J$24:J$39,MATCH(Emissions!$D71,'Activity data'!$D$24:$D$39,0))*INDEX(EF!$H$84:$H$99,MATCH(Emissions!$D71,EF!$D$84:$D$99,0))*INDEX(EF!$H$100:$H$115,MATCH(Emissions!$D71,EF!$D$100:$D$115,0))*INDEX(EF!$H$132:$H$147,MATCH(Emissions!$D71,EF!$D$132:$D$147,0))*kgtoGg</f>
        <v>0.1386787051643949</v>
      </c>
      <c r="K71" s="22">
        <f>INDEX('Activity data'!K$24:K$39,MATCH(Emissions!$D71,'Activity data'!$D$24:$D$39,0))*INDEX(EF!$H$84:$H$99,MATCH(Emissions!$D71,EF!$D$84:$D$99,0))*INDEX(EF!$H$100:$H$115,MATCH(Emissions!$D71,EF!$D$100:$D$115,0))*INDEX(EF!$H$132:$H$147,MATCH(Emissions!$D71,EF!$D$132:$D$147,0))*kgtoGg</f>
        <v>0.1386787051643949</v>
      </c>
      <c r="L71" s="22">
        <f>INDEX('Activity data'!L$24:L$39,MATCH(Emissions!$D71,'Activity data'!$D$24:$D$39,0))*INDEX(EF!$H$84:$H$99,MATCH(Emissions!$D71,EF!$D$84:$D$99,0))*INDEX(EF!$H$100:$H$115,MATCH(Emissions!$D71,EF!$D$100:$D$115,0))*INDEX(EF!$H$132:$H$147,MATCH(Emissions!$D71,EF!$D$132:$D$147,0))*kgtoGg</f>
        <v>0.1386787051643949</v>
      </c>
      <c r="M71" s="22">
        <f>INDEX('Activity data'!M$24:M$39,MATCH(Emissions!$D71,'Activity data'!$D$24:$D$39,0))*INDEX(EF!$H$84:$H$99,MATCH(Emissions!$D71,EF!$D$84:$D$99,0))*INDEX(EF!$H$100:$H$115,MATCH(Emissions!$D71,EF!$D$100:$D$115,0))*INDEX(EF!$H$132:$H$147,MATCH(Emissions!$D71,EF!$D$132:$D$147,0))*kgtoGg</f>
        <v>0.1386787051643949</v>
      </c>
      <c r="N71" s="22">
        <f>INDEX('Activity data'!N$24:N$39,MATCH(Emissions!$D71,'Activity data'!$D$24:$D$39,0))*INDEX(EF!$H$84:$H$99,MATCH(Emissions!$D71,EF!$D$84:$D$99,0))*INDEX(EF!$H$100:$H$115,MATCH(Emissions!$D71,EF!$D$100:$D$115,0))*INDEX(EF!$H$132:$H$147,MATCH(Emissions!$D71,EF!$D$132:$D$147,0))*kgtoGg</f>
        <v>0.1386787051643949</v>
      </c>
      <c r="O71" s="22">
        <f>INDEX('Activity data'!O$24:O$39,MATCH(Emissions!$D71,'Activity data'!$D$24:$D$39,0))*INDEX(EF!$H$84:$H$99,MATCH(Emissions!$D71,EF!$D$84:$D$99,0))*INDEX(EF!$H$100:$H$115,MATCH(Emissions!$D71,EF!$D$100:$D$115,0))*INDEX(EF!$H$132:$H$147,MATCH(Emissions!$D71,EF!$D$132:$D$147,0))*kgtoGg</f>
        <v>0.1386787051643949</v>
      </c>
      <c r="P71" s="22">
        <f>INDEX('Activity data'!P$24:P$39,MATCH(Emissions!$D71,'Activity data'!$D$24:$D$39,0))*INDEX(EF!$H$84:$H$99,MATCH(Emissions!$D71,EF!$D$84:$D$99,0))*INDEX(EF!$H$100:$H$115,MATCH(Emissions!$D71,EF!$D$100:$D$115,0))*INDEX(EF!$H$132:$H$147,MATCH(Emissions!$D71,EF!$D$132:$D$147,0))*kgtoGg</f>
        <v>0.1386787051643949</v>
      </c>
      <c r="Q71" s="22">
        <f>INDEX('Activity data'!Q$24:Q$39,MATCH(Emissions!$D71,'Activity data'!$D$24:$D$39,0))*INDEX(EF!$H$84:$H$99,MATCH(Emissions!$D71,EF!$D$84:$D$99,0))*INDEX(EF!$H$100:$H$115,MATCH(Emissions!$D71,EF!$D$100:$D$115,0))*INDEX(EF!$H$132:$H$147,MATCH(Emissions!$D71,EF!$D$132:$D$147,0))*kgtoGg</f>
        <v>0.1386787051643949</v>
      </c>
      <c r="R71" s="22">
        <f>INDEX('Activity data'!R$24:R$39,MATCH(Emissions!$D71,'Activity data'!$D$24:$D$39,0))*INDEX(EF!$H$84:$H$99,MATCH(Emissions!$D71,EF!$D$84:$D$99,0))*INDEX(EF!$H$100:$H$115,MATCH(Emissions!$D71,EF!$D$100:$D$115,0))*INDEX(EF!$H$132:$H$147,MATCH(Emissions!$D71,EF!$D$132:$D$147,0))*kgtoGg</f>
        <v>0.14239374078639105</v>
      </c>
      <c r="S71" s="22">
        <f>INDEX('Activity data'!S$24:S$39,MATCH(Emissions!$D71,'Activity data'!$D$24:$D$39,0))*INDEX(EF!$H$84:$H$99,MATCH(Emissions!$D71,EF!$D$84:$D$99,0))*INDEX(EF!$H$100:$H$115,MATCH(Emissions!$D71,EF!$D$100:$D$115,0))*INDEX(EF!$H$132:$H$147,MATCH(Emissions!$D71,EF!$D$132:$D$147,0))*kgtoGg</f>
        <v>0.18074095126601653</v>
      </c>
      <c r="T71" s="22">
        <f>INDEX('Activity data'!T$24:T$39,MATCH(Emissions!$D71,'Activity data'!$D$24:$D$39,0))*INDEX(EF!$H$84:$H$99,MATCH(Emissions!$D71,EF!$D$84:$D$99,0))*INDEX(EF!$H$100:$H$115,MATCH(Emissions!$D71,EF!$D$100:$D$115,0))*INDEX(EF!$H$132:$H$147,MATCH(Emissions!$D71,EF!$D$132:$D$147,0))*kgtoGg</f>
        <v>0.16683350476872413</v>
      </c>
      <c r="U71" s="22">
        <f>INDEX('Activity data'!U$24:U$39,MATCH(Emissions!$D71,'Activity data'!$D$24:$D$39,0))*INDEX(EF!$H$84:$H$99,MATCH(Emissions!$D71,EF!$D$84:$D$99,0))*INDEX(EF!$H$100:$H$115,MATCH(Emissions!$D71,EF!$D$100:$D$115,0))*INDEX(EF!$H$132:$H$147,MATCH(Emissions!$D71,EF!$D$132:$D$147,0))*kgtoGg</f>
        <v>0.10026447084622828</v>
      </c>
      <c r="V71" s="22">
        <f>INDEX('Activity data'!V$24:V$39,MATCH(Emissions!$D71,'Activity data'!$D$24:$D$39,0))*INDEX(EF!$H$84:$H$99,MATCH(Emissions!$D71,EF!$D$84:$D$99,0))*INDEX(EF!$H$100:$H$115,MATCH(Emissions!$D71,EF!$D$100:$D$115,0))*INDEX(EF!$H$132:$H$147,MATCH(Emissions!$D71,EF!$D$132:$D$147,0))*kgtoGg</f>
        <v>0.10316085815461448</v>
      </c>
      <c r="W71" s="22">
        <f>INDEX('Activity data'!W$24:W$39,MATCH(Emissions!$D71,'Activity data'!$D$24:$D$39,0))*INDEX(EF!$H$84:$H$99,MATCH(Emissions!$D71,EF!$D$84:$D$99,0))*INDEX(EF!$H$100:$H$115,MATCH(Emissions!$D71,EF!$D$100:$D$115,0))*INDEX(EF!$H$132:$H$147,MATCH(Emissions!$D71,EF!$D$132:$D$147,0))*kgtoGg</f>
        <v>0.17717432557221868</v>
      </c>
      <c r="X71" s="22">
        <f>INDEX('Activity data'!X$24:X$39,MATCH(Emissions!$D71,'Activity data'!$D$24:$D$39,0))*INDEX(EF!$H$84:$H$99,MATCH(Emissions!$D71,EF!$D$84:$D$99,0))*INDEX(EF!$H$100:$H$115,MATCH(Emissions!$D71,EF!$D$100:$D$115,0))*INDEX(EF!$H$132:$H$147,MATCH(Emissions!$D71,EF!$D$132:$D$147,0))*kgtoGg</f>
        <v>0.14152402669103542</v>
      </c>
      <c r="Y71" s="22">
        <f>INDEX('Activity data'!Y$24:Y$39,MATCH(Emissions!$D71,'Activity data'!$D$24:$D$39,0))*INDEX(EF!$H$84:$H$99,MATCH(Emissions!$D71,EF!$D$84:$D$99,0))*INDEX(EF!$H$100:$H$115,MATCH(Emissions!$D71,EF!$D$100:$D$115,0))*INDEX(EF!$H$132:$H$147,MATCH(Emissions!$D71,EF!$D$132:$D$147,0))*kgtoGg</f>
        <v>0.16523769908917249</v>
      </c>
      <c r="Z71" s="22">
        <f>INDEX('Activity data'!Z$24:Z$39,MATCH(Emissions!$D71,'Activity data'!$D$24:$D$39,0))*INDEX(EF!$H$84:$H$99,MATCH(Emissions!$D71,EF!$D$84:$D$99,0))*INDEX(EF!$H$100:$H$115,MATCH(Emissions!$D71,EF!$D$100:$D$115,0))*INDEX(EF!$H$132:$H$147,MATCH(Emissions!$D71,EF!$D$132:$D$147,0))*kgtoGg</f>
        <v>0.18179418301452055</v>
      </c>
      <c r="AA71" s="22">
        <f>INDEX('Activity data'!AA$24:AA$39,MATCH(Emissions!$D71,'Activity data'!$D$24:$D$39,0))*INDEX(EF!$H$84:$H$99,MATCH(Emissions!$D71,EF!$D$84:$D$99,0))*INDEX(EF!$H$100:$H$115,MATCH(Emissions!$D71,EF!$D$100:$D$115,0))*INDEX(EF!$H$132:$H$147,MATCH(Emissions!$D71,EF!$D$132:$D$147,0))*kgtoGg</f>
        <v>0.13219654249405621</v>
      </c>
      <c r="AB71" s="22">
        <f>INDEX('Activity data'!AB$24:AB$39,MATCH(Emissions!$D71,'Activity data'!$D$24:$D$39,0))*INDEX(EF!$H$84:$H$99,MATCH(Emissions!$D71,EF!$D$84:$D$99,0))*INDEX(EF!$H$100:$H$115,MATCH(Emissions!$D71,EF!$D$100:$D$115,0))*INDEX(EF!$H$132:$H$147,MATCH(Emissions!$D71,EF!$D$132:$D$147,0))*kgtoGg</f>
        <v>0.16154291134799995</v>
      </c>
      <c r="AC71" s="22">
        <f>INDEX('Activity data'!AC$24:AC$39,MATCH(Emissions!$D71,'Activity data'!$D$24:$D$39,0))*INDEX(EF!$H$84:$H$99,MATCH(Emissions!$D71,EF!$D$84:$D$99,0))*INDEX(EF!$H$100:$H$115,MATCH(Emissions!$D71,EF!$D$100:$D$115,0))*INDEX(EF!$H$132:$H$147,MATCH(Emissions!$D71,EF!$D$132:$D$147,0))*kgtoGg</f>
        <v>0.12862987137000001</v>
      </c>
      <c r="AD71" s="22">
        <f>INDEX('Activity data'!AD$24:AD$39,MATCH(Emissions!$D71,'Activity data'!$D$24:$D$39,0))*INDEX(EF!$H$84:$H$99,MATCH(Emissions!$D71,EF!$D$84:$D$99,0))*INDEX(EF!$H$100:$H$115,MATCH(Emissions!$D71,EF!$D$100:$D$115,0))*INDEX(EF!$H$132:$H$147,MATCH(Emissions!$D71,EF!$D$132:$D$147,0))*kgtoGg</f>
        <v>0.13382058111973669</v>
      </c>
      <c r="AE71" s="22">
        <f>INDEX('Activity data'!AE$24:AE$39,MATCH(Emissions!$D71,'Activity data'!$D$24:$D$39,0))*INDEX(EF!$H$84:$H$99,MATCH(Emissions!$D71,EF!$D$84:$D$99,0))*INDEX(EF!$H$100:$H$115,MATCH(Emissions!$D71,EF!$D$100:$D$115,0))*INDEX(EF!$H$132:$H$147,MATCH(Emissions!$D71,EF!$D$132:$D$147,0))*kgtoGg</f>
        <v>0.13480518381878434</v>
      </c>
      <c r="AF71" s="22">
        <f>INDEX('Activity data'!AF$24:AF$39,MATCH(Emissions!$D71,'Activity data'!$D$24:$D$39,0))*INDEX(EF!$H$84:$H$99,MATCH(Emissions!$D71,EF!$D$84:$D$99,0))*INDEX(EF!$H$100:$H$115,MATCH(Emissions!$D71,EF!$D$100:$D$115,0))*INDEX(EF!$H$132:$H$147,MATCH(Emissions!$D71,EF!$D$132:$D$147,0))*kgtoGg</f>
        <v>0.13578978651783202</v>
      </c>
      <c r="AG71" s="22">
        <f>INDEX('Activity data'!AG$24:AG$39,MATCH(Emissions!$D71,'Activity data'!$D$24:$D$39,0))*INDEX(EF!$H$84:$H$99,MATCH(Emissions!$D71,EF!$D$84:$D$99,0))*INDEX(EF!$H$100:$H$115,MATCH(Emissions!$D71,EF!$D$100:$D$115,0))*INDEX(EF!$H$132:$H$147,MATCH(Emissions!$D71,EF!$D$132:$D$147,0))*kgtoGg</f>
        <v>0.13528279222947007</v>
      </c>
      <c r="AH71" s="22">
        <f>INDEX('Activity data'!AH$24:AH$39,MATCH(Emissions!$D71,'Activity data'!$D$24:$D$39,0))*INDEX(EF!$H$84:$H$99,MATCH(Emissions!$D71,EF!$D$84:$D$99,0))*INDEX(EF!$H$100:$H$115,MATCH(Emissions!$D71,EF!$D$100:$D$115,0))*INDEX(EF!$H$132:$H$147,MATCH(Emissions!$D71,EF!$D$132:$D$147,0))*kgtoGg</f>
        <v>0.13477579794110814</v>
      </c>
      <c r="AI71" s="22">
        <f>INDEX('Activity data'!AI$24:AI$39,MATCH(Emissions!$D71,'Activity data'!$D$24:$D$39,0))*INDEX(EF!$H$84:$H$99,MATCH(Emissions!$D71,EF!$D$84:$D$99,0))*INDEX(EF!$H$100:$H$115,MATCH(Emissions!$D71,EF!$D$100:$D$115,0))*INDEX(EF!$H$132:$H$147,MATCH(Emissions!$D71,EF!$D$132:$D$147,0))*kgtoGg</f>
        <v>0.13426880365274618</v>
      </c>
      <c r="AJ71" s="22">
        <f>INDEX('Activity data'!AJ$24:AJ$39,MATCH(Emissions!$D71,'Activity data'!$D$24:$D$39,0))*INDEX(EF!$H$84:$H$99,MATCH(Emissions!$D71,EF!$D$84:$D$99,0))*INDEX(EF!$H$100:$H$115,MATCH(Emissions!$D71,EF!$D$100:$D$115,0))*INDEX(EF!$H$132:$H$147,MATCH(Emissions!$D71,EF!$D$132:$D$147,0))*kgtoGg</f>
        <v>0.13376180936438423</v>
      </c>
      <c r="AK71" s="22">
        <f>INDEX('Activity data'!AK$24:AK$39,MATCH(Emissions!$D71,'Activity data'!$D$24:$D$39,0))*INDEX(EF!$H$84:$H$99,MATCH(Emissions!$D71,EF!$D$84:$D$99,0))*INDEX(EF!$H$100:$H$115,MATCH(Emissions!$D71,EF!$D$100:$D$115,0))*INDEX(EF!$H$132:$H$147,MATCH(Emissions!$D71,EF!$D$132:$D$147,0))*kgtoGg</f>
        <v>0.13324170603110952</v>
      </c>
      <c r="AL71" s="22">
        <f>INDEX('Activity data'!AL$24:AL$39,MATCH(Emissions!$D71,'Activity data'!$D$24:$D$39,0))*INDEX(EF!$H$84:$H$99,MATCH(Emissions!$D71,EF!$D$84:$D$99,0))*INDEX(EF!$H$100:$H$115,MATCH(Emissions!$D71,EF!$D$100:$D$115,0))*INDEX(EF!$H$132:$H$147,MATCH(Emissions!$D71,EF!$D$132:$D$147,0))*kgtoGg</f>
        <v>0.13272160269783484</v>
      </c>
      <c r="AM71" s="22">
        <f>INDEX('Activity data'!AM$24:AM$39,MATCH(Emissions!$D71,'Activity data'!$D$24:$D$39,0))*INDEX(EF!$H$84:$H$99,MATCH(Emissions!$D71,EF!$D$84:$D$99,0))*INDEX(EF!$H$100:$H$115,MATCH(Emissions!$D71,EF!$D$100:$D$115,0))*INDEX(EF!$H$132:$H$147,MATCH(Emissions!$D71,EF!$D$132:$D$147,0))*kgtoGg</f>
        <v>0.13220149936456005</v>
      </c>
      <c r="AN71" s="22">
        <f>INDEX('Activity data'!AN$24:AN$39,MATCH(Emissions!$D71,'Activity data'!$D$24:$D$39,0))*INDEX(EF!$H$84:$H$99,MATCH(Emissions!$D71,EF!$D$84:$D$99,0))*INDEX(EF!$H$100:$H$115,MATCH(Emissions!$D71,EF!$D$100:$D$115,0))*INDEX(EF!$H$132:$H$147,MATCH(Emissions!$D71,EF!$D$132:$D$147,0))*kgtoGg</f>
        <v>0.13168139603128534</v>
      </c>
      <c r="AO71" s="22">
        <f>INDEX('Activity data'!AO$24:AO$39,MATCH(Emissions!$D71,'Activity data'!$D$24:$D$39,0))*INDEX(EF!$H$84:$H$99,MATCH(Emissions!$D71,EF!$D$84:$D$99,0))*INDEX(EF!$H$100:$H$115,MATCH(Emissions!$D71,EF!$D$100:$D$115,0))*INDEX(EF!$H$132:$H$147,MATCH(Emissions!$D71,EF!$D$132:$D$147,0))*kgtoGg</f>
        <v>0.13116129269801055</v>
      </c>
      <c r="AP71" s="22">
        <f>INDEX('Activity data'!AP$24:AP$39,MATCH(Emissions!$D71,'Activity data'!$D$24:$D$39,0))*INDEX(EF!$H$84:$H$99,MATCH(Emissions!$D71,EF!$D$84:$D$99,0))*INDEX(EF!$H$100:$H$115,MATCH(Emissions!$D71,EF!$D$100:$D$115,0))*INDEX(EF!$H$132:$H$147,MATCH(Emissions!$D71,EF!$D$132:$D$147,0))*kgtoGg</f>
        <v>0.1306411893647359</v>
      </c>
      <c r="AQ71" s="22">
        <f>INDEX('Activity data'!AQ$24:AQ$39,MATCH(Emissions!$D71,'Activity data'!$D$24:$D$39,0))*INDEX(EF!$H$84:$H$99,MATCH(Emissions!$D71,EF!$D$84:$D$99,0))*INDEX(EF!$H$100:$H$115,MATCH(Emissions!$D71,EF!$D$100:$D$115,0))*INDEX(EF!$H$132:$H$147,MATCH(Emissions!$D71,EF!$D$132:$D$147,0))*kgtoGg</f>
        <v>0.13012108603146114</v>
      </c>
      <c r="AR71" s="22">
        <f>INDEX('Activity data'!AR$24:AR$39,MATCH(Emissions!$D71,'Activity data'!$D$24:$D$39,0))*INDEX(EF!$H$84:$H$99,MATCH(Emissions!$D71,EF!$D$84:$D$99,0))*INDEX(EF!$H$100:$H$115,MATCH(Emissions!$D71,EF!$D$100:$D$115,0))*INDEX(EF!$H$132:$H$147,MATCH(Emissions!$D71,EF!$D$132:$D$147,0))*kgtoGg</f>
        <v>0.1296009826981864</v>
      </c>
      <c r="AS71" s="22">
        <f>INDEX('Activity data'!AS$24:AS$39,MATCH(Emissions!$D71,'Activity data'!$D$24:$D$39,0))*INDEX(EF!$H$84:$H$99,MATCH(Emissions!$D71,EF!$D$84:$D$99,0))*INDEX(EF!$H$100:$H$115,MATCH(Emissions!$D71,EF!$D$100:$D$115,0))*INDEX(EF!$H$132:$H$147,MATCH(Emissions!$D71,EF!$D$132:$D$147,0))*kgtoGg</f>
        <v>0.12908087936491167</v>
      </c>
      <c r="AT71" s="22">
        <f>INDEX('Activity data'!AT$24:AT$39,MATCH(Emissions!$D71,'Activity data'!$D$24:$D$39,0))*INDEX(EF!$H$84:$H$99,MATCH(Emissions!$D71,EF!$D$84:$D$99,0))*INDEX(EF!$H$100:$H$115,MATCH(Emissions!$D71,EF!$D$100:$D$115,0))*INDEX(EF!$H$132:$H$147,MATCH(Emissions!$D71,EF!$D$132:$D$147,0))*kgtoGg</f>
        <v>0.12856077603163696</v>
      </c>
      <c r="AU71" s="22">
        <f>INDEX('Activity data'!AU$24:AU$39,MATCH(Emissions!$D71,'Activity data'!$D$24:$D$39,0))*INDEX(EF!$H$84:$H$99,MATCH(Emissions!$D71,EF!$D$84:$D$99,0))*INDEX(EF!$H$100:$H$115,MATCH(Emissions!$D71,EF!$D$100:$D$115,0))*INDEX(EF!$H$132:$H$147,MATCH(Emissions!$D71,EF!$D$132:$D$147,0))*kgtoGg</f>
        <v>0.12804067269836225</v>
      </c>
      <c r="AV71" s="22">
        <f>INDEX('Activity data'!AV$24:AV$39,MATCH(Emissions!$D71,'Activity data'!$D$24:$D$39,0))*INDEX(EF!$H$84:$H$99,MATCH(Emissions!$D71,EF!$D$84:$D$99,0))*INDEX(EF!$H$100:$H$115,MATCH(Emissions!$D71,EF!$D$100:$D$115,0))*INDEX(EF!$H$132:$H$147,MATCH(Emissions!$D71,EF!$D$132:$D$147,0))*kgtoGg</f>
        <v>0.12752056936508752</v>
      </c>
      <c r="AW71" s="22">
        <f>INDEX('Activity data'!AW$24:AW$39,MATCH(Emissions!$D71,'Activity data'!$D$24:$D$39,0))*INDEX(EF!$H$84:$H$99,MATCH(Emissions!$D71,EF!$D$84:$D$99,0))*INDEX(EF!$H$100:$H$115,MATCH(Emissions!$D71,EF!$D$100:$D$115,0))*INDEX(EF!$H$132:$H$147,MATCH(Emissions!$D71,EF!$D$132:$D$147,0))*kgtoGg</f>
        <v>0.12700046603181278</v>
      </c>
      <c r="AX71" s="22">
        <f>INDEX('Activity data'!AX$24:AX$39,MATCH(Emissions!$D71,'Activity data'!$D$24:$D$39,0))*INDEX(EF!$H$84:$H$99,MATCH(Emissions!$D71,EF!$D$84:$D$99,0))*INDEX(EF!$H$100:$H$115,MATCH(Emissions!$D71,EF!$D$100:$D$115,0))*INDEX(EF!$H$132:$H$147,MATCH(Emissions!$D71,EF!$D$132:$D$147,0))*kgtoGg</f>
        <v>0.12648036269853805</v>
      </c>
      <c r="AY71" s="22">
        <f>INDEX('Activity data'!AY$24:AY$39,MATCH(Emissions!$D71,'Activity data'!$D$24:$D$39,0))*INDEX(EF!$H$84:$H$99,MATCH(Emissions!$D71,EF!$D$84:$D$99,0))*INDEX(EF!$H$100:$H$115,MATCH(Emissions!$D71,EF!$D$100:$D$115,0))*INDEX(EF!$H$132:$H$147,MATCH(Emissions!$D71,EF!$D$132:$D$147,0))*kgtoGg</f>
        <v>0.12596025936526334</v>
      </c>
      <c r="AZ71" s="22">
        <f>INDEX('Activity data'!AZ$24:AZ$39,MATCH(Emissions!$D71,'Activity data'!$D$24:$D$39,0))*INDEX(EF!$H$84:$H$99,MATCH(Emissions!$D71,EF!$D$84:$D$99,0))*INDEX(EF!$H$100:$H$115,MATCH(Emissions!$D71,EF!$D$100:$D$115,0))*INDEX(EF!$H$132:$H$147,MATCH(Emissions!$D71,EF!$D$132:$D$147,0))*kgtoGg</f>
        <v>0.12544015603198858</v>
      </c>
      <c r="BA71" s="22">
        <f>INDEX('Activity data'!BA$24:BA$39,MATCH(Emissions!$D71,'Activity data'!$D$24:$D$39,0))*INDEX(EF!$H$84:$H$99,MATCH(Emissions!$D71,EF!$D$84:$D$99,0))*INDEX(EF!$H$100:$H$115,MATCH(Emissions!$D71,EF!$D$100:$D$115,0))*INDEX(EF!$H$132:$H$147,MATCH(Emissions!$D71,EF!$D$132:$D$147,0))*kgtoGg</f>
        <v>0.12492005269871385</v>
      </c>
      <c r="BB71" s="22">
        <f>INDEX('Activity data'!BB$24:BB$39,MATCH(Emissions!$D71,'Activity data'!$D$24:$D$39,0))*INDEX(EF!$H$84:$H$99,MATCH(Emissions!$D71,EF!$D$84:$D$99,0))*INDEX(EF!$H$100:$H$115,MATCH(Emissions!$D71,EF!$D$100:$D$115,0))*INDEX(EF!$H$132:$H$147,MATCH(Emissions!$D71,EF!$D$132:$D$147,0))*kgtoGg</f>
        <v>0.12439994936543913</v>
      </c>
      <c r="BC71" s="22">
        <f>INDEX('Activity data'!BC$24:BC$39,MATCH(Emissions!$D71,'Activity data'!$D$24:$D$39,0))*INDEX(EF!$H$84:$H$99,MATCH(Emissions!$D71,EF!$D$84:$D$99,0))*INDEX(EF!$H$100:$H$115,MATCH(Emissions!$D71,EF!$D$100:$D$115,0))*INDEX(EF!$H$132:$H$147,MATCH(Emissions!$D71,EF!$D$132:$D$147,0))*kgtoGg</f>
        <v>0.12387984603216438</v>
      </c>
      <c r="BD71" s="22">
        <f>INDEX('Activity data'!BD$24:BD$39,MATCH(Emissions!$D71,'Activity data'!$D$24:$D$39,0))*INDEX(EF!$H$84:$H$99,MATCH(Emissions!$D71,EF!$D$84:$D$99,0))*INDEX(EF!$H$100:$H$115,MATCH(Emissions!$D71,EF!$D$100:$D$115,0))*INDEX(EF!$H$132:$H$147,MATCH(Emissions!$D71,EF!$D$132:$D$147,0))*kgtoGg</f>
        <v>0.12335974269888969</v>
      </c>
      <c r="BE71" s="22">
        <f>INDEX('Activity data'!BE$24:BE$39,MATCH(Emissions!$D71,'Activity data'!$D$24:$D$39,0))*INDEX(EF!$H$84:$H$99,MATCH(Emissions!$D71,EF!$D$84:$D$99,0))*INDEX(EF!$H$100:$H$115,MATCH(Emissions!$D71,EF!$D$100:$D$115,0))*INDEX(EF!$H$132:$H$147,MATCH(Emissions!$D71,EF!$D$132:$D$147,0))*kgtoGg</f>
        <v>0.12283963936561496</v>
      </c>
      <c r="BF71" s="22">
        <f>INDEX('Activity data'!BF$24:BF$39,MATCH(Emissions!$D71,'Activity data'!$D$24:$D$39,0))*INDEX(EF!$H$84:$H$99,MATCH(Emissions!$D71,EF!$D$84:$D$99,0))*INDEX(EF!$H$100:$H$115,MATCH(Emissions!$D71,EF!$D$100:$D$115,0))*INDEX(EF!$H$132:$H$147,MATCH(Emissions!$D71,EF!$D$132:$D$147,0))*kgtoGg</f>
        <v>0.12231953603234023</v>
      </c>
      <c r="BG71" s="22">
        <f>INDEX('Activity data'!BG$24:BG$39,MATCH(Emissions!$D71,'Activity data'!$D$24:$D$39,0))*INDEX(EF!$H$84:$H$99,MATCH(Emissions!$D71,EF!$D$84:$D$99,0))*INDEX(EF!$H$100:$H$115,MATCH(Emissions!$D71,EF!$D$100:$D$115,0))*INDEX(EF!$H$132:$H$147,MATCH(Emissions!$D71,EF!$D$132:$D$147,0))*kgtoGg</f>
        <v>0.12179943269906553</v>
      </c>
      <c r="BH71" s="22">
        <f>INDEX('Activity data'!BH$24:BH$39,MATCH(Emissions!$D71,'Activity data'!$D$24:$D$39,0))*INDEX(EF!$H$84:$H$99,MATCH(Emissions!$D71,EF!$D$84:$D$99,0))*INDEX(EF!$H$100:$H$115,MATCH(Emissions!$D71,EF!$D$100:$D$115,0))*INDEX(EF!$H$132:$H$147,MATCH(Emissions!$D71,EF!$D$132:$D$147,0))*kgtoGg</f>
        <v>0.12127932936579081</v>
      </c>
      <c r="BI71" s="22">
        <f>INDEX('Activity data'!BI$24:BI$39,MATCH(Emissions!$D71,'Activity data'!$D$24:$D$39,0))*INDEX(EF!$H$84:$H$99,MATCH(Emissions!$D71,EF!$D$84:$D$99,0))*INDEX(EF!$H$100:$H$115,MATCH(Emissions!$D71,EF!$D$100:$D$115,0))*INDEX(EF!$H$132:$H$147,MATCH(Emissions!$D71,EF!$D$132:$D$147,0))*kgtoGg</f>
        <v>0.12075922603251606</v>
      </c>
      <c r="BJ71" s="22">
        <f>INDEX('Activity data'!BJ$24:BJ$39,MATCH(Emissions!$D71,'Activity data'!$D$24:$D$39,0))*INDEX(EF!$H$84:$H$99,MATCH(Emissions!$D71,EF!$D$84:$D$99,0))*INDEX(EF!$H$100:$H$115,MATCH(Emissions!$D71,EF!$D$100:$D$115,0))*INDEX(EF!$H$132:$H$147,MATCH(Emissions!$D71,EF!$D$132:$D$147,0))*kgtoGg</f>
        <v>0.12023912269924134</v>
      </c>
      <c r="BK71" s="22">
        <f>INDEX('Activity data'!BK$24:BK$39,MATCH(Emissions!$D71,'Activity data'!$D$24:$D$39,0))*INDEX(EF!$H$84:$H$99,MATCH(Emissions!$D71,EF!$D$84:$D$99,0))*INDEX(EF!$H$100:$H$115,MATCH(Emissions!$D71,EF!$D$100:$D$115,0))*INDEX(EF!$H$132:$H$147,MATCH(Emissions!$D71,EF!$D$132:$D$147,0))*kgtoGg</f>
        <v>0.1197190193659666</v>
      </c>
      <c r="BL71" s="22">
        <f>INDEX('Activity data'!BL$24:BL$39,MATCH(Emissions!$D71,'Activity data'!$D$24:$D$39,0))*INDEX(EF!$H$84:$H$99,MATCH(Emissions!$D71,EF!$D$84:$D$99,0))*INDEX(EF!$H$100:$H$115,MATCH(Emissions!$D71,EF!$D$100:$D$115,0))*INDEX(EF!$H$132:$H$147,MATCH(Emissions!$D71,EF!$D$132:$D$147,0))*kgtoGg</f>
        <v>0.11919891603269188</v>
      </c>
      <c r="BM71" s="22">
        <f>INDEX('Activity data'!BM$24:BM$39,MATCH(Emissions!$D71,'Activity data'!$D$24:$D$39,0))*INDEX(EF!$H$84:$H$99,MATCH(Emissions!$D71,EF!$D$84:$D$99,0))*INDEX(EF!$H$100:$H$115,MATCH(Emissions!$D71,EF!$D$100:$D$115,0))*INDEX(EF!$H$132:$H$147,MATCH(Emissions!$D71,EF!$D$132:$D$147,0))*kgtoGg</f>
        <v>0.11867881269941714</v>
      </c>
      <c r="BN71" s="22">
        <f>INDEX('Activity data'!BN$24:BN$39,MATCH(Emissions!$D71,'Activity data'!$D$24:$D$39,0))*INDEX(EF!$H$84:$H$99,MATCH(Emissions!$D71,EF!$D$84:$D$99,0))*INDEX(EF!$H$100:$H$115,MATCH(Emissions!$D71,EF!$D$100:$D$115,0))*INDEX(EF!$H$132:$H$147,MATCH(Emissions!$D71,EF!$D$132:$D$147,0))*kgtoGg</f>
        <v>0.11815870936614241</v>
      </c>
      <c r="BO71" s="22">
        <f>INDEX('Activity data'!BO$24:BO$39,MATCH(Emissions!$D71,'Activity data'!$D$24:$D$39,0))*INDEX(EF!$H$84:$H$99,MATCH(Emissions!$D71,EF!$D$84:$D$99,0))*INDEX(EF!$H$100:$H$115,MATCH(Emissions!$D71,EF!$D$100:$D$115,0))*INDEX(EF!$H$132:$H$147,MATCH(Emissions!$D71,EF!$D$132:$D$147,0))*kgtoGg</f>
        <v>0.1176386060328677</v>
      </c>
      <c r="BP71" s="22">
        <f>INDEX('Activity data'!BP$24:BP$39,MATCH(Emissions!$D71,'Activity data'!$D$24:$D$39,0))*INDEX(EF!$H$84:$H$99,MATCH(Emissions!$D71,EF!$D$84:$D$99,0))*INDEX(EF!$H$100:$H$115,MATCH(Emissions!$D71,EF!$D$100:$D$115,0))*INDEX(EF!$H$132:$H$147,MATCH(Emissions!$D71,EF!$D$132:$D$147,0))*kgtoGg</f>
        <v>0.11711850269959298</v>
      </c>
    </row>
    <row r="72" spans="1:68" x14ac:dyDescent="0.25">
      <c r="A72" t="str">
        <f t="shared" si="19"/>
        <v>3C Aggregated and non-CO2 emissions on land</v>
      </c>
      <c r="B72" t="str">
        <f t="shared" ref="B72:B85" si="26">B71</f>
        <v>3C1 Biomass burning (N2O)</v>
      </c>
      <c r="C72" t="str">
        <f t="shared" si="25"/>
        <v>3C1a Biomass burning in forest land</v>
      </c>
      <c r="D72" t="str">
        <f>EF!D102</f>
        <v>Woodlands</v>
      </c>
      <c r="E72" t="s">
        <v>649</v>
      </c>
      <c r="F72" t="str">
        <f t="shared" ref="F72:F85" si="27">F71</f>
        <v>N2O</v>
      </c>
      <c r="G72" t="str">
        <f t="shared" ref="G72:G85" si="28">G71</f>
        <v>Gg N2O</v>
      </c>
      <c r="H72" s="22">
        <f>INDEX('Activity data'!H$24:H$39,MATCH(Emissions!$D72,'Activity data'!$D$24:$D$39,0))*INDEX(EF!$H$84:$H$99,MATCH(Emissions!$D72,EF!$D$84:$D$99,0))*INDEX(EF!$H$100:$H$115,MATCH(Emissions!$D72,EF!$D$100:$D$115,0))*INDEX(EF!$H$132:$H$147,MATCH(Emissions!$D72,EF!$D$132:$D$147,0))*kgtoGg</f>
        <v>0.51615689922073593</v>
      </c>
      <c r="I72" s="22">
        <f>INDEX('Activity data'!I$24:I$39,MATCH(Emissions!$D72,'Activity data'!$D$24:$D$39,0))*INDEX(EF!$H$84:$H$99,MATCH(Emissions!$D72,EF!$D$84:$D$99,0))*INDEX(EF!$H$100:$H$115,MATCH(Emissions!$D72,EF!$D$100:$D$115,0))*INDEX(EF!$H$132:$H$147,MATCH(Emissions!$D72,EF!$D$132:$D$147,0))*kgtoGg</f>
        <v>0.51615689922073593</v>
      </c>
      <c r="J72" s="22">
        <f>INDEX('Activity data'!J$24:J$39,MATCH(Emissions!$D72,'Activity data'!$D$24:$D$39,0))*INDEX(EF!$H$84:$H$99,MATCH(Emissions!$D72,EF!$D$84:$D$99,0))*INDEX(EF!$H$100:$H$115,MATCH(Emissions!$D72,EF!$D$100:$D$115,0))*INDEX(EF!$H$132:$H$147,MATCH(Emissions!$D72,EF!$D$132:$D$147,0))*kgtoGg</f>
        <v>0.51615689922073593</v>
      </c>
      <c r="K72" s="22">
        <f>INDEX('Activity data'!K$24:K$39,MATCH(Emissions!$D72,'Activity data'!$D$24:$D$39,0))*INDEX(EF!$H$84:$H$99,MATCH(Emissions!$D72,EF!$D$84:$D$99,0))*INDEX(EF!$H$100:$H$115,MATCH(Emissions!$D72,EF!$D$100:$D$115,0))*INDEX(EF!$H$132:$H$147,MATCH(Emissions!$D72,EF!$D$132:$D$147,0))*kgtoGg</f>
        <v>0.51615689922073593</v>
      </c>
      <c r="L72" s="22">
        <f>INDEX('Activity data'!L$24:L$39,MATCH(Emissions!$D72,'Activity data'!$D$24:$D$39,0))*INDEX(EF!$H$84:$H$99,MATCH(Emissions!$D72,EF!$D$84:$D$99,0))*INDEX(EF!$H$100:$H$115,MATCH(Emissions!$D72,EF!$D$100:$D$115,0))*INDEX(EF!$H$132:$H$147,MATCH(Emissions!$D72,EF!$D$132:$D$147,0))*kgtoGg</f>
        <v>0.51615689922073593</v>
      </c>
      <c r="M72" s="22">
        <f>INDEX('Activity data'!M$24:M$39,MATCH(Emissions!$D72,'Activity data'!$D$24:$D$39,0))*INDEX(EF!$H$84:$H$99,MATCH(Emissions!$D72,EF!$D$84:$D$99,0))*INDEX(EF!$H$100:$H$115,MATCH(Emissions!$D72,EF!$D$100:$D$115,0))*INDEX(EF!$H$132:$H$147,MATCH(Emissions!$D72,EF!$D$132:$D$147,0))*kgtoGg</f>
        <v>0.51615689922073593</v>
      </c>
      <c r="N72" s="22">
        <f>INDEX('Activity data'!N$24:N$39,MATCH(Emissions!$D72,'Activity data'!$D$24:$D$39,0))*INDEX(EF!$H$84:$H$99,MATCH(Emissions!$D72,EF!$D$84:$D$99,0))*INDEX(EF!$H$100:$H$115,MATCH(Emissions!$D72,EF!$D$100:$D$115,0))*INDEX(EF!$H$132:$H$147,MATCH(Emissions!$D72,EF!$D$132:$D$147,0))*kgtoGg</f>
        <v>0.51615689922073593</v>
      </c>
      <c r="O72" s="22">
        <f>INDEX('Activity data'!O$24:O$39,MATCH(Emissions!$D72,'Activity data'!$D$24:$D$39,0))*INDEX(EF!$H$84:$H$99,MATCH(Emissions!$D72,EF!$D$84:$D$99,0))*INDEX(EF!$H$100:$H$115,MATCH(Emissions!$D72,EF!$D$100:$D$115,0))*INDEX(EF!$H$132:$H$147,MATCH(Emissions!$D72,EF!$D$132:$D$147,0))*kgtoGg</f>
        <v>0.51615689922073593</v>
      </c>
      <c r="P72" s="22">
        <f>INDEX('Activity data'!P$24:P$39,MATCH(Emissions!$D72,'Activity data'!$D$24:$D$39,0))*INDEX(EF!$H$84:$H$99,MATCH(Emissions!$D72,EF!$D$84:$D$99,0))*INDEX(EF!$H$100:$H$115,MATCH(Emissions!$D72,EF!$D$100:$D$115,0))*INDEX(EF!$H$132:$H$147,MATCH(Emissions!$D72,EF!$D$132:$D$147,0))*kgtoGg</f>
        <v>0.51615689922073593</v>
      </c>
      <c r="Q72" s="22">
        <f>INDEX('Activity data'!Q$24:Q$39,MATCH(Emissions!$D72,'Activity data'!$D$24:$D$39,0))*INDEX(EF!$H$84:$H$99,MATCH(Emissions!$D72,EF!$D$84:$D$99,0))*INDEX(EF!$H$100:$H$115,MATCH(Emissions!$D72,EF!$D$100:$D$115,0))*INDEX(EF!$H$132:$H$147,MATCH(Emissions!$D72,EF!$D$132:$D$147,0))*kgtoGg</f>
        <v>0.51615689922073593</v>
      </c>
      <c r="R72" s="22">
        <f>INDEX('Activity data'!R$24:R$39,MATCH(Emissions!$D72,'Activity data'!$D$24:$D$39,0))*INDEX(EF!$H$84:$H$99,MATCH(Emissions!$D72,EF!$D$84:$D$99,0))*INDEX(EF!$H$100:$H$115,MATCH(Emissions!$D72,EF!$D$100:$D$115,0))*INDEX(EF!$H$132:$H$147,MATCH(Emissions!$D72,EF!$D$132:$D$147,0))*kgtoGg</f>
        <v>0.5405338840784204</v>
      </c>
      <c r="S72" s="22">
        <f>INDEX('Activity data'!S$24:S$39,MATCH(Emissions!$D72,'Activity data'!$D$24:$D$39,0))*INDEX(EF!$H$84:$H$99,MATCH(Emissions!$D72,EF!$D$84:$D$99,0))*INDEX(EF!$H$100:$H$115,MATCH(Emissions!$D72,EF!$D$100:$D$115,0))*INDEX(EF!$H$132:$H$147,MATCH(Emissions!$D72,EF!$D$132:$D$147,0))*kgtoGg</f>
        <v>0.77734472774207219</v>
      </c>
      <c r="T72" s="22">
        <f>INDEX('Activity data'!T$24:T$39,MATCH(Emissions!$D72,'Activity data'!$D$24:$D$39,0))*INDEX(EF!$H$84:$H$99,MATCH(Emissions!$D72,EF!$D$84:$D$99,0))*INDEX(EF!$H$100:$H$115,MATCH(Emissions!$D72,EF!$D$100:$D$115,0))*INDEX(EF!$H$132:$H$147,MATCH(Emissions!$D72,EF!$D$132:$D$147,0))*kgtoGg</f>
        <v>0.60115227491539969</v>
      </c>
      <c r="U72" s="22">
        <f>INDEX('Activity data'!U$24:U$39,MATCH(Emissions!$D72,'Activity data'!$D$24:$D$39,0))*INDEX(EF!$H$84:$H$99,MATCH(Emissions!$D72,EF!$D$84:$D$99,0))*INDEX(EF!$H$100:$H$115,MATCH(Emissions!$D72,EF!$D$100:$D$115,0))*INDEX(EF!$H$132:$H$147,MATCH(Emissions!$D72,EF!$D$132:$D$147,0))*kgtoGg</f>
        <v>0.23051703774951418</v>
      </c>
      <c r="V72" s="22">
        <f>INDEX('Activity data'!V$24:V$39,MATCH(Emissions!$D72,'Activity data'!$D$24:$D$39,0))*INDEX(EF!$H$84:$H$99,MATCH(Emissions!$D72,EF!$D$84:$D$99,0))*INDEX(EF!$H$100:$H$115,MATCH(Emissions!$D72,EF!$D$100:$D$115,0))*INDEX(EF!$H$132:$H$147,MATCH(Emissions!$D72,EF!$D$132:$D$147,0))*kgtoGg</f>
        <v>0.43123657161827345</v>
      </c>
      <c r="W72" s="22">
        <f>INDEX('Activity data'!W$24:W$39,MATCH(Emissions!$D72,'Activity data'!$D$24:$D$39,0))*INDEX(EF!$H$84:$H$99,MATCH(Emissions!$D72,EF!$D$84:$D$99,0))*INDEX(EF!$H$100:$H$115,MATCH(Emissions!$D72,EF!$D$100:$D$115,0))*INDEX(EF!$H$132:$H$147,MATCH(Emissions!$D72,EF!$D$132:$D$147,0))*kgtoGg</f>
        <v>0.72810294542739629</v>
      </c>
      <c r="X72" s="22">
        <f>INDEX('Activity data'!X$24:X$39,MATCH(Emissions!$D72,'Activity data'!$D$24:$D$39,0))*INDEX(EF!$H$84:$H$99,MATCH(Emissions!$D72,EF!$D$84:$D$99,0))*INDEX(EF!$H$100:$H$115,MATCH(Emissions!$D72,EF!$D$100:$D$115,0))*INDEX(EF!$H$132:$H$147,MATCH(Emissions!$D72,EF!$D$132:$D$147,0))*kgtoGg</f>
        <v>0.63168320333357431</v>
      </c>
      <c r="Y72" s="22">
        <f>INDEX('Activity data'!Y$24:Y$39,MATCH(Emissions!$D72,'Activity data'!$D$24:$D$39,0))*INDEX(EF!$H$84:$H$99,MATCH(Emissions!$D72,EF!$D$84:$D$99,0))*INDEX(EF!$H$100:$H$115,MATCH(Emissions!$D72,EF!$D$100:$D$115,0))*INDEX(EF!$H$132:$H$147,MATCH(Emissions!$D72,EF!$D$132:$D$147,0))*kgtoGg</f>
        <v>0.3634715556375987</v>
      </c>
      <c r="Z72" s="22">
        <f>INDEX('Activity data'!Z$24:Z$39,MATCH(Emissions!$D72,'Activity data'!$D$24:$D$39,0))*INDEX(EF!$H$84:$H$99,MATCH(Emissions!$D72,EF!$D$84:$D$99,0))*INDEX(EF!$H$100:$H$115,MATCH(Emissions!$D72,EF!$D$100:$D$115,0))*INDEX(EF!$H$132:$H$147,MATCH(Emissions!$D72,EF!$D$132:$D$147,0))*kgtoGg</f>
        <v>0.65636379183698135</v>
      </c>
      <c r="AA72" s="22">
        <f>INDEX('Activity data'!AA$24:AA$39,MATCH(Emissions!$D72,'Activity data'!$D$24:$D$39,0))*INDEX(EF!$H$84:$H$99,MATCH(Emissions!$D72,EF!$D$84:$D$99,0))*INDEX(EF!$H$100:$H$115,MATCH(Emissions!$D72,EF!$D$100:$D$115,0))*INDEX(EF!$H$132:$H$147,MATCH(Emissions!$D72,EF!$D$132:$D$147,0))*kgtoGg</f>
        <v>0.43249874407801925</v>
      </c>
      <c r="AB72" s="22">
        <f>INDEX('Activity data'!AB$24:AB$39,MATCH(Emissions!$D72,'Activity data'!$D$24:$D$39,0))*INDEX(EF!$H$84:$H$99,MATCH(Emissions!$D72,EF!$D$84:$D$99,0))*INDEX(EF!$H$100:$H$115,MATCH(Emissions!$D72,EF!$D$100:$D$115,0))*INDEX(EF!$H$132:$H$147,MATCH(Emissions!$D72,EF!$D$132:$D$147,0))*kgtoGg</f>
        <v>0.60930467136000011</v>
      </c>
      <c r="AC72" s="22">
        <f>INDEX('Activity data'!AC$24:AC$39,MATCH(Emissions!$D72,'Activity data'!$D$24:$D$39,0))*INDEX(EF!$H$84:$H$99,MATCH(Emissions!$D72,EF!$D$84:$D$99,0))*INDEX(EF!$H$100:$H$115,MATCH(Emissions!$D72,EF!$D$100:$D$115,0))*INDEX(EF!$H$132:$H$147,MATCH(Emissions!$D72,EF!$D$132:$D$147,0))*kgtoGg</f>
        <v>0.55754395804799994</v>
      </c>
      <c r="AD72" s="22">
        <f>INDEX('Activity data'!AD$24:AD$39,MATCH(Emissions!$D72,'Activity data'!$D$24:$D$39,0))*INDEX(EF!$H$84:$H$99,MATCH(Emissions!$D72,EF!$D$84:$D$99,0))*INDEX(EF!$H$100:$H$115,MATCH(Emissions!$D72,EF!$D$100:$D$115,0))*INDEX(EF!$H$132:$H$147,MATCH(Emissions!$D72,EF!$D$132:$D$147,0))*kgtoGg</f>
        <v>0.48857321088298628</v>
      </c>
      <c r="AE72" s="22">
        <f>INDEX('Activity data'!AE$24:AE$39,MATCH(Emissions!$D72,'Activity data'!$D$24:$D$39,0))*INDEX(EF!$H$84:$H$99,MATCH(Emissions!$D72,EF!$D$84:$D$99,0))*INDEX(EF!$H$100:$H$115,MATCH(Emissions!$D72,EF!$D$100:$D$115,0))*INDEX(EF!$H$132:$H$147,MATCH(Emissions!$D72,EF!$D$132:$D$147,0))*kgtoGg</f>
        <v>0.49069254587411976</v>
      </c>
      <c r="AF72" s="22">
        <f>INDEX('Activity data'!AF$24:AF$39,MATCH(Emissions!$D72,'Activity data'!$D$24:$D$39,0))*INDEX(EF!$H$84:$H$99,MATCH(Emissions!$D72,EF!$D$84:$D$99,0))*INDEX(EF!$H$100:$H$115,MATCH(Emissions!$D72,EF!$D$100:$D$115,0))*INDEX(EF!$H$132:$H$147,MATCH(Emissions!$D72,EF!$D$132:$D$147,0))*kgtoGg</f>
        <v>0.4928118808652534</v>
      </c>
      <c r="AG72" s="22">
        <f>INDEX('Activity data'!AG$24:AG$39,MATCH(Emissions!$D72,'Activity data'!$D$24:$D$39,0))*INDEX(EF!$H$84:$H$99,MATCH(Emissions!$D72,EF!$D$84:$D$99,0))*INDEX(EF!$H$100:$H$115,MATCH(Emissions!$D72,EF!$D$100:$D$115,0))*INDEX(EF!$H$132:$H$147,MATCH(Emissions!$D72,EF!$D$132:$D$147,0))*kgtoGg</f>
        <v>0.49418923770445966</v>
      </c>
      <c r="AH72" s="22">
        <f>INDEX('Activity data'!AH$24:AH$39,MATCH(Emissions!$D72,'Activity data'!$D$24:$D$39,0))*INDEX(EF!$H$84:$H$99,MATCH(Emissions!$D72,EF!$D$84:$D$99,0))*INDEX(EF!$H$100:$H$115,MATCH(Emissions!$D72,EF!$D$100:$D$115,0))*INDEX(EF!$H$132:$H$147,MATCH(Emissions!$D72,EF!$D$132:$D$147,0))*kgtoGg</f>
        <v>0.49556659454366614</v>
      </c>
      <c r="AI72" s="22">
        <f>INDEX('Activity data'!AI$24:AI$39,MATCH(Emissions!$D72,'Activity data'!$D$24:$D$39,0))*INDEX(EF!$H$84:$H$99,MATCH(Emissions!$D72,EF!$D$84:$D$99,0))*INDEX(EF!$H$100:$H$115,MATCH(Emissions!$D72,EF!$D$100:$D$115,0))*INDEX(EF!$H$132:$H$147,MATCH(Emissions!$D72,EF!$D$132:$D$147,0))*kgtoGg</f>
        <v>0.49694395138287251</v>
      </c>
      <c r="AJ72" s="22">
        <f>INDEX('Activity data'!AJ$24:AJ$39,MATCH(Emissions!$D72,'Activity data'!$D$24:$D$39,0))*INDEX(EF!$H$84:$H$99,MATCH(Emissions!$D72,EF!$D$84:$D$99,0))*INDEX(EF!$H$100:$H$115,MATCH(Emissions!$D72,EF!$D$100:$D$115,0))*INDEX(EF!$H$132:$H$147,MATCH(Emissions!$D72,EF!$D$132:$D$147,0))*kgtoGg</f>
        <v>0.49832130822207887</v>
      </c>
      <c r="AK72" s="22">
        <f>INDEX('Activity data'!AK$24:AK$39,MATCH(Emissions!$D72,'Activity data'!$D$24:$D$39,0))*INDEX(EF!$H$84:$H$99,MATCH(Emissions!$D72,EF!$D$84:$D$99,0))*INDEX(EF!$H$100:$H$115,MATCH(Emissions!$D72,EF!$D$100:$D$115,0))*INDEX(EF!$H$132:$H$147,MATCH(Emissions!$D72,EF!$D$132:$D$147,0))*kgtoGg</f>
        <v>0.49962672012738074</v>
      </c>
      <c r="AL72" s="22">
        <f>INDEX('Activity data'!AL$24:AL$39,MATCH(Emissions!$D72,'Activity data'!$D$24:$D$39,0))*INDEX(EF!$H$84:$H$99,MATCH(Emissions!$D72,EF!$D$84:$D$99,0))*INDEX(EF!$H$100:$H$115,MATCH(Emissions!$D72,EF!$D$100:$D$115,0))*INDEX(EF!$H$132:$H$147,MATCH(Emissions!$D72,EF!$D$132:$D$147,0))*kgtoGg</f>
        <v>0.50093213203268272</v>
      </c>
      <c r="AM72" s="22">
        <f>INDEX('Activity data'!AM$24:AM$39,MATCH(Emissions!$D72,'Activity data'!$D$24:$D$39,0))*INDEX(EF!$H$84:$H$99,MATCH(Emissions!$D72,EF!$D$84:$D$99,0))*INDEX(EF!$H$100:$H$115,MATCH(Emissions!$D72,EF!$D$100:$D$115,0))*INDEX(EF!$H$132:$H$147,MATCH(Emissions!$D72,EF!$D$132:$D$147,0))*kgtoGg</f>
        <v>0.50223754393798448</v>
      </c>
      <c r="AN72" s="22">
        <f>INDEX('Activity data'!AN$24:AN$39,MATCH(Emissions!$D72,'Activity data'!$D$24:$D$39,0))*INDEX(EF!$H$84:$H$99,MATCH(Emissions!$D72,EF!$D$84:$D$99,0))*INDEX(EF!$H$100:$H$115,MATCH(Emissions!$D72,EF!$D$100:$D$115,0))*INDEX(EF!$H$132:$H$147,MATCH(Emissions!$D72,EF!$D$132:$D$147,0))*kgtoGg</f>
        <v>0.50354295584328634</v>
      </c>
      <c r="AO72" s="22">
        <f>INDEX('Activity data'!AO$24:AO$39,MATCH(Emissions!$D72,'Activity data'!$D$24:$D$39,0))*INDEX(EF!$H$84:$H$99,MATCH(Emissions!$D72,EF!$D$84:$D$99,0))*INDEX(EF!$H$100:$H$115,MATCH(Emissions!$D72,EF!$D$100:$D$115,0))*INDEX(EF!$H$132:$H$147,MATCH(Emissions!$D72,EF!$D$132:$D$147,0))*kgtoGg</f>
        <v>0.50484836774858821</v>
      </c>
      <c r="AP72" s="22">
        <f>INDEX('Activity data'!AP$24:AP$39,MATCH(Emissions!$D72,'Activity data'!$D$24:$D$39,0))*INDEX(EF!$H$84:$H$99,MATCH(Emissions!$D72,EF!$D$84:$D$99,0))*INDEX(EF!$H$100:$H$115,MATCH(Emissions!$D72,EF!$D$100:$D$115,0))*INDEX(EF!$H$132:$H$147,MATCH(Emissions!$D72,EF!$D$132:$D$147,0))*kgtoGg</f>
        <v>0.50615377965389019</v>
      </c>
      <c r="AQ72" s="22">
        <f>INDEX('Activity data'!AQ$24:AQ$39,MATCH(Emissions!$D72,'Activity data'!$D$24:$D$39,0))*INDEX(EF!$H$84:$H$99,MATCH(Emissions!$D72,EF!$D$84:$D$99,0))*INDEX(EF!$H$100:$H$115,MATCH(Emissions!$D72,EF!$D$100:$D$115,0))*INDEX(EF!$H$132:$H$147,MATCH(Emissions!$D72,EF!$D$132:$D$147,0))*kgtoGg</f>
        <v>0.50745919155919217</v>
      </c>
      <c r="AR72" s="22">
        <f>INDEX('Activity data'!AR$24:AR$39,MATCH(Emissions!$D72,'Activity data'!$D$24:$D$39,0))*INDEX(EF!$H$84:$H$99,MATCH(Emissions!$D72,EF!$D$84:$D$99,0))*INDEX(EF!$H$100:$H$115,MATCH(Emissions!$D72,EF!$D$100:$D$115,0))*INDEX(EF!$H$132:$H$147,MATCH(Emissions!$D72,EF!$D$132:$D$147,0))*kgtoGg</f>
        <v>0.50876460346449393</v>
      </c>
      <c r="AS72" s="22">
        <f>INDEX('Activity data'!AS$24:AS$39,MATCH(Emissions!$D72,'Activity data'!$D$24:$D$39,0))*INDEX(EF!$H$84:$H$99,MATCH(Emissions!$D72,EF!$D$84:$D$99,0))*INDEX(EF!$H$100:$H$115,MATCH(Emissions!$D72,EF!$D$100:$D$115,0))*INDEX(EF!$H$132:$H$147,MATCH(Emissions!$D72,EF!$D$132:$D$147,0))*kgtoGg</f>
        <v>0.51007001536979579</v>
      </c>
      <c r="AT72" s="22">
        <f>INDEX('Activity data'!AT$24:AT$39,MATCH(Emissions!$D72,'Activity data'!$D$24:$D$39,0))*INDEX(EF!$H$84:$H$99,MATCH(Emissions!$D72,EF!$D$84:$D$99,0))*INDEX(EF!$H$100:$H$115,MATCH(Emissions!$D72,EF!$D$100:$D$115,0))*INDEX(EF!$H$132:$H$147,MATCH(Emissions!$D72,EF!$D$132:$D$147,0))*kgtoGg</f>
        <v>0.51137542727509777</v>
      </c>
      <c r="AU72" s="22">
        <f>INDEX('Activity data'!AU$24:AU$39,MATCH(Emissions!$D72,'Activity data'!$D$24:$D$39,0))*INDEX(EF!$H$84:$H$99,MATCH(Emissions!$D72,EF!$D$84:$D$99,0))*INDEX(EF!$H$100:$H$115,MATCH(Emissions!$D72,EF!$D$100:$D$115,0))*INDEX(EF!$H$132:$H$147,MATCH(Emissions!$D72,EF!$D$132:$D$147,0))*kgtoGg</f>
        <v>0.51268083918039975</v>
      </c>
      <c r="AV72" s="22">
        <f>INDEX('Activity data'!AV$24:AV$39,MATCH(Emissions!$D72,'Activity data'!$D$24:$D$39,0))*INDEX(EF!$H$84:$H$99,MATCH(Emissions!$D72,EF!$D$84:$D$99,0))*INDEX(EF!$H$100:$H$115,MATCH(Emissions!$D72,EF!$D$100:$D$115,0))*INDEX(EF!$H$132:$H$147,MATCH(Emissions!$D72,EF!$D$132:$D$147,0))*kgtoGg</f>
        <v>0.51398625108570151</v>
      </c>
      <c r="AW72" s="22">
        <f>INDEX('Activity data'!AW$24:AW$39,MATCH(Emissions!$D72,'Activity data'!$D$24:$D$39,0))*INDEX(EF!$H$84:$H$99,MATCH(Emissions!$D72,EF!$D$84:$D$99,0))*INDEX(EF!$H$100:$H$115,MATCH(Emissions!$D72,EF!$D$100:$D$115,0))*INDEX(EF!$H$132:$H$147,MATCH(Emissions!$D72,EF!$D$132:$D$147,0))*kgtoGg</f>
        <v>0.51529166299100349</v>
      </c>
      <c r="AX72" s="22">
        <f>INDEX('Activity data'!AX$24:AX$39,MATCH(Emissions!$D72,'Activity data'!$D$24:$D$39,0))*INDEX(EF!$H$84:$H$99,MATCH(Emissions!$D72,EF!$D$84:$D$99,0))*INDEX(EF!$H$100:$H$115,MATCH(Emissions!$D72,EF!$D$100:$D$115,0))*INDEX(EF!$H$132:$H$147,MATCH(Emissions!$D72,EF!$D$132:$D$147,0))*kgtoGg</f>
        <v>0.51659707489630546</v>
      </c>
      <c r="AY72" s="22">
        <f>INDEX('Activity data'!AY$24:AY$39,MATCH(Emissions!$D72,'Activity data'!$D$24:$D$39,0))*INDEX(EF!$H$84:$H$99,MATCH(Emissions!$D72,EF!$D$84:$D$99,0))*INDEX(EF!$H$100:$H$115,MATCH(Emissions!$D72,EF!$D$100:$D$115,0))*INDEX(EF!$H$132:$H$147,MATCH(Emissions!$D72,EF!$D$132:$D$147,0))*kgtoGg</f>
        <v>0.51790248680160733</v>
      </c>
      <c r="AZ72" s="22">
        <f>INDEX('Activity data'!AZ$24:AZ$39,MATCH(Emissions!$D72,'Activity data'!$D$24:$D$39,0))*INDEX(EF!$H$84:$H$99,MATCH(Emissions!$D72,EF!$D$84:$D$99,0))*INDEX(EF!$H$100:$H$115,MATCH(Emissions!$D72,EF!$D$100:$D$115,0))*INDEX(EF!$H$132:$H$147,MATCH(Emissions!$D72,EF!$D$132:$D$147,0))*kgtoGg</f>
        <v>0.5192078987069092</v>
      </c>
      <c r="BA72" s="22">
        <f>INDEX('Activity data'!BA$24:BA$39,MATCH(Emissions!$D72,'Activity data'!$D$24:$D$39,0))*INDEX(EF!$H$84:$H$99,MATCH(Emissions!$D72,EF!$D$84:$D$99,0))*INDEX(EF!$H$100:$H$115,MATCH(Emissions!$D72,EF!$D$100:$D$115,0))*INDEX(EF!$H$132:$H$147,MATCH(Emissions!$D72,EF!$D$132:$D$147,0))*kgtoGg</f>
        <v>0.52051331061221118</v>
      </c>
      <c r="BB72" s="22">
        <f>INDEX('Activity data'!BB$24:BB$39,MATCH(Emissions!$D72,'Activity data'!$D$24:$D$39,0))*INDEX(EF!$H$84:$H$99,MATCH(Emissions!$D72,EF!$D$84:$D$99,0))*INDEX(EF!$H$100:$H$115,MATCH(Emissions!$D72,EF!$D$100:$D$115,0))*INDEX(EF!$H$132:$H$147,MATCH(Emissions!$D72,EF!$D$132:$D$147,0))*kgtoGg</f>
        <v>0.52181872251751305</v>
      </c>
      <c r="BC72" s="22">
        <f>INDEX('Activity data'!BC$24:BC$39,MATCH(Emissions!$D72,'Activity data'!$D$24:$D$39,0))*INDEX(EF!$H$84:$H$99,MATCH(Emissions!$D72,EF!$D$84:$D$99,0))*INDEX(EF!$H$100:$H$115,MATCH(Emissions!$D72,EF!$D$100:$D$115,0))*INDEX(EF!$H$132:$H$147,MATCH(Emissions!$D72,EF!$D$132:$D$147,0))*kgtoGg</f>
        <v>0.52312413442281491</v>
      </c>
      <c r="BD72" s="22">
        <f>INDEX('Activity data'!BD$24:BD$39,MATCH(Emissions!$D72,'Activity data'!$D$24:$D$39,0))*INDEX(EF!$H$84:$H$99,MATCH(Emissions!$D72,EF!$D$84:$D$99,0))*INDEX(EF!$H$100:$H$115,MATCH(Emissions!$D72,EF!$D$100:$D$115,0))*INDEX(EF!$H$132:$H$147,MATCH(Emissions!$D72,EF!$D$132:$D$147,0))*kgtoGg</f>
        <v>0.52442954632811678</v>
      </c>
      <c r="BE72" s="22">
        <f>INDEX('Activity data'!BE$24:BE$39,MATCH(Emissions!$D72,'Activity data'!$D$24:$D$39,0))*INDEX(EF!$H$84:$H$99,MATCH(Emissions!$D72,EF!$D$84:$D$99,0))*INDEX(EF!$H$100:$H$115,MATCH(Emissions!$D72,EF!$D$100:$D$115,0))*INDEX(EF!$H$132:$H$147,MATCH(Emissions!$D72,EF!$D$132:$D$147,0))*kgtoGg</f>
        <v>0.52573495823341865</v>
      </c>
      <c r="BF72" s="22">
        <f>INDEX('Activity data'!BF$24:BF$39,MATCH(Emissions!$D72,'Activity data'!$D$24:$D$39,0))*INDEX(EF!$H$84:$H$99,MATCH(Emissions!$D72,EF!$D$84:$D$99,0))*INDEX(EF!$H$100:$H$115,MATCH(Emissions!$D72,EF!$D$100:$D$115,0))*INDEX(EF!$H$132:$H$147,MATCH(Emissions!$D72,EF!$D$132:$D$147,0))*kgtoGg</f>
        <v>0.52704037013872063</v>
      </c>
      <c r="BG72" s="22">
        <f>INDEX('Activity data'!BG$24:BG$39,MATCH(Emissions!$D72,'Activity data'!$D$24:$D$39,0))*INDEX(EF!$H$84:$H$99,MATCH(Emissions!$D72,EF!$D$84:$D$99,0))*INDEX(EF!$H$100:$H$115,MATCH(Emissions!$D72,EF!$D$100:$D$115,0))*INDEX(EF!$H$132:$H$147,MATCH(Emissions!$D72,EF!$D$132:$D$147,0))*kgtoGg</f>
        <v>0.5283457820440226</v>
      </c>
      <c r="BH72" s="22">
        <f>INDEX('Activity data'!BH$24:BH$39,MATCH(Emissions!$D72,'Activity data'!$D$24:$D$39,0))*INDEX(EF!$H$84:$H$99,MATCH(Emissions!$D72,EF!$D$84:$D$99,0))*INDEX(EF!$H$100:$H$115,MATCH(Emissions!$D72,EF!$D$100:$D$115,0))*INDEX(EF!$H$132:$H$147,MATCH(Emissions!$D72,EF!$D$132:$D$147,0))*kgtoGg</f>
        <v>0.52965119394932436</v>
      </c>
      <c r="BI72" s="22">
        <f>INDEX('Activity data'!BI$24:BI$39,MATCH(Emissions!$D72,'Activity data'!$D$24:$D$39,0))*INDEX(EF!$H$84:$H$99,MATCH(Emissions!$D72,EF!$D$84:$D$99,0))*INDEX(EF!$H$100:$H$115,MATCH(Emissions!$D72,EF!$D$100:$D$115,0))*INDEX(EF!$H$132:$H$147,MATCH(Emissions!$D72,EF!$D$132:$D$147,0))*kgtoGg</f>
        <v>0.53095660585462634</v>
      </c>
      <c r="BJ72" s="22">
        <f>INDEX('Activity data'!BJ$24:BJ$39,MATCH(Emissions!$D72,'Activity data'!$D$24:$D$39,0))*INDEX(EF!$H$84:$H$99,MATCH(Emissions!$D72,EF!$D$84:$D$99,0))*INDEX(EF!$H$100:$H$115,MATCH(Emissions!$D72,EF!$D$100:$D$115,0))*INDEX(EF!$H$132:$H$147,MATCH(Emissions!$D72,EF!$D$132:$D$147,0))*kgtoGg</f>
        <v>0.53226201775992821</v>
      </c>
      <c r="BK72" s="22">
        <f>INDEX('Activity data'!BK$24:BK$39,MATCH(Emissions!$D72,'Activity data'!$D$24:$D$39,0))*INDEX(EF!$H$84:$H$99,MATCH(Emissions!$D72,EF!$D$84:$D$99,0))*INDEX(EF!$H$100:$H$115,MATCH(Emissions!$D72,EF!$D$100:$D$115,0))*INDEX(EF!$H$132:$H$147,MATCH(Emissions!$D72,EF!$D$132:$D$147,0))*kgtoGg</f>
        <v>0.53356742966523019</v>
      </c>
      <c r="BL72" s="22">
        <f>INDEX('Activity data'!BL$24:BL$39,MATCH(Emissions!$D72,'Activity data'!$D$24:$D$39,0))*INDEX(EF!$H$84:$H$99,MATCH(Emissions!$D72,EF!$D$84:$D$99,0))*INDEX(EF!$H$100:$H$115,MATCH(Emissions!$D72,EF!$D$100:$D$115,0))*INDEX(EF!$H$132:$H$147,MATCH(Emissions!$D72,EF!$D$132:$D$147,0))*kgtoGg</f>
        <v>0.53487284157053205</v>
      </c>
      <c r="BM72" s="22">
        <f>INDEX('Activity data'!BM$24:BM$39,MATCH(Emissions!$D72,'Activity data'!$D$24:$D$39,0))*INDEX(EF!$H$84:$H$99,MATCH(Emissions!$D72,EF!$D$84:$D$99,0))*INDEX(EF!$H$100:$H$115,MATCH(Emissions!$D72,EF!$D$100:$D$115,0))*INDEX(EF!$H$132:$H$147,MATCH(Emissions!$D72,EF!$D$132:$D$147,0))*kgtoGg</f>
        <v>0.53617825347583403</v>
      </c>
      <c r="BN72" s="22">
        <f>INDEX('Activity data'!BN$24:BN$39,MATCH(Emissions!$D72,'Activity data'!$D$24:$D$39,0))*INDEX(EF!$H$84:$H$99,MATCH(Emissions!$D72,EF!$D$84:$D$99,0))*INDEX(EF!$H$100:$H$115,MATCH(Emissions!$D72,EF!$D$100:$D$115,0))*INDEX(EF!$H$132:$H$147,MATCH(Emissions!$D72,EF!$D$132:$D$147,0))*kgtoGg</f>
        <v>0.53748366538113579</v>
      </c>
      <c r="BO72" s="22">
        <f>INDEX('Activity data'!BO$24:BO$39,MATCH(Emissions!$D72,'Activity data'!$D$24:$D$39,0))*INDEX(EF!$H$84:$H$99,MATCH(Emissions!$D72,EF!$D$84:$D$99,0))*INDEX(EF!$H$100:$H$115,MATCH(Emissions!$D72,EF!$D$100:$D$115,0))*INDEX(EF!$H$132:$H$147,MATCH(Emissions!$D72,EF!$D$132:$D$147,0))*kgtoGg</f>
        <v>0.53878907728643766</v>
      </c>
      <c r="BP72" s="22">
        <f>INDEX('Activity data'!BP$24:BP$39,MATCH(Emissions!$D72,'Activity data'!$D$24:$D$39,0))*INDEX(EF!$H$84:$H$99,MATCH(Emissions!$D72,EF!$D$84:$D$99,0))*INDEX(EF!$H$100:$H$115,MATCH(Emissions!$D72,EF!$D$100:$D$115,0))*INDEX(EF!$H$132:$H$147,MATCH(Emissions!$D72,EF!$D$132:$D$147,0))*kgtoGg</f>
        <v>0.54009448919173964</v>
      </c>
    </row>
    <row r="73" spans="1:68" x14ac:dyDescent="0.25">
      <c r="A73" t="str">
        <f t="shared" si="19"/>
        <v>3C Aggregated and non-CO2 emissions on land</v>
      </c>
      <c r="B73" t="str">
        <f t="shared" si="26"/>
        <v>3C1 Biomass burning (N2O)</v>
      </c>
      <c r="C73" t="str">
        <f t="shared" si="25"/>
        <v>3C1a Biomass burning in forest land</v>
      </c>
      <c r="D73" t="str">
        <f>EF!D103</f>
        <v>Plantations</v>
      </c>
      <c r="E73" t="s">
        <v>650</v>
      </c>
      <c r="F73" t="str">
        <f t="shared" si="27"/>
        <v>N2O</v>
      </c>
      <c r="G73" t="str">
        <f t="shared" si="28"/>
        <v>Gg N2O</v>
      </c>
      <c r="H73" s="22">
        <f>INDEX('Activity data'!H$24:H$39,MATCH(Emissions!$D73,'Activity data'!$D$24:$D$39,0))*INDEX(EF!$H$84:$H$99,MATCH(Emissions!$D73,EF!$D$84:$D$99,0))*INDEX(EF!$H$100:$H$115,MATCH(Emissions!$D73,EF!$D$100:$D$115,0))*INDEX(EF!$H$132:$H$147,MATCH(Emissions!$D73,EF!$D$132:$D$147,0))*kgtoGg</f>
        <v>0.41734182049814844</v>
      </c>
      <c r="I73" s="22">
        <f>INDEX('Activity data'!I$24:I$39,MATCH(Emissions!$D73,'Activity data'!$D$24:$D$39,0))*INDEX(EF!$H$84:$H$99,MATCH(Emissions!$D73,EF!$D$84:$D$99,0))*INDEX(EF!$H$100:$H$115,MATCH(Emissions!$D73,EF!$D$100:$D$115,0))*INDEX(EF!$H$132:$H$147,MATCH(Emissions!$D73,EF!$D$132:$D$147,0))*kgtoGg</f>
        <v>0.41734182049814844</v>
      </c>
      <c r="J73" s="22">
        <f>INDEX('Activity data'!J$24:J$39,MATCH(Emissions!$D73,'Activity data'!$D$24:$D$39,0))*INDEX(EF!$H$84:$H$99,MATCH(Emissions!$D73,EF!$D$84:$D$99,0))*INDEX(EF!$H$100:$H$115,MATCH(Emissions!$D73,EF!$D$100:$D$115,0))*INDEX(EF!$H$132:$H$147,MATCH(Emissions!$D73,EF!$D$132:$D$147,0))*kgtoGg</f>
        <v>0.41734182049814844</v>
      </c>
      <c r="K73" s="22">
        <f>INDEX('Activity data'!K$24:K$39,MATCH(Emissions!$D73,'Activity data'!$D$24:$D$39,0))*INDEX(EF!$H$84:$H$99,MATCH(Emissions!$D73,EF!$D$84:$D$99,0))*INDEX(EF!$H$100:$H$115,MATCH(Emissions!$D73,EF!$D$100:$D$115,0))*INDEX(EF!$H$132:$H$147,MATCH(Emissions!$D73,EF!$D$132:$D$147,0))*kgtoGg</f>
        <v>0.41734182049814844</v>
      </c>
      <c r="L73" s="22">
        <f>INDEX('Activity data'!L$24:L$39,MATCH(Emissions!$D73,'Activity data'!$D$24:$D$39,0))*INDEX(EF!$H$84:$H$99,MATCH(Emissions!$D73,EF!$D$84:$D$99,0))*INDEX(EF!$H$100:$H$115,MATCH(Emissions!$D73,EF!$D$100:$D$115,0))*INDEX(EF!$H$132:$H$147,MATCH(Emissions!$D73,EF!$D$132:$D$147,0))*kgtoGg</f>
        <v>0.41734182049814844</v>
      </c>
      <c r="M73" s="22">
        <f>INDEX('Activity data'!M$24:M$39,MATCH(Emissions!$D73,'Activity data'!$D$24:$D$39,0))*INDEX(EF!$H$84:$H$99,MATCH(Emissions!$D73,EF!$D$84:$D$99,0))*INDEX(EF!$H$100:$H$115,MATCH(Emissions!$D73,EF!$D$100:$D$115,0))*INDEX(EF!$H$132:$H$147,MATCH(Emissions!$D73,EF!$D$132:$D$147,0))*kgtoGg</f>
        <v>0.41734182049814844</v>
      </c>
      <c r="N73" s="22">
        <f>INDEX('Activity data'!N$24:N$39,MATCH(Emissions!$D73,'Activity data'!$D$24:$D$39,0))*INDEX(EF!$H$84:$H$99,MATCH(Emissions!$D73,EF!$D$84:$D$99,0))*INDEX(EF!$H$100:$H$115,MATCH(Emissions!$D73,EF!$D$100:$D$115,0))*INDEX(EF!$H$132:$H$147,MATCH(Emissions!$D73,EF!$D$132:$D$147,0))*kgtoGg</f>
        <v>0.41734182049814844</v>
      </c>
      <c r="O73" s="22">
        <f>INDEX('Activity data'!O$24:O$39,MATCH(Emissions!$D73,'Activity data'!$D$24:$D$39,0))*INDEX(EF!$H$84:$H$99,MATCH(Emissions!$D73,EF!$D$84:$D$99,0))*INDEX(EF!$H$100:$H$115,MATCH(Emissions!$D73,EF!$D$100:$D$115,0))*INDEX(EF!$H$132:$H$147,MATCH(Emissions!$D73,EF!$D$132:$D$147,0))*kgtoGg</f>
        <v>0.41734182049814844</v>
      </c>
      <c r="P73" s="22">
        <f>INDEX('Activity data'!P$24:P$39,MATCH(Emissions!$D73,'Activity data'!$D$24:$D$39,0))*INDEX(EF!$H$84:$H$99,MATCH(Emissions!$D73,EF!$D$84:$D$99,0))*INDEX(EF!$H$100:$H$115,MATCH(Emissions!$D73,EF!$D$100:$D$115,0))*INDEX(EF!$H$132:$H$147,MATCH(Emissions!$D73,EF!$D$132:$D$147,0))*kgtoGg</f>
        <v>0.41734182049814844</v>
      </c>
      <c r="Q73" s="22">
        <f>INDEX('Activity data'!Q$24:Q$39,MATCH(Emissions!$D73,'Activity data'!$D$24:$D$39,0))*INDEX(EF!$H$84:$H$99,MATCH(Emissions!$D73,EF!$D$84:$D$99,0))*INDEX(EF!$H$100:$H$115,MATCH(Emissions!$D73,EF!$D$100:$D$115,0))*INDEX(EF!$H$132:$H$147,MATCH(Emissions!$D73,EF!$D$132:$D$147,0))*kgtoGg</f>
        <v>0.41734182049814844</v>
      </c>
      <c r="R73" s="22">
        <f>INDEX('Activity data'!R$24:R$39,MATCH(Emissions!$D73,'Activity data'!$D$24:$D$39,0))*INDEX(EF!$H$84:$H$99,MATCH(Emissions!$D73,EF!$D$84:$D$99,0))*INDEX(EF!$H$100:$H$115,MATCH(Emissions!$D73,EF!$D$100:$D$115,0))*INDEX(EF!$H$132:$H$147,MATCH(Emissions!$D73,EF!$D$132:$D$147,0))*kgtoGg</f>
        <v>0.38057445764127906</v>
      </c>
      <c r="S73" s="22">
        <f>INDEX('Activity data'!S$24:S$39,MATCH(Emissions!$D73,'Activity data'!$D$24:$D$39,0))*INDEX(EF!$H$84:$H$99,MATCH(Emissions!$D73,EF!$D$84:$D$99,0))*INDEX(EF!$H$100:$H$115,MATCH(Emissions!$D73,EF!$D$100:$D$115,0))*INDEX(EF!$H$132:$H$147,MATCH(Emissions!$D73,EF!$D$132:$D$147,0))*kgtoGg</f>
        <v>0.46846135569826935</v>
      </c>
      <c r="T73" s="22">
        <f>INDEX('Activity data'!T$24:T$39,MATCH(Emissions!$D73,'Activity data'!$D$24:$D$39,0))*INDEX(EF!$H$84:$H$99,MATCH(Emissions!$D73,EF!$D$84:$D$99,0))*INDEX(EF!$H$100:$H$115,MATCH(Emissions!$D73,EF!$D$100:$D$115,0))*INDEX(EF!$H$132:$H$147,MATCH(Emissions!$D73,EF!$D$132:$D$147,0))*kgtoGg</f>
        <v>0.41826906758774046</v>
      </c>
      <c r="U73" s="22">
        <f>INDEX('Activity data'!U$24:U$39,MATCH(Emissions!$D73,'Activity data'!$D$24:$D$39,0))*INDEX(EF!$H$84:$H$99,MATCH(Emissions!$D73,EF!$D$84:$D$99,0))*INDEX(EF!$H$100:$H$115,MATCH(Emissions!$D73,EF!$D$100:$D$115,0))*INDEX(EF!$H$132:$H$147,MATCH(Emissions!$D73,EF!$D$132:$D$147,0))*kgtoGg</f>
        <v>0.48559526931029728</v>
      </c>
      <c r="V73" s="22">
        <f>INDEX('Activity data'!V$24:V$39,MATCH(Emissions!$D73,'Activity data'!$D$24:$D$39,0))*INDEX(EF!$H$84:$H$99,MATCH(Emissions!$D73,EF!$D$84:$D$99,0))*INDEX(EF!$H$100:$H$115,MATCH(Emissions!$D73,EF!$D$100:$D$115,0))*INDEX(EF!$H$132:$H$147,MATCH(Emissions!$D73,EF!$D$132:$D$147,0))*kgtoGg</f>
        <v>0.33380895225315582</v>
      </c>
      <c r="W73" s="22">
        <f>INDEX('Activity data'!W$24:W$39,MATCH(Emissions!$D73,'Activity data'!$D$24:$D$39,0))*INDEX(EF!$H$84:$H$99,MATCH(Emissions!$D73,EF!$D$84:$D$99,0))*INDEX(EF!$H$100:$H$115,MATCH(Emissions!$D73,EF!$D$100:$D$115,0))*INDEX(EF!$H$132:$H$147,MATCH(Emissions!$D73,EF!$D$132:$D$147,0))*kgtoGg</f>
        <v>0.48922362748696191</v>
      </c>
      <c r="X73" s="22">
        <f>INDEX('Activity data'!X$24:X$39,MATCH(Emissions!$D73,'Activity data'!$D$24:$D$39,0))*INDEX(EF!$H$84:$H$99,MATCH(Emissions!$D73,EF!$D$84:$D$99,0))*INDEX(EF!$H$100:$H$115,MATCH(Emissions!$D73,EF!$D$100:$D$115,0))*INDEX(EF!$H$132:$H$147,MATCH(Emissions!$D73,EF!$D$132:$D$147,0))*kgtoGg</f>
        <v>0.38238863672961138</v>
      </c>
      <c r="Y73" s="22">
        <f>INDEX('Activity data'!Y$24:Y$39,MATCH(Emissions!$D73,'Activity data'!$D$24:$D$39,0))*INDEX(EF!$H$84:$H$99,MATCH(Emissions!$D73,EF!$D$84:$D$99,0))*INDEX(EF!$H$100:$H$115,MATCH(Emissions!$D73,EF!$D$100:$D$115,0))*INDEX(EF!$H$132:$H$147,MATCH(Emissions!$D73,EF!$D$132:$D$147,0))*kgtoGg</f>
        <v>0.71196450444332493</v>
      </c>
      <c r="Z73" s="22">
        <f>INDEX('Activity data'!Z$24:Z$39,MATCH(Emissions!$D73,'Activity data'!$D$24:$D$39,0))*INDEX(EF!$H$84:$H$99,MATCH(Emissions!$D73,EF!$D$84:$D$99,0))*INDEX(EF!$H$100:$H$115,MATCH(Emissions!$D73,EF!$D$100:$D$115,0))*INDEX(EF!$H$132:$H$147,MATCH(Emissions!$D73,EF!$D$132:$D$147,0))*kgtoGg</f>
        <v>0.45999518661938493</v>
      </c>
      <c r="AA73" s="22">
        <f>INDEX('Activity data'!AA$24:AA$39,MATCH(Emissions!$D73,'Activity data'!$D$24:$D$39,0))*INDEX(EF!$H$84:$H$99,MATCH(Emissions!$D73,EF!$D$84:$D$99,0))*INDEX(EF!$H$100:$H$115,MATCH(Emissions!$D73,EF!$D$100:$D$115,0))*INDEX(EF!$H$132:$H$147,MATCH(Emissions!$D73,EF!$D$132:$D$147,0))*kgtoGg</f>
        <v>0.39186268307979161</v>
      </c>
      <c r="AB73" s="22">
        <f>INDEX('Activity data'!AB$24:AB$39,MATCH(Emissions!$D73,'Activity data'!$D$24:$D$39,0))*INDEX(EF!$H$84:$H$99,MATCH(Emissions!$D73,EF!$D$84:$D$99,0))*INDEX(EF!$H$100:$H$115,MATCH(Emissions!$D73,EF!$D$100:$D$115,0))*INDEX(EF!$H$132:$H$147,MATCH(Emissions!$D73,EF!$D$132:$D$147,0))*kgtoGg</f>
        <v>0.33076409184</v>
      </c>
      <c r="AC73" s="22">
        <f>INDEX('Activity data'!AC$24:AC$39,MATCH(Emissions!$D73,'Activity data'!$D$24:$D$39,0))*INDEX(EF!$H$84:$H$99,MATCH(Emissions!$D73,EF!$D$84:$D$99,0))*INDEX(EF!$H$100:$H$115,MATCH(Emissions!$D73,EF!$D$100:$D$115,0))*INDEX(EF!$H$132:$H$147,MATCH(Emissions!$D73,EF!$D$132:$D$147,0))*kgtoGg</f>
        <v>0.37630311264000005</v>
      </c>
      <c r="AD73" s="22">
        <f>INDEX('Activity data'!AD$24:AD$39,MATCH(Emissions!$D73,'Activity data'!$D$24:$D$39,0))*INDEX(EF!$H$84:$H$99,MATCH(Emissions!$D73,EF!$D$84:$D$99,0))*INDEX(EF!$H$100:$H$115,MATCH(Emissions!$D73,EF!$D$100:$D$115,0))*INDEX(EF!$H$132:$H$147,MATCH(Emissions!$D73,EF!$D$132:$D$147,0))*kgtoGg</f>
        <v>0.11606648834006898</v>
      </c>
      <c r="AE73" s="22">
        <f>INDEX('Activity data'!AE$24:AE$39,MATCH(Emissions!$D73,'Activity data'!$D$24:$D$39,0))*INDEX(EF!$H$84:$H$99,MATCH(Emissions!$D73,EF!$D$84:$D$99,0))*INDEX(EF!$H$100:$H$115,MATCH(Emissions!$D73,EF!$D$100:$D$115,0))*INDEX(EF!$H$132:$H$147,MATCH(Emissions!$D73,EF!$D$132:$D$147,0))*kgtoGg</f>
        <v>0.21826021634006895</v>
      </c>
      <c r="AF73" s="22">
        <f>INDEX('Activity data'!AF$24:AF$39,MATCH(Emissions!$D73,'Activity data'!$D$24:$D$39,0))*INDEX(EF!$H$84:$H$99,MATCH(Emissions!$D73,EF!$D$84:$D$99,0))*INDEX(EF!$H$100:$H$115,MATCH(Emissions!$D73,EF!$D$100:$D$115,0))*INDEX(EF!$H$132:$H$147,MATCH(Emissions!$D73,EF!$D$132:$D$147,0))*kgtoGg</f>
        <v>0.17623132034006897</v>
      </c>
      <c r="AG73" s="22">
        <f>INDEX('Activity data'!AG$24:AG$39,MATCH(Emissions!$D73,'Activity data'!$D$24:$D$39,0))*INDEX(EF!$H$84:$H$99,MATCH(Emissions!$D73,EF!$D$84:$D$99,0))*INDEX(EF!$H$100:$H$115,MATCH(Emissions!$D73,EF!$D$100:$D$115,0))*INDEX(EF!$H$132:$H$147,MATCH(Emissions!$D73,EF!$D$132:$D$147,0))*kgtoGg</f>
        <v>0.13670965634006899</v>
      </c>
      <c r="AH73" s="22">
        <f>INDEX('Activity data'!AH$24:AH$39,MATCH(Emissions!$D73,'Activity data'!$D$24:$D$39,0))*INDEX(EF!$H$84:$H$99,MATCH(Emissions!$D73,EF!$D$84:$D$99,0))*INDEX(EF!$H$100:$H$115,MATCH(Emissions!$D73,EF!$D$100:$D$115,0))*INDEX(EF!$H$132:$H$147,MATCH(Emissions!$D73,EF!$D$132:$D$147,0))*kgtoGg</f>
        <v>0.15645301634006897</v>
      </c>
      <c r="AI73" s="22">
        <f>INDEX('Activity data'!AI$24:AI$39,MATCH(Emissions!$D73,'Activity data'!$D$24:$D$39,0))*INDEX(EF!$H$84:$H$99,MATCH(Emissions!$D73,EF!$D$84:$D$99,0))*INDEX(EF!$H$100:$H$115,MATCH(Emissions!$D73,EF!$D$100:$D$115,0))*INDEX(EF!$H$132:$H$147,MATCH(Emissions!$D73,EF!$D$132:$D$147,0))*kgtoGg</f>
        <v>0.17325234434006898</v>
      </c>
      <c r="AJ73" s="22">
        <f>INDEX('Activity data'!AJ$24:AJ$39,MATCH(Emissions!$D73,'Activity data'!$D$24:$D$39,0))*INDEX(EF!$H$84:$H$99,MATCH(Emissions!$D73,EF!$D$84:$D$99,0))*INDEX(EF!$H$100:$H$115,MATCH(Emissions!$D73,EF!$D$100:$D$115,0))*INDEX(EF!$H$132:$H$147,MATCH(Emissions!$D73,EF!$D$132:$D$147,0))*kgtoGg</f>
        <v>0.17325234434006898</v>
      </c>
      <c r="AK73" s="22">
        <f>INDEX('Activity data'!AK$24:AK$39,MATCH(Emissions!$D73,'Activity data'!$D$24:$D$39,0))*INDEX(EF!$H$84:$H$99,MATCH(Emissions!$D73,EF!$D$84:$D$99,0))*INDEX(EF!$H$100:$H$115,MATCH(Emissions!$D73,EF!$D$100:$D$115,0))*INDEX(EF!$H$132:$H$147,MATCH(Emissions!$D73,EF!$D$132:$D$147,0))*kgtoGg</f>
        <v>0.17348046305512421</v>
      </c>
      <c r="AL73" s="22">
        <f>INDEX('Activity data'!AL$24:AL$39,MATCH(Emissions!$D73,'Activity data'!$D$24:$D$39,0))*INDEX(EF!$H$84:$H$99,MATCH(Emissions!$D73,EF!$D$84:$D$99,0))*INDEX(EF!$H$100:$H$115,MATCH(Emissions!$D73,EF!$D$100:$D$115,0))*INDEX(EF!$H$132:$H$147,MATCH(Emissions!$D73,EF!$D$132:$D$147,0))*kgtoGg</f>
        <v>0.17370858177017945</v>
      </c>
      <c r="AM73" s="22">
        <f>INDEX('Activity data'!AM$24:AM$39,MATCH(Emissions!$D73,'Activity data'!$D$24:$D$39,0))*INDEX(EF!$H$84:$H$99,MATCH(Emissions!$D73,EF!$D$84:$D$99,0))*INDEX(EF!$H$100:$H$115,MATCH(Emissions!$D73,EF!$D$100:$D$115,0))*INDEX(EF!$H$132:$H$147,MATCH(Emissions!$D73,EF!$D$132:$D$147,0))*kgtoGg</f>
        <v>0.17393670048523466</v>
      </c>
      <c r="AN73" s="22">
        <f>INDEX('Activity data'!AN$24:AN$39,MATCH(Emissions!$D73,'Activity data'!$D$24:$D$39,0))*INDEX(EF!$H$84:$H$99,MATCH(Emissions!$D73,EF!$D$84:$D$99,0))*INDEX(EF!$H$100:$H$115,MATCH(Emissions!$D73,EF!$D$100:$D$115,0))*INDEX(EF!$H$132:$H$147,MATCH(Emissions!$D73,EF!$D$132:$D$147,0))*kgtoGg</f>
        <v>0.17416481920028992</v>
      </c>
      <c r="AO73" s="22">
        <f>INDEX('Activity data'!AO$24:AO$39,MATCH(Emissions!$D73,'Activity data'!$D$24:$D$39,0))*INDEX(EF!$H$84:$H$99,MATCH(Emissions!$D73,EF!$D$84:$D$99,0))*INDEX(EF!$H$100:$H$115,MATCH(Emissions!$D73,EF!$D$100:$D$115,0))*INDEX(EF!$H$132:$H$147,MATCH(Emissions!$D73,EF!$D$132:$D$147,0))*kgtoGg</f>
        <v>0.17439293791534516</v>
      </c>
      <c r="AP73" s="22">
        <f>INDEX('Activity data'!AP$24:AP$39,MATCH(Emissions!$D73,'Activity data'!$D$24:$D$39,0))*INDEX(EF!$H$84:$H$99,MATCH(Emissions!$D73,EF!$D$84:$D$99,0))*INDEX(EF!$H$100:$H$115,MATCH(Emissions!$D73,EF!$D$100:$D$115,0))*INDEX(EF!$H$132:$H$147,MATCH(Emissions!$D73,EF!$D$132:$D$147,0))*kgtoGg</f>
        <v>0.17462105663040037</v>
      </c>
      <c r="AQ73" s="22">
        <f>INDEX('Activity data'!AQ$24:AQ$39,MATCH(Emissions!$D73,'Activity data'!$D$24:$D$39,0))*INDEX(EF!$H$84:$H$99,MATCH(Emissions!$D73,EF!$D$84:$D$99,0))*INDEX(EF!$H$100:$H$115,MATCH(Emissions!$D73,EF!$D$100:$D$115,0))*INDEX(EF!$H$132:$H$147,MATCH(Emissions!$D73,EF!$D$132:$D$147,0))*kgtoGg</f>
        <v>0.17484917534545563</v>
      </c>
      <c r="AR73" s="22">
        <f>INDEX('Activity data'!AR$24:AR$39,MATCH(Emissions!$D73,'Activity data'!$D$24:$D$39,0))*INDEX(EF!$H$84:$H$99,MATCH(Emissions!$D73,EF!$D$84:$D$99,0))*INDEX(EF!$H$100:$H$115,MATCH(Emissions!$D73,EF!$D$100:$D$115,0))*INDEX(EF!$H$132:$H$147,MATCH(Emissions!$D73,EF!$D$132:$D$147,0))*kgtoGg</f>
        <v>0.17507729406051084</v>
      </c>
      <c r="AS73" s="22">
        <f>INDEX('Activity data'!AS$24:AS$39,MATCH(Emissions!$D73,'Activity data'!$D$24:$D$39,0))*INDEX(EF!$H$84:$H$99,MATCH(Emissions!$D73,EF!$D$84:$D$99,0))*INDEX(EF!$H$100:$H$115,MATCH(Emissions!$D73,EF!$D$100:$D$115,0))*INDEX(EF!$H$132:$H$147,MATCH(Emissions!$D73,EF!$D$132:$D$147,0))*kgtoGg</f>
        <v>0.17530541277556611</v>
      </c>
      <c r="AT73" s="22">
        <f>INDEX('Activity data'!AT$24:AT$39,MATCH(Emissions!$D73,'Activity data'!$D$24:$D$39,0))*INDEX(EF!$H$84:$H$99,MATCH(Emissions!$D73,EF!$D$84:$D$99,0))*INDEX(EF!$H$100:$H$115,MATCH(Emissions!$D73,EF!$D$100:$D$115,0))*INDEX(EF!$H$132:$H$147,MATCH(Emissions!$D73,EF!$D$132:$D$147,0))*kgtoGg</f>
        <v>0.17553353149062129</v>
      </c>
      <c r="AU73" s="22">
        <f>INDEX('Activity data'!AU$24:AU$39,MATCH(Emissions!$D73,'Activity data'!$D$24:$D$39,0))*INDEX(EF!$H$84:$H$99,MATCH(Emissions!$D73,EF!$D$84:$D$99,0))*INDEX(EF!$H$100:$H$115,MATCH(Emissions!$D73,EF!$D$100:$D$115,0))*INDEX(EF!$H$132:$H$147,MATCH(Emissions!$D73,EF!$D$132:$D$147,0))*kgtoGg</f>
        <v>0.17576165020567658</v>
      </c>
      <c r="AV73" s="22">
        <f>INDEX('Activity data'!AV$24:AV$39,MATCH(Emissions!$D73,'Activity data'!$D$24:$D$39,0))*INDEX(EF!$H$84:$H$99,MATCH(Emissions!$D73,EF!$D$84:$D$99,0))*INDEX(EF!$H$100:$H$115,MATCH(Emissions!$D73,EF!$D$100:$D$115,0))*INDEX(EF!$H$132:$H$147,MATCH(Emissions!$D73,EF!$D$132:$D$147,0))*kgtoGg</f>
        <v>0.17598976892073181</v>
      </c>
      <c r="AW73" s="22">
        <f>INDEX('Activity data'!AW$24:AW$39,MATCH(Emissions!$D73,'Activity data'!$D$24:$D$39,0))*INDEX(EF!$H$84:$H$99,MATCH(Emissions!$D73,EF!$D$84:$D$99,0))*INDEX(EF!$H$100:$H$115,MATCH(Emissions!$D73,EF!$D$100:$D$115,0))*INDEX(EF!$H$132:$H$147,MATCH(Emissions!$D73,EF!$D$132:$D$147,0))*kgtoGg</f>
        <v>0.17521234061839927</v>
      </c>
      <c r="AX73" s="22">
        <f>INDEX('Activity data'!AX$24:AX$39,MATCH(Emissions!$D73,'Activity data'!$D$24:$D$39,0))*INDEX(EF!$H$84:$H$99,MATCH(Emissions!$D73,EF!$D$84:$D$99,0))*INDEX(EF!$H$100:$H$115,MATCH(Emissions!$D73,EF!$D$100:$D$115,0))*INDEX(EF!$H$132:$H$147,MATCH(Emissions!$D73,EF!$D$132:$D$147,0))*kgtoGg</f>
        <v>0.17443491231606678</v>
      </c>
      <c r="AY73" s="22">
        <f>INDEX('Activity data'!AY$24:AY$39,MATCH(Emissions!$D73,'Activity data'!$D$24:$D$39,0))*INDEX(EF!$H$84:$H$99,MATCH(Emissions!$D73,EF!$D$84:$D$99,0))*INDEX(EF!$H$100:$H$115,MATCH(Emissions!$D73,EF!$D$100:$D$115,0))*INDEX(EF!$H$132:$H$147,MATCH(Emissions!$D73,EF!$D$132:$D$147,0))*kgtoGg</f>
        <v>0.17365748401373429</v>
      </c>
      <c r="AZ73" s="22">
        <f>INDEX('Activity data'!AZ$24:AZ$39,MATCH(Emissions!$D73,'Activity data'!$D$24:$D$39,0))*INDEX(EF!$H$84:$H$99,MATCH(Emissions!$D73,EF!$D$84:$D$99,0))*INDEX(EF!$H$100:$H$115,MATCH(Emissions!$D73,EF!$D$100:$D$115,0))*INDEX(EF!$H$132:$H$147,MATCH(Emissions!$D73,EF!$D$132:$D$147,0))*kgtoGg</f>
        <v>0.1728800557114018</v>
      </c>
      <c r="BA73" s="22">
        <f>INDEX('Activity data'!BA$24:BA$39,MATCH(Emissions!$D73,'Activity data'!$D$24:$D$39,0))*INDEX(EF!$H$84:$H$99,MATCH(Emissions!$D73,EF!$D$84:$D$99,0))*INDEX(EF!$H$100:$H$115,MATCH(Emissions!$D73,EF!$D$100:$D$115,0))*INDEX(EF!$H$132:$H$147,MATCH(Emissions!$D73,EF!$D$132:$D$147,0))*kgtoGg</f>
        <v>0.17210262740906929</v>
      </c>
      <c r="BB73" s="22">
        <f>INDEX('Activity data'!BB$24:BB$39,MATCH(Emissions!$D73,'Activity data'!$D$24:$D$39,0))*INDEX(EF!$H$84:$H$99,MATCH(Emissions!$D73,EF!$D$84:$D$99,0))*INDEX(EF!$H$100:$H$115,MATCH(Emissions!$D73,EF!$D$100:$D$115,0))*INDEX(EF!$H$132:$H$147,MATCH(Emissions!$D73,EF!$D$132:$D$147,0))*kgtoGg</f>
        <v>0.1713251991067368</v>
      </c>
      <c r="BC73" s="22">
        <f>INDEX('Activity data'!BC$24:BC$39,MATCH(Emissions!$D73,'Activity data'!$D$24:$D$39,0))*INDEX(EF!$H$84:$H$99,MATCH(Emissions!$D73,EF!$D$84:$D$99,0))*INDEX(EF!$H$100:$H$115,MATCH(Emissions!$D73,EF!$D$100:$D$115,0))*INDEX(EF!$H$132:$H$147,MATCH(Emissions!$D73,EF!$D$132:$D$147,0))*kgtoGg</f>
        <v>0.17054777080440431</v>
      </c>
      <c r="BD73" s="22">
        <f>INDEX('Activity data'!BD$24:BD$39,MATCH(Emissions!$D73,'Activity data'!$D$24:$D$39,0))*INDEX(EF!$H$84:$H$99,MATCH(Emissions!$D73,EF!$D$84:$D$99,0))*INDEX(EF!$H$100:$H$115,MATCH(Emissions!$D73,EF!$D$100:$D$115,0))*INDEX(EF!$H$132:$H$147,MATCH(Emissions!$D73,EF!$D$132:$D$147,0))*kgtoGg</f>
        <v>0.16977034250207182</v>
      </c>
      <c r="BE73" s="22">
        <f>INDEX('Activity data'!BE$24:BE$39,MATCH(Emissions!$D73,'Activity data'!$D$24:$D$39,0))*INDEX(EF!$H$84:$H$99,MATCH(Emissions!$D73,EF!$D$84:$D$99,0))*INDEX(EF!$H$100:$H$115,MATCH(Emissions!$D73,EF!$D$100:$D$115,0))*INDEX(EF!$H$132:$H$147,MATCH(Emissions!$D73,EF!$D$132:$D$147,0))*kgtoGg</f>
        <v>0.16876479548468409</v>
      </c>
      <c r="BF73" s="22">
        <f>INDEX('Activity data'!BF$24:BF$39,MATCH(Emissions!$D73,'Activity data'!$D$24:$D$39,0))*INDEX(EF!$H$84:$H$99,MATCH(Emissions!$D73,EF!$D$84:$D$99,0))*INDEX(EF!$H$100:$H$115,MATCH(Emissions!$D73,EF!$D$100:$D$115,0))*INDEX(EF!$H$132:$H$147,MATCH(Emissions!$D73,EF!$D$132:$D$147,0))*kgtoGg</f>
        <v>0.16775924846729631</v>
      </c>
      <c r="BG73" s="22">
        <f>INDEX('Activity data'!BG$24:BG$39,MATCH(Emissions!$D73,'Activity data'!$D$24:$D$39,0))*INDEX(EF!$H$84:$H$99,MATCH(Emissions!$D73,EF!$D$84:$D$99,0))*INDEX(EF!$H$100:$H$115,MATCH(Emissions!$D73,EF!$D$100:$D$115,0))*INDEX(EF!$H$132:$H$147,MATCH(Emissions!$D73,EF!$D$132:$D$147,0))*kgtoGg</f>
        <v>0.16675370144990859</v>
      </c>
      <c r="BH73" s="22">
        <f>INDEX('Activity data'!BH$24:BH$39,MATCH(Emissions!$D73,'Activity data'!$D$24:$D$39,0))*INDEX(EF!$H$84:$H$99,MATCH(Emissions!$D73,EF!$D$84:$D$99,0))*INDEX(EF!$H$100:$H$115,MATCH(Emissions!$D73,EF!$D$100:$D$115,0))*INDEX(EF!$H$132:$H$147,MATCH(Emissions!$D73,EF!$D$132:$D$147,0))*kgtoGg</f>
        <v>0.16574815443252092</v>
      </c>
      <c r="BI73" s="22">
        <f>INDEX('Activity data'!BI$24:BI$39,MATCH(Emissions!$D73,'Activity data'!$D$24:$D$39,0))*INDEX(EF!$H$84:$H$99,MATCH(Emissions!$D73,EF!$D$84:$D$99,0))*INDEX(EF!$H$100:$H$115,MATCH(Emissions!$D73,EF!$D$100:$D$115,0))*INDEX(EF!$H$132:$H$147,MATCH(Emissions!$D73,EF!$D$132:$D$147,0))*kgtoGg</f>
        <v>0.16474260741513314</v>
      </c>
      <c r="BJ73" s="22">
        <f>INDEX('Activity data'!BJ$24:BJ$39,MATCH(Emissions!$D73,'Activity data'!$D$24:$D$39,0))*INDEX(EF!$H$84:$H$99,MATCH(Emissions!$D73,EF!$D$84:$D$99,0))*INDEX(EF!$H$100:$H$115,MATCH(Emissions!$D73,EF!$D$100:$D$115,0))*INDEX(EF!$H$132:$H$147,MATCH(Emissions!$D73,EF!$D$132:$D$147,0))*kgtoGg</f>
        <v>0.16373706039774541</v>
      </c>
      <c r="BK73" s="22">
        <f>INDEX('Activity data'!BK$24:BK$39,MATCH(Emissions!$D73,'Activity data'!$D$24:$D$39,0))*INDEX(EF!$H$84:$H$99,MATCH(Emissions!$D73,EF!$D$84:$D$99,0))*INDEX(EF!$H$100:$H$115,MATCH(Emissions!$D73,EF!$D$100:$D$115,0))*INDEX(EF!$H$132:$H$147,MATCH(Emissions!$D73,EF!$D$132:$D$147,0))*kgtoGg</f>
        <v>0.16273151338035768</v>
      </c>
      <c r="BL73" s="22">
        <f>INDEX('Activity data'!BL$24:BL$39,MATCH(Emissions!$D73,'Activity data'!$D$24:$D$39,0))*INDEX(EF!$H$84:$H$99,MATCH(Emissions!$D73,EF!$D$84:$D$99,0))*INDEX(EF!$H$100:$H$115,MATCH(Emissions!$D73,EF!$D$100:$D$115,0))*INDEX(EF!$H$132:$H$147,MATCH(Emissions!$D73,EF!$D$132:$D$147,0))*kgtoGg</f>
        <v>0.16172596636296993</v>
      </c>
      <c r="BM73" s="22">
        <f>INDEX('Activity data'!BM$24:BM$39,MATCH(Emissions!$D73,'Activity data'!$D$24:$D$39,0))*INDEX(EF!$H$84:$H$99,MATCH(Emissions!$D73,EF!$D$84:$D$99,0))*INDEX(EF!$H$100:$H$115,MATCH(Emissions!$D73,EF!$D$100:$D$115,0))*INDEX(EF!$H$132:$H$147,MATCH(Emissions!$D73,EF!$D$132:$D$147,0))*kgtoGg</f>
        <v>0.16072041934558223</v>
      </c>
      <c r="BN73" s="22">
        <f>INDEX('Activity data'!BN$24:BN$39,MATCH(Emissions!$D73,'Activity data'!$D$24:$D$39,0))*INDEX(EF!$H$84:$H$99,MATCH(Emissions!$D73,EF!$D$84:$D$99,0))*INDEX(EF!$H$100:$H$115,MATCH(Emissions!$D73,EF!$D$100:$D$115,0))*INDEX(EF!$H$132:$H$147,MATCH(Emissions!$D73,EF!$D$132:$D$147,0))*kgtoGg</f>
        <v>0.15971487232819448</v>
      </c>
      <c r="BO73" s="22">
        <f>INDEX('Activity data'!BO$24:BO$39,MATCH(Emissions!$D73,'Activity data'!$D$24:$D$39,0))*INDEX(EF!$H$84:$H$99,MATCH(Emissions!$D73,EF!$D$84:$D$99,0))*INDEX(EF!$H$100:$H$115,MATCH(Emissions!$D73,EF!$D$100:$D$115,0))*INDEX(EF!$H$132:$H$147,MATCH(Emissions!$D73,EF!$D$132:$D$147,0))*kgtoGg</f>
        <v>0.15870932531080675</v>
      </c>
      <c r="BP73" s="22">
        <f>INDEX('Activity data'!BP$24:BP$39,MATCH(Emissions!$D73,'Activity data'!$D$24:$D$39,0))*INDEX(EF!$H$84:$H$99,MATCH(Emissions!$D73,EF!$D$84:$D$99,0))*INDEX(EF!$H$100:$H$115,MATCH(Emissions!$D73,EF!$D$100:$D$115,0))*INDEX(EF!$H$132:$H$147,MATCH(Emissions!$D73,EF!$D$132:$D$147,0))*kgtoGg</f>
        <v>0.15770377829341903</v>
      </c>
    </row>
    <row r="74" spans="1:68" x14ac:dyDescent="0.25">
      <c r="A74" t="str">
        <f t="shared" si="19"/>
        <v>3C Aggregated and non-CO2 emissions on land</v>
      </c>
      <c r="B74" t="str">
        <f t="shared" si="26"/>
        <v>3C1 Biomass burning (N2O)</v>
      </c>
      <c r="C74" t="str">
        <f t="shared" si="25"/>
        <v>3C1b Biomass burning in Croplands</v>
      </c>
      <c r="D74" t="str">
        <f>EF!D104</f>
        <v>Annual non-pivot</v>
      </c>
      <c r="E74" t="s">
        <v>651</v>
      </c>
      <c r="F74" t="str">
        <f t="shared" si="27"/>
        <v>N2O</v>
      </c>
      <c r="G74" t="str">
        <f t="shared" si="28"/>
        <v>Gg N2O</v>
      </c>
      <c r="H74" s="22">
        <f>INDEX('Activity data'!H$24:H$39,MATCH(Emissions!$D74,'Activity data'!$D$24:$D$39,0))*INDEX(EF!$H$84:$H$99,MATCH(Emissions!$D74,EF!$D$84:$D$99,0))*INDEX(EF!$H$100:$H$115,MATCH(Emissions!$D74,EF!$D$100:$D$115,0))*INDEX(EF!$H$132:$H$147,MATCH(Emissions!$D74,EF!$D$132:$D$147,0))*kgtoGg</f>
        <v>1.4723084100591942E-2</v>
      </c>
      <c r="I74" s="22">
        <f>INDEX('Activity data'!I$24:I$39,MATCH(Emissions!$D74,'Activity data'!$D$24:$D$39,0))*INDEX(EF!$H$84:$H$99,MATCH(Emissions!$D74,EF!$D$84:$D$99,0))*INDEX(EF!$H$100:$H$115,MATCH(Emissions!$D74,EF!$D$100:$D$115,0))*INDEX(EF!$H$132:$H$147,MATCH(Emissions!$D74,EF!$D$132:$D$147,0))*kgtoGg</f>
        <v>1.4723084100591942E-2</v>
      </c>
      <c r="J74" s="22">
        <f>INDEX('Activity data'!J$24:J$39,MATCH(Emissions!$D74,'Activity data'!$D$24:$D$39,0))*INDEX(EF!$H$84:$H$99,MATCH(Emissions!$D74,EF!$D$84:$D$99,0))*INDEX(EF!$H$100:$H$115,MATCH(Emissions!$D74,EF!$D$100:$D$115,0))*INDEX(EF!$H$132:$H$147,MATCH(Emissions!$D74,EF!$D$132:$D$147,0))*kgtoGg</f>
        <v>1.4723084100591942E-2</v>
      </c>
      <c r="K74" s="22">
        <f>INDEX('Activity data'!K$24:K$39,MATCH(Emissions!$D74,'Activity data'!$D$24:$D$39,0))*INDEX(EF!$H$84:$H$99,MATCH(Emissions!$D74,EF!$D$84:$D$99,0))*INDEX(EF!$H$100:$H$115,MATCH(Emissions!$D74,EF!$D$100:$D$115,0))*INDEX(EF!$H$132:$H$147,MATCH(Emissions!$D74,EF!$D$132:$D$147,0))*kgtoGg</f>
        <v>1.4723084100591942E-2</v>
      </c>
      <c r="L74" s="22">
        <f>INDEX('Activity data'!L$24:L$39,MATCH(Emissions!$D74,'Activity data'!$D$24:$D$39,0))*INDEX(EF!$H$84:$H$99,MATCH(Emissions!$D74,EF!$D$84:$D$99,0))*INDEX(EF!$H$100:$H$115,MATCH(Emissions!$D74,EF!$D$100:$D$115,0))*INDEX(EF!$H$132:$H$147,MATCH(Emissions!$D74,EF!$D$132:$D$147,0))*kgtoGg</f>
        <v>1.4723084100591942E-2</v>
      </c>
      <c r="M74" s="22">
        <f>INDEX('Activity data'!M$24:M$39,MATCH(Emissions!$D74,'Activity data'!$D$24:$D$39,0))*INDEX(EF!$H$84:$H$99,MATCH(Emissions!$D74,EF!$D$84:$D$99,0))*INDEX(EF!$H$100:$H$115,MATCH(Emissions!$D74,EF!$D$100:$D$115,0))*INDEX(EF!$H$132:$H$147,MATCH(Emissions!$D74,EF!$D$132:$D$147,0))*kgtoGg</f>
        <v>1.4723084100591942E-2</v>
      </c>
      <c r="N74" s="22">
        <f>INDEX('Activity data'!N$24:N$39,MATCH(Emissions!$D74,'Activity data'!$D$24:$D$39,0))*INDEX(EF!$H$84:$H$99,MATCH(Emissions!$D74,EF!$D$84:$D$99,0))*INDEX(EF!$H$100:$H$115,MATCH(Emissions!$D74,EF!$D$100:$D$115,0))*INDEX(EF!$H$132:$H$147,MATCH(Emissions!$D74,EF!$D$132:$D$147,0))*kgtoGg</f>
        <v>1.4723084100591942E-2</v>
      </c>
      <c r="O74" s="22">
        <f>INDEX('Activity data'!O$24:O$39,MATCH(Emissions!$D74,'Activity data'!$D$24:$D$39,0))*INDEX(EF!$H$84:$H$99,MATCH(Emissions!$D74,EF!$D$84:$D$99,0))*INDEX(EF!$H$100:$H$115,MATCH(Emissions!$D74,EF!$D$100:$D$115,0))*INDEX(EF!$H$132:$H$147,MATCH(Emissions!$D74,EF!$D$132:$D$147,0))*kgtoGg</f>
        <v>1.4723084100591942E-2</v>
      </c>
      <c r="P74" s="22">
        <f>INDEX('Activity data'!P$24:P$39,MATCH(Emissions!$D74,'Activity data'!$D$24:$D$39,0))*INDEX(EF!$H$84:$H$99,MATCH(Emissions!$D74,EF!$D$84:$D$99,0))*INDEX(EF!$H$100:$H$115,MATCH(Emissions!$D74,EF!$D$100:$D$115,0))*INDEX(EF!$H$132:$H$147,MATCH(Emissions!$D74,EF!$D$132:$D$147,0))*kgtoGg</f>
        <v>1.4723084100591942E-2</v>
      </c>
      <c r="Q74" s="22">
        <f>INDEX('Activity data'!Q$24:Q$39,MATCH(Emissions!$D74,'Activity data'!$D$24:$D$39,0))*INDEX(EF!$H$84:$H$99,MATCH(Emissions!$D74,EF!$D$84:$D$99,0))*INDEX(EF!$H$100:$H$115,MATCH(Emissions!$D74,EF!$D$100:$D$115,0))*INDEX(EF!$H$132:$H$147,MATCH(Emissions!$D74,EF!$D$132:$D$147,0))*kgtoGg</f>
        <v>1.4723084100591942E-2</v>
      </c>
      <c r="R74" s="22">
        <f>INDEX('Activity data'!R$24:R$39,MATCH(Emissions!$D74,'Activity data'!$D$24:$D$39,0))*INDEX(EF!$H$84:$H$99,MATCH(Emissions!$D74,EF!$D$84:$D$99,0))*INDEX(EF!$H$100:$H$115,MATCH(Emissions!$D74,EF!$D$100:$D$115,0))*INDEX(EF!$H$132:$H$147,MATCH(Emissions!$D74,EF!$D$132:$D$147,0))*kgtoGg</f>
        <v>1.496956177943767E-2</v>
      </c>
      <c r="S74" s="22">
        <f>INDEX('Activity data'!S$24:S$39,MATCH(Emissions!$D74,'Activity data'!$D$24:$D$39,0))*INDEX(EF!$H$84:$H$99,MATCH(Emissions!$D74,EF!$D$84:$D$99,0))*INDEX(EF!$H$100:$H$115,MATCH(Emissions!$D74,EF!$D$100:$D$115,0))*INDEX(EF!$H$132:$H$147,MATCH(Emissions!$D74,EF!$D$132:$D$147,0))*kgtoGg</f>
        <v>1.1679423956313528E-2</v>
      </c>
      <c r="T74" s="22">
        <f>INDEX('Activity data'!T$24:T$39,MATCH(Emissions!$D74,'Activity data'!$D$24:$D$39,0))*INDEX(EF!$H$84:$H$99,MATCH(Emissions!$D74,EF!$D$84:$D$99,0))*INDEX(EF!$H$100:$H$115,MATCH(Emissions!$D74,EF!$D$100:$D$115,0))*INDEX(EF!$H$132:$H$147,MATCH(Emissions!$D74,EF!$D$132:$D$147,0))*kgtoGg</f>
        <v>1.5184381774761928E-2</v>
      </c>
      <c r="U74" s="22">
        <f>INDEX('Activity data'!U$24:U$39,MATCH(Emissions!$D74,'Activity data'!$D$24:$D$39,0))*INDEX(EF!$H$84:$H$99,MATCH(Emissions!$D74,EF!$D$84:$D$99,0))*INDEX(EF!$H$100:$H$115,MATCH(Emissions!$D74,EF!$D$100:$D$115,0))*INDEX(EF!$H$132:$H$147,MATCH(Emissions!$D74,EF!$D$132:$D$147,0))*kgtoGg</f>
        <v>1.4065056535967114E-2</v>
      </c>
      <c r="V74" s="22">
        <f>INDEX('Activity data'!V$24:V$39,MATCH(Emissions!$D74,'Activity data'!$D$24:$D$39,0))*INDEX(EF!$H$84:$H$99,MATCH(Emissions!$D74,EF!$D$84:$D$99,0))*INDEX(EF!$H$100:$H$115,MATCH(Emissions!$D74,EF!$D$100:$D$115,0))*INDEX(EF!$H$132:$H$147,MATCH(Emissions!$D74,EF!$D$132:$D$147,0))*kgtoGg</f>
        <v>1.7716996456479478E-2</v>
      </c>
      <c r="W74" s="22">
        <f>INDEX('Activity data'!W$24:W$39,MATCH(Emissions!$D74,'Activity data'!$D$24:$D$39,0))*INDEX(EF!$H$84:$H$99,MATCH(Emissions!$D74,EF!$D$84:$D$99,0))*INDEX(EF!$H$100:$H$115,MATCH(Emissions!$D74,EF!$D$100:$D$115,0))*INDEX(EF!$H$132:$H$147,MATCH(Emissions!$D74,EF!$D$132:$D$147,0))*kgtoGg</f>
        <v>1.9458169050160297E-2</v>
      </c>
      <c r="X74" s="22">
        <f>INDEX('Activity data'!X$24:X$39,MATCH(Emissions!$D74,'Activity data'!$D$24:$D$39,0))*INDEX(EF!$H$84:$H$99,MATCH(Emissions!$D74,EF!$D$84:$D$99,0))*INDEX(EF!$H$100:$H$115,MATCH(Emissions!$D74,EF!$D$100:$D$115,0))*INDEX(EF!$H$132:$H$147,MATCH(Emissions!$D74,EF!$D$132:$D$147,0))*kgtoGg</f>
        <v>1.4585147050962685E-2</v>
      </c>
      <c r="Y74" s="22">
        <f>INDEX('Activity data'!Y$24:Y$39,MATCH(Emissions!$D74,'Activity data'!$D$24:$D$39,0))*INDEX(EF!$H$84:$H$99,MATCH(Emissions!$D74,EF!$D$84:$D$99,0))*INDEX(EF!$H$100:$H$115,MATCH(Emissions!$D74,EF!$D$100:$D$115,0))*INDEX(EF!$H$132:$H$147,MATCH(Emissions!$D74,EF!$D$132:$D$147,0))*kgtoGg</f>
        <v>1.4630372313136211E-2</v>
      </c>
      <c r="Z74" s="22">
        <f>INDEX('Activity data'!Z$24:Z$39,MATCH(Emissions!$D74,'Activity data'!$D$24:$D$39,0))*INDEX(EF!$H$84:$H$99,MATCH(Emissions!$D74,EF!$D$84:$D$99,0))*INDEX(EF!$H$100:$H$115,MATCH(Emissions!$D74,EF!$D$100:$D$115,0))*INDEX(EF!$H$132:$H$147,MATCH(Emissions!$D74,EF!$D$132:$D$147,0))*kgtoGg</f>
        <v>1.0333972406651079E-2</v>
      </c>
      <c r="AA74" s="22">
        <f>INDEX('Activity data'!AA$24:AA$39,MATCH(Emissions!$D74,'Activity data'!$D$24:$D$39,0))*INDEX(EF!$H$84:$H$99,MATCH(Emissions!$D74,EF!$D$84:$D$99,0))*INDEX(EF!$H$100:$H$115,MATCH(Emissions!$D74,EF!$D$100:$D$115,0))*INDEX(EF!$H$132:$H$147,MATCH(Emissions!$D74,EF!$D$132:$D$147,0))*kgtoGg</f>
        <v>1.0729693450669446E-2</v>
      </c>
      <c r="AB74" s="22">
        <f>INDEX('Activity data'!AB$24:AB$39,MATCH(Emissions!$D74,'Activity data'!$D$24:$D$39,0))*INDEX(EF!$H$84:$H$99,MATCH(Emissions!$D74,EF!$D$84:$D$99,0))*INDEX(EF!$H$100:$H$115,MATCH(Emissions!$D74,EF!$D$100:$D$115,0))*INDEX(EF!$H$132:$H$147,MATCH(Emissions!$D74,EF!$D$132:$D$147,0))*kgtoGg</f>
        <v>1.5161139000000001E-2</v>
      </c>
      <c r="AC74" s="22">
        <f>INDEX('Activity data'!AC$24:AC$39,MATCH(Emissions!$D74,'Activity data'!$D$24:$D$39,0))*INDEX(EF!$H$84:$H$99,MATCH(Emissions!$D74,EF!$D$84:$D$99,0))*INDEX(EF!$H$100:$H$115,MATCH(Emissions!$D74,EF!$D$100:$D$115,0))*INDEX(EF!$H$132:$H$147,MATCH(Emissions!$D74,EF!$D$132:$D$147,0))*kgtoGg</f>
        <v>1.5150334500000001E-2</v>
      </c>
      <c r="AD74" s="22">
        <f>INDEX('Activity data'!AD$24:AD$39,MATCH(Emissions!$D74,'Activity data'!$D$24:$D$39,0))*INDEX(EF!$H$84:$H$99,MATCH(Emissions!$D74,EF!$D$84:$D$99,0))*INDEX(EF!$H$100:$H$115,MATCH(Emissions!$D74,EF!$D$100:$D$115,0))*INDEX(EF!$H$132:$H$147,MATCH(Emissions!$D74,EF!$D$132:$D$147,0))*kgtoGg</f>
        <v>0.16151123227013586</v>
      </c>
      <c r="AE74" s="22">
        <f>INDEX('Activity data'!AE$24:AE$39,MATCH(Emissions!$D74,'Activity data'!$D$24:$D$39,0))*INDEX(EF!$H$84:$H$99,MATCH(Emissions!$D74,EF!$D$84:$D$99,0))*INDEX(EF!$H$100:$H$115,MATCH(Emissions!$D74,EF!$D$100:$D$115,0))*INDEX(EF!$H$132:$H$147,MATCH(Emissions!$D74,EF!$D$132:$D$147,0))*kgtoGg</f>
        <v>0.16106846886532766</v>
      </c>
      <c r="AF74" s="22">
        <f>INDEX('Activity data'!AF$24:AF$39,MATCH(Emissions!$D74,'Activity data'!$D$24:$D$39,0))*INDEX(EF!$H$84:$H$99,MATCH(Emissions!$D74,EF!$D$84:$D$99,0))*INDEX(EF!$H$100:$H$115,MATCH(Emissions!$D74,EF!$D$100:$D$115,0))*INDEX(EF!$H$132:$H$147,MATCH(Emissions!$D74,EF!$D$132:$D$147,0))*kgtoGg</f>
        <v>0.16062570546051952</v>
      </c>
      <c r="AG74" s="22">
        <f>INDEX('Activity data'!AG$24:AG$39,MATCH(Emissions!$D74,'Activity data'!$D$24:$D$39,0))*INDEX(EF!$H$84:$H$99,MATCH(Emissions!$D74,EF!$D$84:$D$99,0))*INDEX(EF!$H$100:$H$115,MATCH(Emissions!$D74,EF!$D$100:$D$115,0))*INDEX(EF!$H$132:$H$147,MATCH(Emissions!$D74,EF!$D$132:$D$147,0))*kgtoGg</f>
        <v>0.16018294205571132</v>
      </c>
      <c r="AH74" s="22">
        <f>INDEX('Activity data'!AH$24:AH$39,MATCH(Emissions!$D74,'Activity data'!$D$24:$D$39,0))*INDEX(EF!$H$84:$H$99,MATCH(Emissions!$D74,EF!$D$84:$D$99,0))*INDEX(EF!$H$100:$H$115,MATCH(Emissions!$D74,EF!$D$100:$D$115,0))*INDEX(EF!$H$132:$H$147,MATCH(Emissions!$D74,EF!$D$132:$D$147,0))*kgtoGg</f>
        <v>0.15974017865090312</v>
      </c>
      <c r="AI74" s="22">
        <f>INDEX('Activity data'!AI$24:AI$39,MATCH(Emissions!$D74,'Activity data'!$D$24:$D$39,0))*INDEX(EF!$H$84:$H$99,MATCH(Emissions!$D74,EF!$D$84:$D$99,0))*INDEX(EF!$H$100:$H$115,MATCH(Emissions!$D74,EF!$D$100:$D$115,0))*INDEX(EF!$H$132:$H$147,MATCH(Emissions!$D74,EF!$D$132:$D$147,0))*kgtoGg</f>
        <v>0.15929741524609498</v>
      </c>
      <c r="AJ74" s="22">
        <f>INDEX('Activity data'!AJ$24:AJ$39,MATCH(Emissions!$D74,'Activity data'!$D$24:$D$39,0))*INDEX(EF!$H$84:$H$99,MATCH(Emissions!$D74,EF!$D$84:$D$99,0))*INDEX(EF!$H$100:$H$115,MATCH(Emissions!$D74,EF!$D$100:$D$115,0))*INDEX(EF!$H$132:$H$147,MATCH(Emissions!$D74,EF!$D$132:$D$147,0))*kgtoGg</f>
        <v>0.15885465184128675</v>
      </c>
      <c r="AK74" s="22">
        <f>INDEX('Activity data'!AK$24:AK$39,MATCH(Emissions!$D74,'Activity data'!$D$24:$D$39,0))*INDEX(EF!$H$84:$H$99,MATCH(Emissions!$D74,EF!$D$84:$D$99,0))*INDEX(EF!$H$100:$H$115,MATCH(Emissions!$D74,EF!$D$100:$D$115,0))*INDEX(EF!$H$132:$H$147,MATCH(Emissions!$D74,EF!$D$132:$D$147,0))*kgtoGg</f>
        <v>0.1586175528654323</v>
      </c>
      <c r="AL74" s="22">
        <f>INDEX('Activity data'!AL$24:AL$39,MATCH(Emissions!$D74,'Activity data'!$D$24:$D$39,0))*INDEX(EF!$H$84:$H$99,MATCH(Emissions!$D74,EF!$D$84:$D$99,0))*INDEX(EF!$H$100:$H$115,MATCH(Emissions!$D74,EF!$D$100:$D$115,0))*INDEX(EF!$H$132:$H$147,MATCH(Emissions!$D74,EF!$D$132:$D$147,0))*kgtoGg</f>
        <v>0.15838045388957778</v>
      </c>
      <c r="AM74" s="22">
        <f>INDEX('Activity data'!AM$24:AM$39,MATCH(Emissions!$D74,'Activity data'!$D$24:$D$39,0))*INDEX(EF!$H$84:$H$99,MATCH(Emissions!$D74,EF!$D$84:$D$99,0))*INDEX(EF!$H$100:$H$115,MATCH(Emissions!$D74,EF!$D$100:$D$115,0))*INDEX(EF!$H$132:$H$147,MATCH(Emissions!$D74,EF!$D$132:$D$147,0))*kgtoGg</f>
        <v>0.15814335491372333</v>
      </c>
      <c r="AN74" s="22">
        <f>INDEX('Activity data'!AN$24:AN$39,MATCH(Emissions!$D74,'Activity data'!$D$24:$D$39,0))*INDEX(EF!$H$84:$H$99,MATCH(Emissions!$D74,EF!$D$84:$D$99,0))*INDEX(EF!$H$100:$H$115,MATCH(Emissions!$D74,EF!$D$100:$D$115,0))*INDEX(EF!$H$132:$H$147,MATCH(Emissions!$D74,EF!$D$132:$D$147,0))*kgtoGg</f>
        <v>0.15790625593786883</v>
      </c>
      <c r="AO74" s="22">
        <f>INDEX('Activity data'!AO$24:AO$39,MATCH(Emissions!$D74,'Activity data'!$D$24:$D$39,0))*INDEX(EF!$H$84:$H$99,MATCH(Emissions!$D74,EF!$D$84:$D$99,0))*INDEX(EF!$H$100:$H$115,MATCH(Emissions!$D74,EF!$D$100:$D$115,0))*INDEX(EF!$H$132:$H$147,MATCH(Emissions!$D74,EF!$D$132:$D$147,0))*kgtoGg</f>
        <v>0.15766915696201436</v>
      </c>
      <c r="AP74" s="22">
        <f>INDEX('Activity data'!AP$24:AP$39,MATCH(Emissions!$D74,'Activity data'!$D$24:$D$39,0))*INDEX(EF!$H$84:$H$99,MATCH(Emissions!$D74,EF!$D$84:$D$99,0))*INDEX(EF!$H$100:$H$115,MATCH(Emissions!$D74,EF!$D$100:$D$115,0))*INDEX(EF!$H$132:$H$147,MATCH(Emissions!$D74,EF!$D$132:$D$147,0))*kgtoGg</f>
        <v>0.15743205798615983</v>
      </c>
      <c r="AQ74" s="22">
        <f>INDEX('Activity data'!AQ$24:AQ$39,MATCH(Emissions!$D74,'Activity data'!$D$24:$D$39,0))*INDEX(EF!$H$84:$H$99,MATCH(Emissions!$D74,EF!$D$84:$D$99,0))*INDEX(EF!$H$100:$H$115,MATCH(Emissions!$D74,EF!$D$100:$D$115,0))*INDEX(EF!$H$132:$H$147,MATCH(Emissions!$D74,EF!$D$132:$D$147,0))*kgtoGg</f>
        <v>0.15719495901030536</v>
      </c>
      <c r="AR74" s="22">
        <f>INDEX('Activity data'!AR$24:AR$39,MATCH(Emissions!$D74,'Activity data'!$D$24:$D$39,0))*INDEX(EF!$H$84:$H$99,MATCH(Emissions!$D74,EF!$D$84:$D$99,0))*INDEX(EF!$H$100:$H$115,MATCH(Emissions!$D74,EF!$D$100:$D$115,0))*INDEX(EF!$H$132:$H$147,MATCH(Emissions!$D74,EF!$D$132:$D$147,0))*kgtoGg</f>
        <v>0.15695786003445089</v>
      </c>
      <c r="AS74" s="22">
        <f>INDEX('Activity data'!AS$24:AS$39,MATCH(Emissions!$D74,'Activity data'!$D$24:$D$39,0))*INDEX(EF!$H$84:$H$99,MATCH(Emissions!$D74,EF!$D$84:$D$99,0))*INDEX(EF!$H$100:$H$115,MATCH(Emissions!$D74,EF!$D$100:$D$115,0))*INDEX(EF!$H$132:$H$147,MATCH(Emissions!$D74,EF!$D$132:$D$147,0))*kgtoGg</f>
        <v>0.15672076105859642</v>
      </c>
      <c r="AT74" s="22">
        <f>INDEX('Activity data'!AT$24:AT$39,MATCH(Emissions!$D74,'Activity data'!$D$24:$D$39,0))*INDEX(EF!$H$84:$H$99,MATCH(Emissions!$D74,EF!$D$84:$D$99,0))*INDEX(EF!$H$100:$H$115,MATCH(Emissions!$D74,EF!$D$100:$D$115,0))*INDEX(EF!$H$132:$H$147,MATCH(Emissions!$D74,EF!$D$132:$D$147,0))*kgtoGg</f>
        <v>0.15648366208274192</v>
      </c>
      <c r="AU74" s="22">
        <f>INDEX('Activity data'!AU$24:AU$39,MATCH(Emissions!$D74,'Activity data'!$D$24:$D$39,0))*INDEX(EF!$H$84:$H$99,MATCH(Emissions!$D74,EF!$D$84:$D$99,0))*INDEX(EF!$H$100:$H$115,MATCH(Emissions!$D74,EF!$D$100:$D$115,0))*INDEX(EF!$H$132:$H$147,MATCH(Emissions!$D74,EF!$D$132:$D$147,0))*kgtoGg</f>
        <v>0.15624656310688745</v>
      </c>
      <c r="AV74" s="22">
        <f>INDEX('Activity data'!AV$24:AV$39,MATCH(Emissions!$D74,'Activity data'!$D$24:$D$39,0))*INDEX(EF!$H$84:$H$99,MATCH(Emissions!$D74,EF!$D$84:$D$99,0))*INDEX(EF!$H$100:$H$115,MATCH(Emissions!$D74,EF!$D$100:$D$115,0))*INDEX(EF!$H$132:$H$147,MATCH(Emissions!$D74,EF!$D$132:$D$147,0))*kgtoGg</f>
        <v>0.15600946413103295</v>
      </c>
      <c r="AW74" s="22">
        <f>INDEX('Activity data'!AW$24:AW$39,MATCH(Emissions!$D74,'Activity data'!$D$24:$D$39,0))*INDEX(EF!$H$84:$H$99,MATCH(Emissions!$D74,EF!$D$84:$D$99,0))*INDEX(EF!$H$100:$H$115,MATCH(Emissions!$D74,EF!$D$100:$D$115,0))*INDEX(EF!$H$132:$H$147,MATCH(Emissions!$D74,EF!$D$132:$D$147,0))*kgtoGg</f>
        <v>0.15577236515517848</v>
      </c>
      <c r="AX74" s="22">
        <f>INDEX('Activity data'!AX$24:AX$39,MATCH(Emissions!$D74,'Activity data'!$D$24:$D$39,0))*INDEX(EF!$H$84:$H$99,MATCH(Emissions!$D74,EF!$D$84:$D$99,0))*INDEX(EF!$H$100:$H$115,MATCH(Emissions!$D74,EF!$D$100:$D$115,0))*INDEX(EF!$H$132:$H$147,MATCH(Emissions!$D74,EF!$D$132:$D$147,0))*kgtoGg</f>
        <v>0.15553526617932401</v>
      </c>
      <c r="AY74" s="22">
        <f>INDEX('Activity data'!AY$24:AY$39,MATCH(Emissions!$D74,'Activity data'!$D$24:$D$39,0))*INDEX(EF!$H$84:$H$99,MATCH(Emissions!$D74,EF!$D$84:$D$99,0))*INDEX(EF!$H$100:$H$115,MATCH(Emissions!$D74,EF!$D$100:$D$115,0))*INDEX(EF!$H$132:$H$147,MATCH(Emissions!$D74,EF!$D$132:$D$147,0))*kgtoGg</f>
        <v>0.15529816720346951</v>
      </c>
      <c r="AZ74" s="22">
        <f>INDEX('Activity data'!AZ$24:AZ$39,MATCH(Emissions!$D74,'Activity data'!$D$24:$D$39,0))*INDEX(EF!$H$84:$H$99,MATCH(Emissions!$D74,EF!$D$84:$D$99,0))*INDEX(EF!$H$100:$H$115,MATCH(Emissions!$D74,EF!$D$100:$D$115,0))*INDEX(EF!$H$132:$H$147,MATCH(Emissions!$D74,EF!$D$132:$D$147,0))*kgtoGg</f>
        <v>0.15506106822761503</v>
      </c>
      <c r="BA74" s="22">
        <f>INDEX('Activity data'!BA$24:BA$39,MATCH(Emissions!$D74,'Activity data'!$D$24:$D$39,0))*INDEX(EF!$H$84:$H$99,MATCH(Emissions!$D74,EF!$D$84:$D$99,0))*INDEX(EF!$H$100:$H$115,MATCH(Emissions!$D74,EF!$D$100:$D$115,0))*INDEX(EF!$H$132:$H$147,MATCH(Emissions!$D74,EF!$D$132:$D$147,0))*kgtoGg</f>
        <v>0.15482396925176051</v>
      </c>
      <c r="BB74" s="22">
        <f>INDEX('Activity data'!BB$24:BB$39,MATCH(Emissions!$D74,'Activity data'!$D$24:$D$39,0))*INDEX(EF!$H$84:$H$99,MATCH(Emissions!$D74,EF!$D$84:$D$99,0))*INDEX(EF!$H$100:$H$115,MATCH(Emissions!$D74,EF!$D$100:$D$115,0))*INDEX(EF!$H$132:$H$147,MATCH(Emissions!$D74,EF!$D$132:$D$147,0))*kgtoGg</f>
        <v>0.15458687027590604</v>
      </c>
      <c r="BC74" s="22">
        <f>INDEX('Activity data'!BC$24:BC$39,MATCH(Emissions!$D74,'Activity data'!$D$24:$D$39,0))*INDEX(EF!$H$84:$H$99,MATCH(Emissions!$D74,EF!$D$84:$D$99,0))*INDEX(EF!$H$100:$H$115,MATCH(Emissions!$D74,EF!$D$100:$D$115,0))*INDEX(EF!$H$132:$H$147,MATCH(Emissions!$D74,EF!$D$132:$D$147,0))*kgtoGg</f>
        <v>0.15434977130005156</v>
      </c>
      <c r="BD74" s="22">
        <f>INDEX('Activity data'!BD$24:BD$39,MATCH(Emissions!$D74,'Activity data'!$D$24:$D$39,0))*INDEX(EF!$H$84:$H$99,MATCH(Emissions!$D74,EF!$D$84:$D$99,0))*INDEX(EF!$H$100:$H$115,MATCH(Emissions!$D74,EF!$D$100:$D$115,0))*INDEX(EF!$H$132:$H$147,MATCH(Emissions!$D74,EF!$D$132:$D$147,0))*kgtoGg</f>
        <v>0.15411267232419706</v>
      </c>
      <c r="BE74" s="22">
        <f>INDEX('Activity data'!BE$24:BE$39,MATCH(Emissions!$D74,'Activity data'!$D$24:$D$39,0))*INDEX(EF!$H$84:$H$99,MATCH(Emissions!$D74,EF!$D$84:$D$99,0))*INDEX(EF!$H$100:$H$115,MATCH(Emissions!$D74,EF!$D$100:$D$115,0))*INDEX(EF!$H$132:$H$147,MATCH(Emissions!$D74,EF!$D$132:$D$147,0))*kgtoGg</f>
        <v>0.15387557334834262</v>
      </c>
      <c r="BF74" s="22">
        <f>INDEX('Activity data'!BF$24:BF$39,MATCH(Emissions!$D74,'Activity data'!$D$24:$D$39,0))*INDEX(EF!$H$84:$H$99,MATCH(Emissions!$D74,EF!$D$84:$D$99,0))*INDEX(EF!$H$100:$H$115,MATCH(Emissions!$D74,EF!$D$100:$D$115,0))*INDEX(EF!$H$132:$H$147,MATCH(Emissions!$D74,EF!$D$132:$D$147,0))*kgtoGg</f>
        <v>0.15363847437248812</v>
      </c>
      <c r="BG74" s="22">
        <f>INDEX('Activity data'!BG$24:BG$39,MATCH(Emissions!$D74,'Activity data'!$D$24:$D$39,0))*INDEX(EF!$H$84:$H$99,MATCH(Emissions!$D74,EF!$D$84:$D$99,0))*INDEX(EF!$H$100:$H$115,MATCH(Emissions!$D74,EF!$D$100:$D$115,0))*INDEX(EF!$H$132:$H$147,MATCH(Emissions!$D74,EF!$D$132:$D$147,0))*kgtoGg</f>
        <v>0.15340137539663362</v>
      </c>
      <c r="BH74" s="22">
        <f>INDEX('Activity data'!BH$24:BH$39,MATCH(Emissions!$D74,'Activity data'!$D$24:$D$39,0))*INDEX(EF!$H$84:$H$99,MATCH(Emissions!$D74,EF!$D$84:$D$99,0))*INDEX(EF!$H$100:$H$115,MATCH(Emissions!$D74,EF!$D$100:$D$115,0))*INDEX(EF!$H$132:$H$147,MATCH(Emissions!$D74,EF!$D$132:$D$147,0))*kgtoGg</f>
        <v>0.15316427642077918</v>
      </c>
      <c r="BI74" s="22">
        <f>INDEX('Activity data'!BI$24:BI$39,MATCH(Emissions!$D74,'Activity data'!$D$24:$D$39,0))*INDEX(EF!$H$84:$H$99,MATCH(Emissions!$D74,EF!$D$84:$D$99,0))*INDEX(EF!$H$100:$H$115,MATCH(Emissions!$D74,EF!$D$100:$D$115,0))*INDEX(EF!$H$132:$H$147,MATCH(Emissions!$D74,EF!$D$132:$D$147,0))*kgtoGg</f>
        <v>0.15292717744492468</v>
      </c>
      <c r="BJ74" s="22">
        <f>INDEX('Activity data'!BJ$24:BJ$39,MATCH(Emissions!$D74,'Activity data'!$D$24:$D$39,0))*INDEX(EF!$H$84:$H$99,MATCH(Emissions!$D74,EF!$D$84:$D$99,0))*INDEX(EF!$H$100:$H$115,MATCH(Emissions!$D74,EF!$D$100:$D$115,0))*INDEX(EF!$H$132:$H$147,MATCH(Emissions!$D74,EF!$D$132:$D$147,0))*kgtoGg</f>
        <v>0.15269007846907018</v>
      </c>
      <c r="BK74" s="22">
        <f>INDEX('Activity data'!BK$24:BK$39,MATCH(Emissions!$D74,'Activity data'!$D$24:$D$39,0))*INDEX(EF!$H$84:$H$99,MATCH(Emissions!$D74,EF!$D$84:$D$99,0))*INDEX(EF!$H$100:$H$115,MATCH(Emissions!$D74,EF!$D$100:$D$115,0))*INDEX(EF!$H$132:$H$147,MATCH(Emissions!$D74,EF!$D$132:$D$147,0))*kgtoGg</f>
        <v>0.15245297949321573</v>
      </c>
      <c r="BL74" s="22">
        <f>INDEX('Activity data'!BL$24:BL$39,MATCH(Emissions!$D74,'Activity data'!$D$24:$D$39,0))*INDEX(EF!$H$84:$H$99,MATCH(Emissions!$D74,EF!$D$84:$D$99,0))*INDEX(EF!$H$100:$H$115,MATCH(Emissions!$D74,EF!$D$100:$D$115,0))*INDEX(EF!$H$132:$H$147,MATCH(Emissions!$D74,EF!$D$132:$D$147,0))*kgtoGg</f>
        <v>0.15221588051736124</v>
      </c>
      <c r="BM74" s="22">
        <f>INDEX('Activity data'!BM$24:BM$39,MATCH(Emissions!$D74,'Activity data'!$D$24:$D$39,0))*INDEX(EF!$H$84:$H$99,MATCH(Emissions!$D74,EF!$D$84:$D$99,0))*INDEX(EF!$H$100:$H$115,MATCH(Emissions!$D74,EF!$D$100:$D$115,0))*INDEX(EF!$H$132:$H$147,MATCH(Emissions!$D74,EF!$D$132:$D$147,0))*kgtoGg</f>
        <v>0.15197878154150676</v>
      </c>
      <c r="BN74" s="22">
        <f>INDEX('Activity data'!BN$24:BN$39,MATCH(Emissions!$D74,'Activity data'!$D$24:$D$39,0))*INDEX(EF!$H$84:$H$99,MATCH(Emissions!$D74,EF!$D$84:$D$99,0))*INDEX(EF!$H$100:$H$115,MATCH(Emissions!$D74,EF!$D$100:$D$115,0))*INDEX(EF!$H$132:$H$147,MATCH(Emissions!$D74,EF!$D$132:$D$147,0))*kgtoGg</f>
        <v>0.15174168256565226</v>
      </c>
      <c r="BO74" s="22">
        <f>INDEX('Activity data'!BO$24:BO$39,MATCH(Emissions!$D74,'Activity data'!$D$24:$D$39,0))*INDEX(EF!$H$84:$H$99,MATCH(Emissions!$D74,EF!$D$84:$D$99,0))*INDEX(EF!$H$100:$H$115,MATCH(Emissions!$D74,EF!$D$100:$D$115,0))*INDEX(EF!$H$132:$H$147,MATCH(Emissions!$D74,EF!$D$132:$D$147,0))*kgtoGg</f>
        <v>0.15150458358979779</v>
      </c>
      <c r="BP74" s="22">
        <f>INDEX('Activity data'!BP$24:BP$39,MATCH(Emissions!$D74,'Activity data'!$D$24:$D$39,0))*INDEX(EF!$H$84:$H$99,MATCH(Emissions!$D74,EF!$D$84:$D$99,0))*INDEX(EF!$H$100:$H$115,MATCH(Emissions!$D74,EF!$D$100:$D$115,0))*INDEX(EF!$H$132:$H$147,MATCH(Emissions!$D74,EF!$D$132:$D$147,0))*kgtoGg</f>
        <v>0.15126748461394335</v>
      </c>
    </row>
    <row r="75" spans="1:68" x14ac:dyDescent="0.25">
      <c r="A75" t="str">
        <f t="shared" si="19"/>
        <v>3C Aggregated and non-CO2 emissions on land</v>
      </c>
      <c r="B75" t="str">
        <f t="shared" si="26"/>
        <v>3C1 Biomass burning (N2O)</v>
      </c>
      <c r="C75" t="str">
        <f t="shared" si="25"/>
        <v>3C1b Biomass burning in Croplands</v>
      </c>
      <c r="D75" t="str">
        <f>EF!D105</f>
        <v>Annual pivot</v>
      </c>
      <c r="E75" t="s">
        <v>652</v>
      </c>
      <c r="F75" t="str">
        <f t="shared" si="27"/>
        <v>N2O</v>
      </c>
      <c r="G75" t="str">
        <f t="shared" si="28"/>
        <v>Gg N2O</v>
      </c>
      <c r="H75" s="22">
        <f>INDEX('Activity data'!H$24:H$39,MATCH(Emissions!$D75,'Activity data'!$D$24:$D$39,0))*INDEX(EF!$H$84:$H$99,MATCH(Emissions!$D75,EF!$D$84:$D$99,0))*INDEX(EF!$H$100:$H$115,MATCH(Emissions!$D75,EF!$D$100:$D$115,0))*INDEX(EF!$H$132:$H$147,MATCH(Emissions!$D75,EF!$D$132:$D$147,0))*kgtoGg</f>
        <v>0.18638235046954238</v>
      </c>
      <c r="I75" s="22">
        <f>INDEX('Activity data'!I$24:I$39,MATCH(Emissions!$D75,'Activity data'!$D$24:$D$39,0))*INDEX(EF!$H$84:$H$99,MATCH(Emissions!$D75,EF!$D$84:$D$99,0))*INDEX(EF!$H$100:$H$115,MATCH(Emissions!$D75,EF!$D$100:$D$115,0))*INDEX(EF!$H$132:$H$147,MATCH(Emissions!$D75,EF!$D$132:$D$147,0))*kgtoGg</f>
        <v>0.18638235046954238</v>
      </c>
      <c r="J75" s="22">
        <f>INDEX('Activity data'!J$24:J$39,MATCH(Emissions!$D75,'Activity data'!$D$24:$D$39,0))*INDEX(EF!$H$84:$H$99,MATCH(Emissions!$D75,EF!$D$84:$D$99,0))*INDEX(EF!$H$100:$H$115,MATCH(Emissions!$D75,EF!$D$100:$D$115,0))*INDEX(EF!$H$132:$H$147,MATCH(Emissions!$D75,EF!$D$132:$D$147,0))*kgtoGg</f>
        <v>0.18638235046954238</v>
      </c>
      <c r="K75" s="22">
        <f>INDEX('Activity data'!K$24:K$39,MATCH(Emissions!$D75,'Activity data'!$D$24:$D$39,0))*INDEX(EF!$H$84:$H$99,MATCH(Emissions!$D75,EF!$D$84:$D$99,0))*INDEX(EF!$H$100:$H$115,MATCH(Emissions!$D75,EF!$D$100:$D$115,0))*INDEX(EF!$H$132:$H$147,MATCH(Emissions!$D75,EF!$D$132:$D$147,0))*kgtoGg</f>
        <v>0.18638235046954238</v>
      </c>
      <c r="L75" s="22">
        <f>INDEX('Activity data'!L$24:L$39,MATCH(Emissions!$D75,'Activity data'!$D$24:$D$39,0))*INDEX(EF!$H$84:$H$99,MATCH(Emissions!$D75,EF!$D$84:$D$99,0))*INDEX(EF!$H$100:$H$115,MATCH(Emissions!$D75,EF!$D$100:$D$115,0))*INDEX(EF!$H$132:$H$147,MATCH(Emissions!$D75,EF!$D$132:$D$147,0))*kgtoGg</f>
        <v>0.18638235046954238</v>
      </c>
      <c r="M75" s="22">
        <f>INDEX('Activity data'!M$24:M$39,MATCH(Emissions!$D75,'Activity data'!$D$24:$D$39,0))*INDEX(EF!$H$84:$H$99,MATCH(Emissions!$D75,EF!$D$84:$D$99,0))*INDEX(EF!$H$100:$H$115,MATCH(Emissions!$D75,EF!$D$100:$D$115,0))*INDEX(EF!$H$132:$H$147,MATCH(Emissions!$D75,EF!$D$132:$D$147,0))*kgtoGg</f>
        <v>0.18638235046954238</v>
      </c>
      <c r="N75" s="22">
        <f>INDEX('Activity data'!N$24:N$39,MATCH(Emissions!$D75,'Activity data'!$D$24:$D$39,0))*INDEX(EF!$H$84:$H$99,MATCH(Emissions!$D75,EF!$D$84:$D$99,0))*INDEX(EF!$H$100:$H$115,MATCH(Emissions!$D75,EF!$D$100:$D$115,0))*INDEX(EF!$H$132:$H$147,MATCH(Emissions!$D75,EF!$D$132:$D$147,0))*kgtoGg</f>
        <v>0.18638235046954238</v>
      </c>
      <c r="O75" s="22">
        <f>INDEX('Activity data'!O$24:O$39,MATCH(Emissions!$D75,'Activity data'!$D$24:$D$39,0))*INDEX(EF!$H$84:$H$99,MATCH(Emissions!$D75,EF!$D$84:$D$99,0))*INDEX(EF!$H$100:$H$115,MATCH(Emissions!$D75,EF!$D$100:$D$115,0))*INDEX(EF!$H$132:$H$147,MATCH(Emissions!$D75,EF!$D$132:$D$147,0))*kgtoGg</f>
        <v>0.18638235046954238</v>
      </c>
      <c r="P75" s="22">
        <f>INDEX('Activity data'!P$24:P$39,MATCH(Emissions!$D75,'Activity data'!$D$24:$D$39,0))*INDEX(EF!$H$84:$H$99,MATCH(Emissions!$D75,EF!$D$84:$D$99,0))*INDEX(EF!$H$100:$H$115,MATCH(Emissions!$D75,EF!$D$100:$D$115,0))*INDEX(EF!$H$132:$H$147,MATCH(Emissions!$D75,EF!$D$132:$D$147,0))*kgtoGg</f>
        <v>0.18638235046954238</v>
      </c>
      <c r="Q75" s="22">
        <f>INDEX('Activity data'!Q$24:Q$39,MATCH(Emissions!$D75,'Activity data'!$D$24:$D$39,0))*INDEX(EF!$H$84:$H$99,MATCH(Emissions!$D75,EF!$D$84:$D$99,0))*INDEX(EF!$H$100:$H$115,MATCH(Emissions!$D75,EF!$D$100:$D$115,0))*INDEX(EF!$H$132:$H$147,MATCH(Emissions!$D75,EF!$D$132:$D$147,0))*kgtoGg</f>
        <v>0.18638235046954238</v>
      </c>
      <c r="R75" s="22">
        <f>INDEX('Activity data'!R$24:R$39,MATCH(Emissions!$D75,'Activity data'!$D$24:$D$39,0))*INDEX(EF!$H$84:$H$99,MATCH(Emissions!$D75,EF!$D$84:$D$99,0))*INDEX(EF!$H$100:$H$115,MATCH(Emissions!$D75,EF!$D$100:$D$115,0))*INDEX(EF!$H$132:$H$147,MATCH(Emissions!$D75,EF!$D$132:$D$147,0))*kgtoGg</f>
        <v>0.20162552508512988</v>
      </c>
      <c r="S75" s="22">
        <f>INDEX('Activity data'!S$24:S$39,MATCH(Emissions!$D75,'Activity data'!$D$24:$D$39,0))*INDEX(EF!$H$84:$H$99,MATCH(Emissions!$D75,EF!$D$84:$D$99,0))*INDEX(EF!$H$100:$H$115,MATCH(Emissions!$D75,EF!$D$100:$D$115,0))*INDEX(EF!$H$132:$H$147,MATCH(Emissions!$D75,EF!$D$132:$D$147,0))*kgtoGg</f>
        <v>0.18678033277666942</v>
      </c>
      <c r="T75" s="22">
        <f>INDEX('Activity data'!T$24:T$39,MATCH(Emissions!$D75,'Activity data'!$D$24:$D$39,0))*INDEX(EF!$H$84:$H$99,MATCH(Emissions!$D75,EF!$D$84:$D$99,0))*INDEX(EF!$H$100:$H$115,MATCH(Emissions!$D75,EF!$D$100:$D$115,0))*INDEX(EF!$H$132:$H$147,MATCH(Emissions!$D75,EF!$D$132:$D$147,0))*kgtoGg</f>
        <v>0.2287267634426163</v>
      </c>
      <c r="U75" s="22">
        <f>INDEX('Activity data'!U$24:U$39,MATCH(Emissions!$D75,'Activity data'!$D$24:$D$39,0))*INDEX(EF!$H$84:$H$99,MATCH(Emissions!$D75,EF!$D$84:$D$99,0))*INDEX(EF!$H$100:$H$115,MATCH(Emissions!$D75,EF!$D$100:$D$115,0))*INDEX(EF!$H$132:$H$147,MATCH(Emissions!$D75,EF!$D$132:$D$147,0))*kgtoGg</f>
        <v>0.17075928365169724</v>
      </c>
      <c r="V75" s="22">
        <f>INDEX('Activity data'!V$24:V$39,MATCH(Emissions!$D75,'Activity data'!$D$24:$D$39,0))*INDEX(EF!$H$84:$H$99,MATCH(Emissions!$D75,EF!$D$84:$D$99,0))*INDEX(EF!$H$100:$H$115,MATCH(Emissions!$D75,EF!$D$100:$D$115,0))*INDEX(EF!$H$132:$H$147,MATCH(Emissions!$D75,EF!$D$132:$D$147,0))*kgtoGg</f>
        <v>0.14401984739159893</v>
      </c>
      <c r="W75" s="22">
        <f>INDEX('Activity data'!W$24:W$39,MATCH(Emissions!$D75,'Activity data'!$D$24:$D$39,0))*INDEX(EF!$H$84:$H$99,MATCH(Emissions!$D75,EF!$D$84:$D$99,0))*INDEX(EF!$H$100:$H$115,MATCH(Emissions!$D75,EF!$D$100:$D$115,0))*INDEX(EF!$H$132:$H$147,MATCH(Emissions!$D75,EF!$D$132:$D$147,0))*kgtoGg</f>
        <v>0.24379808206194442</v>
      </c>
      <c r="X75" s="22">
        <f>INDEX('Activity data'!X$24:X$39,MATCH(Emissions!$D75,'Activity data'!$D$24:$D$39,0))*INDEX(EF!$H$84:$H$99,MATCH(Emissions!$D75,EF!$D$84:$D$99,0))*INDEX(EF!$H$100:$H$115,MATCH(Emissions!$D75,EF!$D$100:$D$115,0))*INDEX(EF!$H$132:$H$147,MATCH(Emissions!$D75,EF!$D$132:$D$147,0))*kgtoGg</f>
        <v>0.24850150932799131</v>
      </c>
      <c r="Y75" s="22">
        <f>INDEX('Activity data'!Y$24:Y$39,MATCH(Emissions!$D75,'Activity data'!$D$24:$D$39,0))*INDEX(EF!$H$84:$H$99,MATCH(Emissions!$D75,EF!$D$84:$D$99,0))*INDEX(EF!$H$100:$H$115,MATCH(Emissions!$D75,EF!$D$100:$D$115,0))*INDEX(EF!$H$132:$H$147,MATCH(Emissions!$D75,EF!$D$132:$D$147,0))*kgtoGg</f>
        <v>0.14049227694206379</v>
      </c>
      <c r="Z75" s="22">
        <f>INDEX('Activity data'!Z$24:Z$39,MATCH(Emissions!$D75,'Activity data'!$D$24:$D$39,0))*INDEX(EF!$H$84:$H$99,MATCH(Emissions!$D75,EF!$D$84:$D$99,0))*INDEX(EF!$H$100:$H$115,MATCH(Emissions!$D75,EF!$D$100:$D$115,0))*INDEX(EF!$H$132:$H$147,MATCH(Emissions!$D75,EF!$D$132:$D$147,0))*kgtoGg</f>
        <v>0.16253959225165854</v>
      </c>
      <c r="AA75" s="22">
        <f>INDEX('Activity data'!AA$24:AA$39,MATCH(Emissions!$D75,'Activity data'!$D$24:$D$39,0))*INDEX(EF!$H$84:$H$99,MATCH(Emissions!$D75,EF!$D$84:$D$99,0))*INDEX(EF!$H$100:$H$115,MATCH(Emissions!$D75,EF!$D$100:$D$115,0))*INDEX(EF!$H$132:$H$147,MATCH(Emissions!$D75,EF!$D$132:$D$147,0))*kgtoGg</f>
        <v>0.16079841965797775</v>
      </c>
      <c r="AB75" s="22">
        <f>INDEX('Activity data'!AB$24:AB$39,MATCH(Emissions!$D75,'Activity data'!$D$24:$D$39,0))*INDEX(EF!$H$84:$H$99,MATCH(Emissions!$D75,EF!$D$84:$D$99,0))*INDEX(EF!$H$100:$H$115,MATCH(Emissions!$D75,EF!$D$100:$D$115,0))*INDEX(EF!$H$132:$H$147,MATCH(Emissions!$D75,EF!$D$132:$D$147,0))*kgtoGg</f>
        <v>0.18131878170000001</v>
      </c>
      <c r="AC75" s="22">
        <f>INDEX('Activity data'!AC$24:AC$39,MATCH(Emissions!$D75,'Activity data'!$D$24:$D$39,0))*INDEX(EF!$H$84:$H$99,MATCH(Emissions!$D75,EF!$D$84:$D$99,0))*INDEX(EF!$H$100:$H$115,MATCH(Emissions!$D75,EF!$D$100:$D$115,0))*INDEX(EF!$H$132:$H$147,MATCH(Emissions!$D75,EF!$D$132:$D$147,0))*kgtoGg</f>
        <v>0.1894221126</v>
      </c>
      <c r="AD75" s="22">
        <f>INDEX('Activity data'!AD$24:AD$39,MATCH(Emissions!$D75,'Activity data'!$D$24:$D$39,0))*INDEX(EF!$H$84:$H$99,MATCH(Emissions!$D75,EF!$D$84:$D$99,0))*INDEX(EF!$H$100:$H$115,MATCH(Emissions!$D75,EF!$D$100:$D$115,0))*INDEX(EF!$H$132:$H$147,MATCH(Emissions!$D75,EF!$D$132:$D$147,0))*kgtoGg</f>
        <v>1.3363672472411908E-2</v>
      </c>
      <c r="AE75" s="22">
        <f>INDEX('Activity data'!AE$24:AE$39,MATCH(Emissions!$D75,'Activity data'!$D$24:$D$39,0))*INDEX(EF!$H$84:$H$99,MATCH(Emissions!$D75,EF!$D$84:$D$99,0))*INDEX(EF!$H$100:$H$115,MATCH(Emissions!$D75,EF!$D$100:$D$115,0))*INDEX(EF!$H$132:$H$147,MATCH(Emissions!$D75,EF!$D$132:$D$147,0))*kgtoGg</f>
        <v>1.3770022882720941E-2</v>
      </c>
      <c r="AF75" s="22">
        <f>INDEX('Activity data'!AF$24:AF$39,MATCH(Emissions!$D75,'Activity data'!$D$24:$D$39,0))*INDEX(EF!$H$84:$H$99,MATCH(Emissions!$D75,EF!$D$84:$D$99,0))*INDEX(EF!$H$100:$H$115,MATCH(Emissions!$D75,EF!$D$100:$D$115,0))*INDEX(EF!$H$132:$H$147,MATCH(Emissions!$D75,EF!$D$132:$D$147,0))*kgtoGg</f>
        <v>1.4176373293029969E-2</v>
      </c>
      <c r="AG75" s="22">
        <f>INDEX('Activity data'!AG$24:AG$39,MATCH(Emissions!$D75,'Activity data'!$D$24:$D$39,0))*INDEX(EF!$H$84:$H$99,MATCH(Emissions!$D75,EF!$D$84:$D$99,0))*INDEX(EF!$H$100:$H$115,MATCH(Emissions!$D75,EF!$D$100:$D$115,0))*INDEX(EF!$H$132:$H$147,MATCH(Emissions!$D75,EF!$D$132:$D$147,0))*kgtoGg</f>
        <v>1.4582723703339006E-2</v>
      </c>
      <c r="AH75" s="22">
        <f>INDEX('Activity data'!AH$24:AH$39,MATCH(Emissions!$D75,'Activity data'!$D$24:$D$39,0))*INDEX(EF!$H$84:$H$99,MATCH(Emissions!$D75,EF!$D$84:$D$99,0))*INDEX(EF!$H$100:$H$115,MATCH(Emissions!$D75,EF!$D$100:$D$115,0))*INDEX(EF!$H$132:$H$147,MATCH(Emissions!$D75,EF!$D$132:$D$147,0))*kgtoGg</f>
        <v>1.4989074113648037E-2</v>
      </c>
      <c r="AI75" s="22">
        <f>INDEX('Activity data'!AI$24:AI$39,MATCH(Emissions!$D75,'Activity data'!$D$24:$D$39,0))*INDEX(EF!$H$84:$H$99,MATCH(Emissions!$D75,EF!$D$84:$D$99,0))*INDEX(EF!$H$100:$H$115,MATCH(Emissions!$D75,EF!$D$100:$D$115,0))*INDEX(EF!$H$132:$H$147,MATCH(Emissions!$D75,EF!$D$132:$D$147,0))*kgtoGg</f>
        <v>1.5395424523957073E-2</v>
      </c>
      <c r="AJ75" s="22">
        <f>INDEX('Activity data'!AJ$24:AJ$39,MATCH(Emissions!$D75,'Activity data'!$D$24:$D$39,0))*INDEX(EF!$H$84:$H$99,MATCH(Emissions!$D75,EF!$D$84:$D$99,0))*INDEX(EF!$H$100:$H$115,MATCH(Emissions!$D75,EF!$D$100:$D$115,0))*INDEX(EF!$H$132:$H$147,MATCH(Emissions!$D75,EF!$D$132:$D$147,0))*kgtoGg</f>
        <v>1.58017749342661E-2</v>
      </c>
      <c r="AK75" s="22">
        <f>INDEX('Activity data'!AK$24:AK$39,MATCH(Emissions!$D75,'Activity data'!$D$24:$D$39,0))*INDEX(EF!$H$84:$H$99,MATCH(Emissions!$D75,EF!$D$84:$D$99,0))*INDEX(EF!$H$100:$H$115,MATCH(Emissions!$D75,EF!$D$100:$D$115,0))*INDEX(EF!$H$132:$H$147,MATCH(Emissions!$D75,EF!$D$132:$D$147,0))*kgtoGg</f>
        <v>1.6146734098066089E-2</v>
      </c>
      <c r="AL75" s="22">
        <f>INDEX('Activity data'!AL$24:AL$39,MATCH(Emissions!$D75,'Activity data'!$D$24:$D$39,0))*INDEX(EF!$H$84:$H$99,MATCH(Emissions!$D75,EF!$D$84:$D$99,0))*INDEX(EF!$H$100:$H$115,MATCH(Emissions!$D75,EF!$D$100:$D$115,0))*INDEX(EF!$H$132:$H$147,MATCH(Emissions!$D75,EF!$D$132:$D$147,0))*kgtoGg</f>
        <v>1.6491693261866083E-2</v>
      </c>
      <c r="AM75" s="22">
        <f>INDEX('Activity data'!AM$24:AM$39,MATCH(Emissions!$D75,'Activity data'!$D$24:$D$39,0))*INDEX(EF!$H$84:$H$99,MATCH(Emissions!$D75,EF!$D$84:$D$99,0))*INDEX(EF!$H$100:$H$115,MATCH(Emissions!$D75,EF!$D$100:$D$115,0))*INDEX(EF!$H$132:$H$147,MATCH(Emissions!$D75,EF!$D$132:$D$147,0))*kgtoGg</f>
        <v>1.6836652425666072E-2</v>
      </c>
      <c r="AN75" s="22">
        <f>INDEX('Activity data'!AN$24:AN$39,MATCH(Emissions!$D75,'Activity data'!$D$24:$D$39,0))*INDEX(EF!$H$84:$H$99,MATCH(Emissions!$D75,EF!$D$84:$D$99,0))*INDEX(EF!$H$100:$H$115,MATCH(Emissions!$D75,EF!$D$100:$D$115,0))*INDEX(EF!$H$132:$H$147,MATCH(Emissions!$D75,EF!$D$132:$D$147,0))*kgtoGg</f>
        <v>1.7181611589466062E-2</v>
      </c>
      <c r="AO75" s="22">
        <f>INDEX('Activity data'!AO$24:AO$39,MATCH(Emissions!$D75,'Activity data'!$D$24:$D$39,0))*INDEX(EF!$H$84:$H$99,MATCH(Emissions!$D75,EF!$D$84:$D$99,0))*INDEX(EF!$H$100:$H$115,MATCH(Emissions!$D75,EF!$D$100:$D$115,0))*INDEX(EF!$H$132:$H$147,MATCH(Emissions!$D75,EF!$D$132:$D$147,0))*kgtoGg</f>
        <v>1.7526570753266048E-2</v>
      </c>
      <c r="AP75" s="22">
        <f>INDEX('Activity data'!AP$24:AP$39,MATCH(Emissions!$D75,'Activity data'!$D$24:$D$39,0))*INDEX(EF!$H$84:$H$99,MATCH(Emissions!$D75,EF!$D$84:$D$99,0))*INDEX(EF!$H$100:$H$115,MATCH(Emissions!$D75,EF!$D$100:$D$115,0))*INDEX(EF!$H$132:$H$147,MATCH(Emissions!$D75,EF!$D$132:$D$147,0))*kgtoGg</f>
        <v>1.7871529917066042E-2</v>
      </c>
      <c r="AQ75" s="22">
        <f>INDEX('Activity data'!AQ$24:AQ$39,MATCH(Emissions!$D75,'Activity data'!$D$24:$D$39,0))*INDEX(EF!$H$84:$H$99,MATCH(Emissions!$D75,EF!$D$84:$D$99,0))*INDEX(EF!$H$100:$H$115,MATCH(Emissions!$D75,EF!$D$100:$D$115,0))*INDEX(EF!$H$132:$H$147,MATCH(Emissions!$D75,EF!$D$132:$D$147,0))*kgtoGg</f>
        <v>1.8216489080866035E-2</v>
      </c>
      <c r="AR75" s="22">
        <f>INDEX('Activity data'!AR$24:AR$39,MATCH(Emissions!$D75,'Activity data'!$D$24:$D$39,0))*INDEX(EF!$H$84:$H$99,MATCH(Emissions!$D75,EF!$D$84:$D$99,0))*INDEX(EF!$H$100:$H$115,MATCH(Emissions!$D75,EF!$D$100:$D$115,0))*INDEX(EF!$H$132:$H$147,MATCH(Emissions!$D75,EF!$D$132:$D$147,0))*kgtoGg</f>
        <v>1.8561448244666025E-2</v>
      </c>
      <c r="AS75" s="22">
        <f>INDEX('Activity data'!AS$24:AS$39,MATCH(Emissions!$D75,'Activity data'!$D$24:$D$39,0))*INDEX(EF!$H$84:$H$99,MATCH(Emissions!$D75,EF!$D$84:$D$99,0))*INDEX(EF!$H$100:$H$115,MATCH(Emissions!$D75,EF!$D$100:$D$115,0))*INDEX(EF!$H$132:$H$147,MATCH(Emissions!$D75,EF!$D$132:$D$147,0))*kgtoGg</f>
        <v>1.8906407408466011E-2</v>
      </c>
      <c r="AT75" s="22">
        <f>INDEX('Activity data'!AT$24:AT$39,MATCH(Emissions!$D75,'Activity data'!$D$24:$D$39,0))*INDEX(EF!$H$84:$H$99,MATCH(Emissions!$D75,EF!$D$84:$D$99,0))*INDEX(EF!$H$100:$H$115,MATCH(Emissions!$D75,EF!$D$100:$D$115,0))*INDEX(EF!$H$132:$H$147,MATCH(Emissions!$D75,EF!$D$132:$D$147,0))*kgtoGg</f>
        <v>1.9251366572266011E-2</v>
      </c>
      <c r="AU75" s="22">
        <f>INDEX('Activity data'!AU$24:AU$39,MATCH(Emissions!$D75,'Activity data'!$D$24:$D$39,0))*INDEX(EF!$H$84:$H$99,MATCH(Emissions!$D75,EF!$D$84:$D$99,0))*INDEX(EF!$H$100:$H$115,MATCH(Emissions!$D75,EF!$D$100:$D$115,0))*INDEX(EF!$H$132:$H$147,MATCH(Emissions!$D75,EF!$D$132:$D$147,0))*kgtoGg</f>
        <v>1.9596325736065998E-2</v>
      </c>
      <c r="AV75" s="22">
        <f>INDEX('Activity data'!AV$24:AV$39,MATCH(Emissions!$D75,'Activity data'!$D$24:$D$39,0))*INDEX(EF!$H$84:$H$99,MATCH(Emissions!$D75,EF!$D$84:$D$99,0))*INDEX(EF!$H$100:$H$115,MATCH(Emissions!$D75,EF!$D$100:$D$115,0))*INDEX(EF!$H$132:$H$147,MATCH(Emissions!$D75,EF!$D$132:$D$147,0))*kgtoGg</f>
        <v>1.9941284899865994E-2</v>
      </c>
      <c r="AW75" s="22">
        <f>INDEX('Activity data'!AW$24:AW$39,MATCH(Emissions!$D75,'Activity data'!$D$24:$D$39,0))*INDEX(EF!$H$84:$H$99,MATCH(Emissions!$D75,EF!$D$84:$D$99,0))*INDEX(EF!$H$100:$H$115,MATCH(Emissions!$D75,EF!$D$100:$D$115,0))*INDEX(EF!$H$132:$H$147,MATCH(Emissions!$D75,EF!$D$132:$D$147,0))*kgtoGg</f>
        <v>2.0286244063665981E-2</v>
      </c>
      <c r="AX75" s="22">
        <f>INDEX('Activity data'!AX$24:AX$39,MATCH(Emissions!$D75,'Activity data'!$D$24:$D$39,0))*INDEX(EF!$H$84:$H$99,MATCH(Emissions!$D75,EF!$D$84:$D$99,0))*INDEX(EF!$H$100:$H$115,MATCH(Emissions!$D75,EF!$D$100:$D$115,0))*INDEX(EF!$H$132:$H$147,MATCH(Emissions!$D75,EF!$D$132:$D$147,0))*kgtoGg</f>
        <v>2.0631203227465963E-2</v>
      </c>
      <c r="AY75" s="22">
        <f>INDEX('Activity data'!AY$24:AY$39,MATCH(Emissions!$D75,'Activity data'!$D$24:$D$39,0))*INDEX(EF!$H$84:$H$99,MATCH(Emissions!$D75,EF!$D$84:$D$99,0))*INDEX(EF!$H$100:$H$115,MATCH(Emissions!$D75,EF!$D$100:$D$115,0))*INDEX(EF!$H$132:$H$147,MATCH(Emissions!$D75,EF!$D$132:$D$147,0))*kgtoGg</f>
        <v>2.0976162391265957E-2</v>
      </c>
      <c r="AZ75" s="22">
        <f>INDEX('Activity data'!AZ$24:AZ$39,MATCH(Emissions!$D75,'Activity data'!$D$24:$D$39,0))*INDEX(EF!$H$84:$H$99,MATCH(Emissions!$D75,EF!$D$84:$D$99,0))*INDEX(EF!$H$100:$H$115,MATCH(Emissions!$D75,EF!$D$100:$D$115,0))*INDEX(EF!$H$132:$H$147,MATCH(Emissions!$D75,EF!$D$132:$D$147,0))*kgtoGg</f>
        <v>2.1321121555065947E-2</v>
      </c>
      <c r="BA75" s="22">
        <f>INDEX('Activity data'!BA$24:BA$39,MATCH(Emissions!$D75,'Activity data'!$D$24:$D$39,0))*INDEX(EF!$H$84:$H$99,MATCH(Emissions!$D75,EF!$D$84:$D$99,0))*INDEX(EF!$H$100:$H$115,MATCH(Emissions!$D75,EF!$D$100:$D$115,0))*INDEX(EF!$H$132:$H$147,MATCH(Emissions!$D75,EF!$D$132:$D$147,0))*kgtoGg</f>
        <v>2.166608071886594E-2</v>
      </c>
      <c r="BB75" s="22">
        <f>INDEX('Activity data'!BB$24:BB$39,MATCH(Emissions!$D75,'Activity data'!$D$24:$D$39,0))*INDEX(EF!$H$84:$H$99,MATCH(Emissions!$D75,EF!$D$84:$D$99,0))*INDEX(EF!$H$100:$H$115,MATCH(Emissions!$D75,EF!$D$100:$D$115,0))*INDEX(EF!$H$132:$H$147,MATCH(Emissions!$D75,EF!$D$132:$D$147,0))*kgtoGg</f>
        <v>2.2011039882665936E-2</v>
      </c>
      <c r="BC75" s="22">
        <f>INDEX('Activity data'!BC$24:BC$39,MATCH(Emissions!$D75,'Activity data'!$D$24:$D$39,0))*INDEX(EF!$H$84:$H$99,MATCH(Emissions!$D75,EF!$D$84:$D$99,0))*INDEX(EF!$H$100:$H$115,MATCH(Emissions!$D75,EF!$D$100:$D$115,0))*INDEX(EF!$H$132:$H$147,MATCH(Emissions!$D75,EF!$D$132:$D$147,0))*kgtoGg</f>
        <v>2.2355999046465923E-2</v>
      </c>
      <c r="BD75" s="22">
        <f>INDEX('Activity data'!BD$24:BD$39,MATCH(Emissions!$D75,'Activity data'!$D$24:$D$39,0))*INDEX(EF!$H$84:$H$99,MATCH(Emissions!$D75,EF!$D$84:$D$99,0))*INDEX(EF!$H$100:$H$115,MATCH(Emissions!$D75,EF!$D$100:$D$115,0))*INDEX(EF!$H$132:$H$147,MATCH(Emissions!$D75,EF!$D$132:$D$147,0))*kgtoGg</f>
        <v>2.2700958210265909E-2</v>
      </c>
      <c r="BE75" s="22">
        <f>INDEX('Activity data'!BE$24:BE$39,MATCH(Emissions!$D75,'Activity data'!$D$24:$D$39,0))*INDEX(EF!$H$84:$H$99,MATCH(Emissions!$D75,EF!$D$84:$D$99,0))*INDEX(EF!$H$100:$H$115,MATCH(Emissions!$D75,EF!$D$100:$D$115,0))*INDEX(EF!$H$132:$H$147,MATCH(Emissions!$D75,EF!$D$132:$D$147,0))*kgtoGg</f>
        <v>2.3045917374065913E-2</v>
      </c>
      <c r="BF75" s="22">
        <f>INDEX('Activity data'!BF$24:BF$39,MATCH(Emissions!$D75,'Activity data'!$D$24:$D$39,0))*INDEX(EF!$H$84:$H$99,MATCH(Emissions!$D75,EF!$D$84:$D$99,0))*INDEX(EF!$H$100:$H$115,MATCH(Emissions!$D75,EF!$D$100:$D$115,0))*INDEX(EF!$H$132:$H$147,MATCH(Emissions!$D75,EF!$D$132:$D$147,0))*kgtoGg</f>
        <v>2.3390876537865896E-2</v>
      </c>
      <c r="BG75" s="22">
        <f>INDEX('Activity data'!BG$24:BG$39,MATCH(Emissions!$D75,'Activity data'!$D$24:$D$39,0))*INDEX(EF!$H$84:$H$99,MATCH(Emissions!$D75,EF!$D$84:$D$99,0))*INDEX(EF!$H$100:$H$115,MATCH(Emissions!$D75,EF!$D$100:$D$115,0))*INDEX(EF!$H$132:$H$147,MATCH(Emissions!$D75,EF!$D$132:$D$147,0))*kgtoGg</f>
        <v>2.3735835701665882E-2</v>
      </c>
      <c r="BH75" s="22">
        <f>INDEX('Activity data'!BH$24:BH$39,MATCH(Emissions!$D75,'Activity data'!$D$24:$D$39,0))*INDEX(EF!$H$84:$H$99,MATCH(Emissions!$D75,EF!$D$84:$D$99,0))*INDEX(EF!$H$100:$H$115,MATCH(Emissions!$D75,EF!$D$100:$D$115,0))*INDEX(EF!$H$132:$H$147,MATCH(Emissions!$D75,EF!$D$132:$D$147,0))*kgtoGg</f>
        <v>2.4080794865465872E-2</v>
      </c>
      <c r="BI75" s="22">
        <f>INDEX('Activity data'!BI$24:BI$39,MATCH(Emissions!$D75,'Activity data'!$D$24:$D$39,0))*INDEX(EF!$H$84:$H$99,MATCH(Emissions!$D75,EF!$D$84:$D$99,0))*INDEX(EF!$H$100:$H$115,MATCH(Emissions!$D75,EF!$D$100:$D$115,0))*INDEX(EF!$H$132:$H$147,MATCH(Emissions!$D75,EF!$D$132:$D$147,0))*kgtoGg</f>
        <v>2.4425754029265865E-2</v>
      </c>
      <c r="BJ75" s="22">
        <f>INDEX('Activity data'!BJ$24:BJ$39,MATCH(Emissions!$D75,'Activity data'!$D$24:$D$39,0))*INDEX(EF!$H$84:$H$99,MATCH(Emissions!$D75,EF!$D$84:$D$99,0))*INDEX(EF!$H$100:$H$115,MATCH(Emissions!$D75,EF!$D$100:$D$115,0))*INDEX(EF!$H$132:$H$147,MATCH(Emissions!$D75,EF!$D$132:$D$147,0))*kgtoGg</f>
        <v>2.4770713193065855E-2</v>
      </c>
      <c r="BK75" s="22">
        <f>INDEX('Activity data'!BK$24:BK$39,MATCH(Emissions!$D75,'Activity data'!$D$24:$D$39,0))*INDEX(EF!$H$84:$H$99,MATCH(Emissions!$D75,EF!$D$84:$D$99,0))*INDEX(EF!$H$100:$H$115,MATCH(Emissions!$D75,EF!$D$100:$D$115,0))*INDEX(EF!$H$132:$H$147,MATCH(Emissions!$D75,EF!$D$132:$D$147,0))*kgtoGg</f>
        <v>2.5115672356865848E-2</v>
      </c>
      <c r="BL75" s="22">
        <f>INDEX('Activity data'!BL$24:BL$39,MATCH(Emissions!$D75,'Activity data'!$D$24:$D$39,0))*INDEX(EF!$H$84:$H$99,MATCH(Emissions!$D75,EF!$D$84:$D$99,0))*INDEX(EF!$H$100:$H$115,MATCH(Emissions!$D75,EF!$D$100:$D$115,0))*INDEX(EF!$H$132:$H$147,MATCH(Emissions!$D75,EF!$D$132:$D$147,0))*kgtoGg</f>
        <v>2.5460631520665834E-2</v>
      </c>
      <c r="BM75" s="22">
        <f>INDEX('Activity data'!BM$24:BM$39,MATCH(Emissions!$D75,'Activity data'!$D$24:$D$39,0))*INDEX(EF!$H$84:$H$99,MATCH(Emissions!$D75,EF!$D$84:$D$99,0))*INDEX(EF!$H$100:$H$115,MATCH(Emissions!$D75,EF!$D$100:$D$115,0))*INDEX(EF!$H$132:$H$147,MATCH(Emissions!$D75,EF!$D$132:$D$147,0))*kgtoGg</f>
        <v>2.5805590684465831E-2</v>
      </c>
      <c r="BN75" s="22">
        <f>INDEX('Activity data'!BN$24:BN$39,MATCH(Emissions!$D75,'Activity data'!$D$24:$D$39,0))*INDEX(EF!$H$84:$H$99,MATCH(Emissions!$D75,EF!$D$84:$D$99,0))*INDEX(EF!$H$100:$H$115,MATCH(Emissions!$D75,EF!$D$100:$D$115,0))*INDEX(EF!$H$132:$H$147,MATCH(Emissions!$D75,EF!$D$132:$D$147,0))*kgtoGg</f>
        <v>2.6150549848265814E-2</v>
      </c>
      <c r="BO75" s="22">
        <f>INDEX('Activity data'!BO$24:BO$39,MATCH(Emissions!$D75,'Activity data'!$D$24:$D$39,0))*INDEX(EF!$H$84:$H$99,MATCH(Emissions!$D75,EF!$D$84:$D$99,0))*INDEX(EF!$H$100:$H$115,MATCH(Emissions!$D75,EF!$D$100:$D$115,0))*INDEX(EF!$H$132:$H$147,MATCH(Emissions!$D75,EF!$D$132:$D$147,0))*kgtoGg</f>
        <v>2.6495509012065807E-2</v>
      </c>
      <c r="BP75" s="22">
        <f>INDEX('Activity data'!BP$24:BP$39,MATCH(Emissions!$D75,'Activity data'!$D$24:$D$39,0))*INDEX(EF!$H$84:$H$99,MATCH(Emissions!$D75,EF!$D$84:$D$99,0))*INDEX(EF!$H$100:$H$115,MATCH(Emissions!$D75,EF!$D$100:$D$115,0))*INDEX(EF!$H$132:$H$147,MATCH(Emissions!$D75,EF!$D$132:$D$147,0))*kgtoGg</f>
        <v>2.68404681758658E-2</v>
      </c>
    </row>
    <row r="76" spans="1:68" x14ac:dyDescent="0.25">
      <c r="A76" t="str">
        <f t="shared" si="19"/>
        <v>3C Aggregated and non-CO2 emissions on land</v>
      </c>
      <c r="B76" t="str">
        <f t="shared" si="26"/>
        <v>3C1 Biomass burning (N2O)</v>
      </c>
      <c r="C76" t="str">
        <f t="shared" si="25"/>
        <v>3C1b Biomass burning in Croplands</v>
      </c>
      <c r="D76" t="str">
        <f>EF!D106</f>
        <v>Perennial orchards</v>
      </c>
      <c r="E76" t="s">
        <v>653</v>
      </c>
      <c r="F76" t="str">
        <f t="shared" si="27"/>
        <v>N2O</v>
      </c>
      <c r="G76" t="str">
        <f t="shared" si="28"/>
        <v>Gg N2O</v>
      </c>
      <c r="H76" s="22">
        <f>INDEX('Activity data'!H$24:H$39,MATCH(Emissions!$D76,'Activity data'!$D$24:$D$39,0))*INDEX(EF!$H$84:$H$99,MATCH(Emissions!$D76,EF!$D$84:$D$99,0))*INDEX(EF!$H$100:$H$115,MATCH(Emissions!$D76,EF!$D$100:$D$115,0))*INDEX(EF!$H$132:$H$147,MATCH(Emissions!$D76,EF!$D$132:$D$147,0))*kgtoGg</f>
        <v>1.3318839710103907E-3</v>
      </c>
      <c r="I76" s="22">
        <f>INDEX('Activity data'!I$24:I$39,MATCH(Emissions!$D76,'Activity data'!$D$24:$D$39,0))*INDEX(EF!$H$84:$H$99,MATCH(Emissions!$D76,EF!$D$84:$D$99,0))*INDEX(EF!$H$100:$H$115,MATCH(Emissions!$D76,EF!$D$100:$D$115,0))*INDEX(EF!$H$132:$H$147,MATCH(Emissions!$D76,EF!$D$132:$D$147,0))*kgtoGg</f>
        <v>1.3318839710103907E-3</v>
      </c>
      <c r="J76" s="22">
        <f>INDEX('Activity data'!J$24:J$39,MATCH(Emissions!$D76,'Activity data'!$D$24:$D$39,0))*INDEX(EF!$H$84:$H$99,MATCH(Emissions!$D76,EF!$D$84:$D$99,0))*INDEX(EF!$H$100:$H$115,MATCH(Emissions!$D76,EF!$D$100:$D$115,0))*INDEX(EF!$H$132:$H$147,MATCH(Emissions!$D76,EF!$D$132:$D$147,0))*kgtoGg</f>
        <v>1.3318839710103907E-3</v>
      </c>
      <c r="K76" s="22">
        <f>INDEX('Activity data'!K$24:K$39,MATCH(Emissions!$D76,'Activity data'!$D$24:$D$39,0))*INDEX(EF!$H$84:$H$99,MATCH(Emissions!$D76,EF!$D$84:$D$99,0))*INDEX(EF!$H$100:$H$115,MATCH(Emissions!$D76,EF!$D$100:$D$115,0))*INDEX(EF!$H$132:$H$147,MATCH(Emissions!$D76,EF!$D$132:$D$147,0))*kgtoGg</f>
        <v>1.3318839710103907E-3</v>
      </c>
      <c r="L76" s="22">
        <f>INDEX('Activity data'!L$24:L$39,MATCH(Emissions!$D76,'Activity data'!$D$24:$D$39,0))*INDEX(EF!$H$84:$H$99,MATCH(Emissions!$D76,EF!$D$84:$D$99,0))*INDEX(EF!$H$100:$H$115,MATCH(Emissions!$D76,EF!$D$100:$D$115,0))*INDEX(EF!$H$132:$H$147,MATCH(Emissions!$D76,EF!$D$132:$D$147,0))*kgtoGg</f>
        <v>1.3318839710103907E-3</v>
      </c>
      <c r="M76" s="22">
        <f>INDEX('Activity data'!M$24:M$39,MATCH(Emissions!$D76,'Activity data'!$D$24:$D$39,0))*INDEX(EF!$H$84:$H$99,MATCH(Emissions!$D76,EF!$D$84:$D$99,0))*INDEX(EF!$H$100:$H$115,MATCH(Emissions!$D76,EF!$D$100:$D$115,0))*INDEX(EF!$H$132:$H$147,MATCH(Emissions!$D76,EF!$D$132:$D$147,0))*kgtoGg</f>
        <v>1.3318839710103907E-3</v>
      </c>
      <c r="N76" s="22">
        <f>INDEX('Activity data'!N$24:N$39,MATCH(Emissions!$D76,'Activity data'!$D$24:$D$39,0))*INDEX(EF!$H$84:$H$99,MATCH(Emissions!$D76,EF!$D$84:$D$99,0))*INDEX(EF!$H$100:$H$115,MATCH(Emissions!$D76,EF!$D$100:$D$115,0))*INDEX(EF!$H$132:$H$147,MATCH(Emissions!$D76,EF!$D$132:$D$147,0))*kgtoGg</f>
        <v>1.3318839710103907E-3</v>
      </c>
      <c r="O76" s="22">
        <f>INDEX('Activity data'!O$24:O$39,MATCH(Emissions!$D76,'Activity data'!$D$24:$D$39,0))*INDEX(EF!$H$84:$H$99,MATCH(Emissions!$D76,EF!$D$84:$D$99,0))*INDEX(EF!$H$100:$H$115,MATCH(Emissions!$D76,EF!$D$100:$D$115,0))*INDEX(EF!$H$132:$H$147,MATCH(Emissions!$D76,EF!$D$132:$D$147,0))*kgtoGg</f>
        <v>1.3318839710103907E-3</v>
      </c>
      <c r="P76" s="22">
        <f>INDEX('Activity data'!P$24:P$39,MATCH(Emissions!$D76,'Activity data'!$D$24:$D$39,0))*INDEX(EF!$H$84:$H$99,MATCH(Emissions!$D76,EF!$D$84:$D$99,0))*INDEX(EF!$H$100:$H$115,MATCH(Emissions!$D76,EF!$D$100:$D$115,0))*INDEX(EF!$H$132:$H$147,MATCH(Emissions!$D76,EF!$D$132:$D$147,0))*kgtoGg</f>
        <v>1.3318839710103907E-3</v>
      </c>
      <c r="Q76" s="22">
        <f>INDEX('Activity data'!Q$24:Q$39,MATCH(Emissions!$D76,'Activity data'!$D$24:$D$39,0))*INDEX(EF!$H$84:$H$99,MATCH(Emissions!$D76,EF!$D$84:$D$99,0))*INDEX(EF!$H$100:$H$115,MATCH(Emissions!$D76,EF!$D$100:$D$115,0))*INDEX(EF!$H$132:$H$147,MATCH(Emissions!$D76,EF!$D$132:$D$147,0))*kgtoGg</f>
        <v>1.3318839710103907E-3</v>
      </c>
      <c r="R76" s="22">
        <f>INDEX('Activity data'!R$24:R$39,MATCH(Emissions!$D76,'Activity data'!$D$24:$D$39,0))*INDEX(EF!$H$84:$H$99,MATCH(Emissions!$D76,EF!$D$84:$D$99,0))*INDEX(EF!$H$100:$H$115,MATCH(Emissions!$D76,EF!$D$100:$D$115,0))*INDEX(EF!$H$132:$H$147,MATCH(Emissions!$D76,EF!$D$132:$D$147,0))*kgtoGg</f>
        <v>1.0175683989043735E-3</v>
      </c>
      <c r="S76" s="22">
        <f>INDEX('Activity data'!S$24:S$39,MATCH(Emissions!$D76,'Activity data'!$D$24:$D$39,0))*INDEX(EF!$H$84:$H$99,MATCH(Emissions!$D76,EF!$D$84:$D$99,0))*INDEX(EF!$H$100:$H$115,MATCH(Emissions!$D76,EF!$D$100:$D$115,0))*INDEX(EF!$H$132:$H$147,MATCH(Emissions!$D76,EF!$D$132:$D$147,0))*kgtoGg</f>
        <v>1.9559925890050732E-3</v>
      </c>
      <c r="T76" s="22">
        <f>INDEX('Activity data'!T$24:T$39,MATCH(Emissions!$D76,'Activity data'!$D$24:$D$39,0))*INDEX(EF!$H$84:$H$99,MATCH(Emissions!$D76,EF!$D$84:$D$99,0))*INDEX(EF!$H$100:$H$115,MATCH(Emissions!$D76,EF!$D$100:$D$115,0))*INDEX(EF!$H$132:$H$147,MATCH(Emissions!$D76,EF!$D$132:$D$147,0))*kgtoGg</f>
        <v>1.4245957584661227E-3</v>
      </c>
      <c r="U76" s="22">
        <f>INDEX('Activity data'!U$24:U$39,MATCH(Emissions!$D76,'Activity data'!$D$24:$D$39,0))*INDEX(EF!$H$84:$H$99,MATCH(Emissions!$D76,EF!$D$84:$D$99,0))*INDEX(EF!$H$100:$H$115,MATCH(Emissions!$D76,EF!$D$100:$D$115,0))*INDEX(EF!$H$132:$H$147,MATCH(Emissions!$D76,EF!$D$132:$D$147,0))*kgtoGg</f>
        <v>1.4585147050962684E-3</v>
      </c>
      <c r="V76" s="22">
        <f>INDEX('Activity data'!V$24:V$39,MATCH(Emissions!$D76,'Activity data'!$D$24:$D$39,0))*INDEX(EF!$H$84:$H$99,MATCH(Emissions!$D76,EF!$D$84:$D$99,0))*INDEX(EF!$H$100:$H$115,MATCH(Emissions!$D76,EF!$D$100:$D$115,0))*INDEX(EF!$H$132:$H$147,MATCH(Emissions!$D76,EF!$D$132:$D$147,0))*kgtoGg</f>
        <v>8.0274840358011664E-4</v>
      </c>
      <c r="W76" s="22">
        <f>INDEX('Activity data'!W$24:W$39,MATCH(Emissions!$D76,'Activity data'!$D$24:$D$39,0))*INDEX(EF!$H$84:$H$99,MATCH(Emissions!$D76,EF!$D$84:$D$99,0))*INDEX(EF!$H$100:$H$115,MATCH(Emissions!$D76,EF!$D$100:$D$115,0))*INDEX(EF!$H$132:$H$147,MATCH(Emissions!$D76,EF!$D$132:$D$147,0))*kgtoGg</f>
        <v>1.8090104869411081E-3</v>
      </c>
      <c r="X76" s="22">
        <f>INDEX('Activity data'!X$24:X$39,MATCH(Emissions!$D76,'Activity data'!$D$24:$D$39,0))*INDEX(EF!$H$84:$H$99,MATCH(Emissions!$D76,EF!$D$84:$D$99,0))*INDEX(EF!$H$100:$H$115,MATCH(Emissions!$D76,EF!$D$100:$D$115,0))*INDEX(EF!$H$132:$H$147,MATCH(Emissions!$D76,EF!$D$132:$D$147,0))*kgtoGg</f>
        <v>1.2550010253153938E-3</v>
      </c>
      <c r="Y76" s="22">
        <f>INDEX('Activity data'!Y$24:Y$39,MATCH(Emissions!$D76,'Activity data'!$D$24:$D$39,0))*INDEX(EF!$H$84:$H$99,MATCH(Emissions!$D76,EF!$D$84:$D$99,0))*INDEX(EF!$H$100:$H$115,MATCH(Emissions!$D76,EF!$D$100:$D$115,0))*INDEX(EF!$H$132:$H$147,MATCH(Emissions!$D76,EF!$D$132:$D$147,0))*kgtoGg</f>
        <v>2.1821188998727113E-3</v>
      </c>
      <c r="Z76" s="22">
        <f>INDEX('Activity data'!Z$24:Z$39,MATCH(Emissions!$D76,'Activity data'!$D$24:$D$39,0))*INDEX(EF!$H$84:$H$99,MATCH(Emissions!$D76,EF!$D$84:$D$99,0))*INDEX(EF!$H$100:$H$115,MATCH(Emissions!$D76,EF!$D$100:$D$115,0))*INDEX(EF!$H$132:$H$147,MATCH(Emissions!$D76,EF!$D$132:$D$147,0))*kgtoGg</f>
        <v>2.7813536236719538E-3</v>
      </c>
      <c r="AA76" s="22">
        <f>INDEX('Activity data'!AA$24:AA$39,MATCH(Emissions!$D76,'Activity data'!$D$24:$D$39,0))*INDEX(EF!$H$84:$H$99,MATCH(Emissions!$D76,EF!$D$84:$D$99,0))*INDEX(EF!$H$100:$H$115,MATCH(Emissions!$D76,EF!$D$100:$D$115,0))*INDEX(EF!$H$132:$H$147,MATCH(Emissions!$D76,EF!$D$132:$D$147,0))*kgtoGg</f>
        <v>1.1871631320551021E-3</v>
      </c>
      <c r="AB76" s="22">
        <f>INDEX('Activity data'!AB$24:AB$39,MATCH(Emissions!$D76,'Activity data'!$D$24:$D$39,0))*INDEX(EF!$H$84:$H$99,MATCH(Emissions!$D76,EF!$D$84:$D$99,0))*INDEX(EF!$H$100:$H$115,MATCH(Emissions!$D76,EF!$D$100:$D$115,0))*INDEX(EF!$H$132:$H$147,MATCH(Emissions!$D76,EF!$D$132:$D$147,0))*kgtoGg</f>
        <v>1.9954808999999999E-3</v>
      </c>
      <c r="AC76" s="22">
        <f>INDEX('Activity data'!AC$24:AC$39,MATCH(Emissions!$D76,'Activity data'!$D$24:$D$39,0))*INDEX(EF!$H$84:$H$99,MATCH(Emissions!$D76,EF!$D$84:$D$99,0))*INDEX(EF!$H$100:$H$115,MATCH(Emissions!$D76,EF!$D$100:$D$115,0))*INDEX(EF!$H$132:$H$147,MATCH(Emissions!$D76,EF!$D$132:$D$147,0))*kgtoGg</f>
        <v>1.5262569E-3</v>
      </c>
      <c r="AD76" s="22">
        <f>INDEX('Activity data'!AD$24:AD$39,MATCH(Emissions!$D76,'Activity data'!$D$24:$D$39,0))*INDEX(EF!$H$84:$H$99,MATCH(Emissions!$D76,EF!$D$84:$D$99,0))*INDEX(EF!$H$100:$H$115,MATCH(Emissions!$D76,EF!$D$100:$D$115,0))*INDEX(EF!$H$132:$H$147,MATCH(Emissions!$D76,EF!$D$132:$D$147,0))*kgtoGg</f>
        <v>1.5816881190357272E-3</v>
      </c>
      <c r="AE76" s="22">
        <f>INDEX('Activity data'!AE$24:AE$39,MATCH(Emissions!$D76,'Activity data'!$D$24:$D$39,0))*INDEX(EF!$H$84:$H$99,MATCH(Emissions!$D76,EF!$D$84:$D$99,0))*INDEX(EF!$H$100:$H$115,MATCH(Emissions!$D76,EF!$D$100:$D$115,0))*INDEX(EF!$H$132:$H$147,MATCH(Emissions!$D76,EF!$D$132:$D$147,0))*kgtoGg</f>
        <v>1.5951964157097593E-3</v>
      </c>
      <c r="AF76" s="22">
        <f>INDEX('Activity data'!AF$24:AF$39,MATCH(Emissions!$D76,'Activity data'!$D$24:$D$39,0))*INDEX(EF!$H$84:$H$99,MATCH(Emissions!$D76,EF!$D$84:$D$99,0))*INDEX(EF!$H$100:$H$115,MATCH(Emissions!$D76,EF!$D$100:$D$115,0))*INDEX(EF!$H$132:$H$147,MATCH(Emissions!$D76,EF!$D$132:$D$147,0))*kgtoGg</f>
        <v>1.6087047123837911E-3</v>
      </c>
      <c r="AG76" s="22">
        <f>INDEX('Activity data'!AG$24:AG$39,MATCH(Emissions!$D76,'Activity data'!$D$24:$D$39,0))*INDEX(EF!$H$84:$H$99,MATCH(Emissions!$D76,EF!$D$84:$D$99,0))*INDEX(EF!$H$100:$H$115,MATCH(Emissions!$D76,EF!$D$100:$D$115,0))*INDEX(EF!$H$132:$H$147,MATCH(Emissions!$D76,EF!$D$132:$D$147,0))*kgtoGg</f>
        <v>1.6222130090578235E-3</v>
      </c>
      <c r="AH76" s="22">
        <f>INDEX('Activity data'!AH$24:AH$39,MATCH(Emissions!$D76,'Activity data'!$D$24:$D$39,0))*INDEX(EF!$H$84:$H$99,MATCH(Emissions!$D76,EF!$D$84:$D$99,0))*INDEX(EF!$H$100:$H$115,MATCH(Emissions!$D76,EF!$D$100:$D$115,0))*INDEX(EF!$H$132:$H$147,MATCH(Emissions!$D76,EF!$D$132:$D$147,0))*kgtoGg</f>
        <v>1.6357213057318551E-3</v>
      </c>
      <c r="AI76" s="22">
        <f>INDEX('Activity data'!AI$24:AI$39,MATCH(Emissions!$D76,'Activity data'!$D$24:$D$39,0))*INDEX(EF!$H$84:$H$99,MATCH(Emissions!$D76,EF!$D$84:$D$99,0))*INDEX(EF!$H$100:$H$115,MATCH(Emissions!$D76,EF!$D$100:$D$115,0))*INDEX(EF!$H$132:$H$147,MATCH(Emissions!$D76,EF!$D$132:$D$147,0))*kgtoGg</f>
        <v>1.6492296024058872E-3</v>
      </c>
      <c r="AJ76" s="22">
        <f>INDEX('Activity data'!AJ$24:AJ$39,MATCH(Emissions!$D76,'Activity data'!$D$24:$D$39,0))*INDEX(EF!$H$84:$H$99,MATCH(Emissions!$D76,EF!$D$84:$D$99,0))*INDEX(EF!$H$100:$H$115,MATCH(Emissions!$D76,EF!$D$100:$D$115,0))*INDEX(EF!$H$132:$H$147,MATCH(Emissions!$D76,EF!$D$132:$D$147,0))*kgtoGg</f>
        <v>1.6627378990799191E-3</v>
      </c>
      <c r="AK76" s="22">
        <f>INDEX('Activity data'!AK$24:AK$39,MATCH(Emissions!$D76,'Activity data'!$D$24:$D$39,0))*INDEX(EF!$H$84:$H$99,MATCH(Emissions!$D76,EF!$D$84:$D$99,0))*INDEX(EF!$H$100:$H$115,MATCH(Emissions!$D76,EF!$D$100:$D$115,0))*INDEX(EF!$H$132:$H$147,MATCH(Emissions!$D76,EF!$D$132:$D$147,0))*kgtoGg</f>
        <v>1.6708472901916249E-3</v>
      </c>
      <c r="AL76" s="22">
        <f>INDEX('Activity data'!AL$24:AL$39,MATCH(Emissions!$D76,'Activity data'!$D$24:$D$39,0))*INDEX(EF!$H$84:$H$99,MATCH(Emissions!$D76,EF!$D$84:$D$99,0))*INDEX(EF!$H$100:$H$115,MATCH(Emissions!$D76,EF!$D$100:$D$115,0))*INDEX(EF!$H$132:$H$147,MATCH(Emissions!$D76,EF!$D$132:$D$147,0))*kgtoGg</f>
        <v>1.6789566813033305E-3</v>
      </c>
      <c r="AM76" s="22">
        <f>INDEX('Activity data'!AM$24:AM$39,MATCH(Emissions!$D76,'Activity data'!$D$24:$D$39,0))*INDEX(EF!$H$84:$H$99,MATCH(Emissions!$D76,EF!$D$84:$D$99,0))*INDEX(EF!$H$100:$H$115,MATCH(Emissions!$D76,EF!$D$100:$D$115,0))*INDEX(EF!$H$132:$H$147,MATCH(Emissions!$D76,EF!$D$132:$D$147,0))*kgtoGg</f>
        <v>1.6870660724150363E-3</v>
      </c>
      <c r="AN76" s="22">
        <f>INDEX('Activity data'!AN$24:AN$39,MATCH(Emissions!$D76,'Activity data'!$D$24:$D$39,0))*INDEX(EF!$H$84:$H$99,MATCH(Emissions!$D76,EF!$D$84:$D$99,0))*INDEX(EF!$H$100:$H$115,MATCH(Emissions!$D76,EF!$D$100:$D$115,0))*INDEX(EF!$H$132:$H$147,MATCH(Emissions!$D76,EF!$D$132:$D$147,0))*kgtoGg</f>
        <v>1.6951754635267421E-3</v>
      </c>
      <c r="AO76" s="22">
        <f>INDEX('Activity data'!AO$24:AO$39,MATCH(Emissions!$D76,'Activity data'!$D$24:$D$39,0))*INDEX(EF!$H$84:$H$99,MATCH(Emissions!$D76,EF!$D$84:$D$99,0))*INDEX(EF!$H$100:$H$115,MATCH(Emissions!$D76,EF!$D$100:$D$115,0))*INDEX(EF!$H$132:$H$147,MATCH(Emissions!$D76,EF!$D$132:$D$147,0))*kgtoGg</f>
        <v>1.7032848546384479E-3</v>
      </c>
      <c r="AP76" s="22">
        <f>INDEX('Activity data'!AP$24:AP$39,MATCH(Emissions!$D76,'Activity data'!$D$24:$D$39,0))*INDEX(EF!$H$84:$H$99,MATCH(Emissions!$D76,EF!$D$84:$D$99,0))*INDEX(EF!$H$100:$H$115,MATCH(Emissions!$D76,EF!$D$100:$D$115,0))*INDEX(EF!$H$132:$H$147,MATCH(Emissions!$D76,EF!$D$132:$D$147,0))*kgtoGg</f>
        <v>1.7113942457501539E-3</v>
      </c>
      <c r="AQ76" s="22">
        <f>INDEX('Activity data'!AQ$24:AQ$39,MATCH(Emissions!$D76,'Activity data'!$D$24:$D$39,0))*INDEX(EF!$H$84:$H$99,MATCH(Emissions!$D76,EF!$D$84:$D$99,0))*INDEX(EF!$H$100:$H$115,MATCH(Emissions!$D76,EF!$D$100:$D$115,0))*INDEX(EF!$H$132:$H$147,MATCH(Emissions!$D76,EF!$D$132:$D$147,0))*kgtoGg</f>
        <v>1.7195036368618597E-3</v>
      </c>
      <c r="AR76" s="22">
        <f>INDEX('Activity data'!AR$24:AR$39,MATCH(Emissions!$D76,'Activity data'!$D$24:$D$39,0))*INDEX(EF!$H$84:$H$99,MATCH(Emissions!$D76,EF!$D$84:$D$99,0))*INDEX(EF!$H$100:$H$115,MATCH(Emissions!$D76,EF!$D$100:$D$115,0))*INDEX(EF!$H$132:$H$147,MATCH(Emissions!$D76,EF!$D$132:$D$147,0))*kgtoGg</f>
        <v>1.7276130279735658E-3</v>
      </c>
      <c r="AS76" s="22">
        <f>INDEX('Activity data'!AS$24:AS$39,MATCH(Emissions!$D76,'Activity data'!$D$24:$D$39,0))*INDEX(EF!$H$84:$H$99,MATCH(Emissions!$D76,EF!$D$84:$D$99,0))*INDEX(EF!$H$100:$H$115,MATCH(Emissions!$D76,EF!$D$100:$D$115,0))*INDEX(EF!$H$132:$H$147,MATCH(Emissions!$D76,EF!$D$132:$D$147,0))*kgtoGg</f>
        <v>1.7357224190852713E-3</v>
      </c>
      <c r="AT76" s="22">
        <f>INDEX('Activity data'!AT$24:AT$39,MATCH(Emissions!$D76,'Activity data'!$D$24:$D$39,0))*INDEX(EF!$H$84:$H$99,MATCH(Emissions!$D76,EF!$D$84:$D$99,0))*INDEX(EF!$H$100:$H$115,MATCH(Emissions!$D76,EF!$D$100:$D$115,0))*INDEX(EF!$H$132:$H$147,MATCH(Emissions!$D76,EF!$D$132:$D$147,0))*kgtoGg</f>
        <v>1.7438318101969772E-3</v>
      </c>
      <c r="AU76" s="22">
        <f>INDEX('Activity data'!AU$24:AU$39,MATCH(Emissions!$D76,'Activity data'!$D$24:$D$39,0))*INDEX(EF!$H$84:$H$99,MATCH(Emissions!$D76,EF!$D$84:$D$99,0))*INDEX(EF!$H$100:$H$115,MATCH(Emissions!$D76,EF!$D$100:$D$115,0))*INDEX(EF!$H$132:$H$147,MATCH(Emissions!$D76,EF!$D$132:$D$147,0))*kgtoGg</f>
        <v>1.751941201308683E-3</v>
      </c>
      <c r="AV76" s="22">
        <f>INDEX('Activity data'!AV$24:AV$39,MATCH(Emissions!$D76,'Activity data'!$D$24:$D$39,0))*INDEX(EF!$H$84:$H$99,MATCH(Emissions!$D76,EF!$D$84:$D$99,0))*INDEX(EF!$H$100:$H$115,MATCH(Emissions!$D76,EF!$D$100:$D$115,0))*INDEX(EF!$H$132:$H$147,MATCH(Emissions!$D76,EF!$D$132:$D$147,0))*kgtoGg</f>
        <v>1.760050592420389E-3</v>
      </c>
      <c r="AW76" s="22">
        <f>INDEX('Activity data'!AW$24:AW$39,MATCH(Emissions!$D76,'Activity data'!$D$24:$D$39,0))*INDEX(EF!$H$84:$H$99,MATCH(Emissions!$D76,EF!$D$84:$D$99,0))*INDEX(EF!$H$100:$H$115,MATCH(Emissions!$D76,EF!$D$100:$D$115,0))*INDEX(EF!$H$132:$H$147,MATCH(Emissions!$D76,EF!$D$132:$D$147,0))*kgtoGg</f>
        <v>1.7681599835320941E-3</v>
      </c>
      <c r="AX76" s="22">
        <f>INDEX('Activity data'!AX$24:AX$39,MATCH(Emissions!$D76,'Activity data'!$D$24:$D$39,0))*INDEX(EF!$H$84:$H$99,MATCH(Emissions!$D76,EF!$D$84:$D$99,0))*INDEX(EF!$H$100:$H$115,MATCH(Emissions!$D76,EF!$D$100:$D$115,0))*INDEX(EF!$H$132:$H$147,MATCH(Emissions!$D76,EF!$D$132:$D$147,0))*kgtoGg</f>
        <v>1.7762693746438002E-3</v>
      </c>
      <c r="AY76" s="22">
        <f>INDEX('Activity data'!AY$24:AY$39,MATCH(Emissions!$D76,'Activity data'!$D$24:$D$39,0))*INDEX(EF!$H$84:$H$99,MATCH(Emissions!$D76,EF!$D$84:$D$99,0))*INDEX(EF!$H$100:$H$115,MATCH(Emissions!$D76,EF!$D$100:$D$115,0))*INDEX(EF!$H$132:$H$147,MATCH(Emissions!$D76,EF!$D$132:$D$147,0))*kgtoGg</f>
        <v>1.7843787657555058E-3</v>
      </c>
      <c r="AZ76" s="22">
        <f>INDEX('Activity data'!AZ$24:AZ$39,MATCH(Emissions!$D76,'Activity data'!$D$24:$D$39,0))*INDEX(EF!$H$84:$H$99,MATCH(Emissions!$D76,EF!$D$84:$D$99,0))*INDEX(EF!$H$100:$H$115,MATCH(Emissions!$D76,EF!$D$100:$D$115,0))*INDEX(EF!$H$132:$H$147,MATCH(Emissions!$D76,EF!$D$132:$D$147,0))*kgtoGg</f>
        <v>1.792488156867212E-3</v>
      </c>
      <c r="BA76" s="22">
        <f>INDEX('Activity data'!BA$24:BA$39,MATCH(Emissions!$D76,'Activity data'!$D$24:$D$39,0))*INDEX(EF!$H$84:$H$99,MATCH(Emissions!$D76,EF!$D$84:$D$99,0))*INDEX(EF!$H$100:$H$115,MATCH(Emissions!$D76,EF!$D$100:$D$115,0))*INDEX(EF!$H$132:$H$147,MATCH(Emissions!$D76,EF!$D$132:$D$147,0))*kgtoGg</f>
        <v>1.8005975479789174E-3</v>
      </c>
      <c r="BB76" s="22">
        <f>INDEX('Activity data'!BB$24:BB$39,MATCH(Emissions!$D76,'Activity data'!$D$24:$D$39,0))*INDEX(EF!$H$84:$H$99,MATCH(Emissions!$D76,EF!$D$84:$D$99,0))*INDEX(EF!$H$100:$H$115,MATCH(Emissions!$D76,EF!$D$100:$D$115,0))*INDEX(EF!$H$132:$H$147,MATCH(Emissions!$D76,EF!$D$132:$D$147,0))*kgtoGg</f>
        <v>1.8087069390906236E-3</v>
      </c>
      <c r="BC76" s="22">
        <f>INDEX('Activity data'!BC$24:BC$39,MATCH(Emissions!$D76,'Activity data'!$D$24:$D$39,0))*INDEX(EF!$H$84:$H$99,MATCH(Emissions!$D76,EF!$D$84:$D$99,0))*INDEX(EF!$H$100:$H$115,MATCH(Emissions!$D76,EF!$D$100:$D$115,0))*INDEX(EF!$H$132:$H$147,MATCH(Emissions!$D76,EF!$D$132:$D$147,0))*kgtoGg</f>
        <v>1.8168163302023292E-3</v>
      </c>
      <c r="BD76" s="22">
        <f>INDEX('Activity data'!BD$24:BD$39,MATCH(Emissions!$D76,'Activity data'!$D$24:$D$39,0))*INDEX(EF!$H$84:$H$99,MATCH(Emissions!$D76,EF!$D$84:$D$99,0))*INDEX(EF!$H$100:$H$115,MATCH(Emissions!$D76,EF!$D$100:$D$115,0))*INDEX(EF!$H$132:$H$147,MATCH(Emissions!$D76,EF!$D$132:$D$147,0))*kgtoGg</f>
        <v>1.8249257213140352E-3</v>
      </c>
      <c r="BE76" s="22">
        <f>INDEX('Activity data'!BE$24:BE$39,MATCH(Emissions!$D76,'Activity data'!$D$24:$D$39,0))*INDEX(EF!$H$84:$H$99,MATCH(Emissions!$D76,EF!$D$84:$D$99,0))*INDEX(EF!$H$100:$H$115,MATCH(Emissions!$D76,EF!$D$100:$D$115,0))*INDEX(EF!$H$132:$H$147,MATCH(Emissions!$D76,EF!$D$132:$D$147,0))*kgtoGg</f>
        <v>1.833035112425741E-3</v>
      </c>
      <c r="BF76" s="22">
        <f>INDEX('Activity data'!BF$24:BF$39,MATCH(Emissions!$D76,'Activity data'!$D$24:$D$39,0))*INDEX(EF!$H$84:$H$99,MATCH(Emissions!$D76,EF!$D$84:$D$99,0))*INDEX(EF!$H$100:$H$115,MATCH(Emissions!$D76,EF!$D$100:$D$115,0))*INDEX(EF!$H$132:$H$147,MATCH(Emissions!$D76,EF!$D$132:$D$147,0))*kgtoGg</f>
        <v>1.8411445035374466E-3</v>
      </c>
      <c r="BG76" s="22">
        <f>INDEX('Activity data'!BG$24:BG$39,MATCH(Emissions!$D76,'Activity data'!$D$24:$D$39,0))*INDEX(EF!$H$84:$H$99,MATCH(Emissions!$D76,EF!$D$84:$D$99,0))*INDEX(EF!$H$100:$H$115,MATCH(Emissions!$D76,EF!$D$100:$D$115,0))*INDEX(EF!$H$132:$H$147,MATCH(Emissions!$D76,EF!$D$132:$D$147,0))*kgtoGg</f>
        <v>1.8492538946491524E-3</v>
      </c>
      <c r="BH76" s="22">
        <f>INDEX('Activity data'!BH$24:BH$39,MATCH(Emissions!$D76,'Activity data'!$D$24:$D$39,0))*INDEX(EF!$H$84:$H$99,MATCH(Emissions!$D76,EF!$D$84:$D$99,0))*INDEX(EF!$H$100:$H$115,MATCH(Emissions!$D76,EF!$D$100:$D$115,0))*INDEX(EF!$H$132:$H$147,MATCH(Emissions!$D76,EF!$D$132:$D$147,0))*kgtoGg</f>
        <v>1.8573632857608582E-3</v>
      </c>
      <c r="BI76" s="22">
        <f>INDEX('Activity data'!BI$24:BI$39,MATCH(Emissions!$D76,'Activity data'!$D$24:$D$39,0))*INDEX(EF!$H$84:$H$99,MATCH(Emissions!$D76,EF!$D$84:$D$99,0))*INDEX(EF!$H$100:$H$115,MATCH(Emissions!$D76,EF!$D$100:$D$115,0))*INDEX(EF!$H$132:$H$147,MATCH(Emissions!$D76,EF!$D$132:$D$147,0))*kgtoGg</f>
        <v>1.8654726768725638E-3</v>
      </c>
      <c r="BJ76" s="22">
        <f>INDEX('Activity data'!BJ$24:BJ$39,MATCH(Emissions!$D76,'Activity data'!$D$24:$D$39,0))*INDEX(EF!$H$84:$H$99,MATCH(Emissions!$D76,EF!$D$84:$D$99,0))*INDEX(EF!$H$100:$H$115,MATCH(Emissions!$D76,EF!$D$100:$D$115,0))*INDEX(EF!$H$132:$H$147,MATCH(Emissions!$D76,EF!$D$132:$D$147,0))*kgtoGg</f>
        <v>1.8735820679842696E-3</v>
      </c>
      <c r="BK76" s="22">
        <f>INDEX('Activity data'!BK$24:BK$39,MATCH(Emissions!$D76,'Activity data'!$D$24:$D$39,0))*INDEX(EF!$H$84:$H$99,MATCH(Emissions!$D76,EF!$D$84:$D$99,0))*INDEX(EF!$H$100:$H$115,MATCH(Emissions!$D76,EF!$D$100:$D$115,0))*INDEX(EF!$H$132:$H$147,MATCH(Emissions!$D76,EF!$D$132:$D$147,0))*kgtoGg</f>
        <v>1.8816914590959754E-3</v>
      </c>
      <c r="BL76" s="22">
        <f>INDEX('Activity data'!BL$24:BL$39,MATCH(Emissions!$D76,'Activity data'!$D$24:$D$39,0))*INDEX(EF!$H$84:$H$99,MATCH(Emissions!$D76,EF!$D$84:$D$99,0))*INDEX(EF!$H$100:$H$115,MATCH(Emissions!$D76,EF!$D$100:$D$115,0))*INDEX(EF!$H$132:$H$147,MATCH(Emissions!$D76,EF!$D$132:$D$147,0))*kgtoGg</f>
        <v>1.889800850207681E-3</v>
      </c>
      <c r="BM76" s="22">
        <f>INDEX('Activity data'!BM$24:BM$39,MATCH(Emissions!$D76,'Activity data'!$D$24:$D$39,0))*INDEX(EF!$H$84:$H$99,MATCH(Emissions!$D76,EF!$D$84:$D$99,0))*INDEX(EF!$H$100:$H$115,MATCH(Emissions!$D76,EF!$D$100:$D$115,0))*INDEX(EF!$H$132:$H$147,MATCH(Emissions!$D76,EF!$D$132:$D$147,0))*kgtoGg</f>
        <v>1.8979102413193868E-3</v>
      </c>
      <c r="BN76" s="22">
        <f>INDEX('Activity data'!BN$24:BN$39,MATCH(Emissions!$D76,'Activity data'!$D$24:$D$39,0))*INDEX(EF!$H$84:$H$99,MATCH(Emissions!$D76,EF!$D$84:$D$99,0))*INDEX(EF!$H$100:$H$115,MATCH(Emissions!$D76,EF!$D$100:$D$115,0))*INDEX(EF!$H$132:$H$147,MATCH(Emissions!$D76,EF!$D$132:$D$147,0))*kgtoGg</f>
        <v>1.9060196324310929E-3</v>
      </c>
      <c r="BO76" s="22">
        <f>INDEX('Activity data'!BO$24:BO$39,MATCH(Emissions!$D76,'Activity data'!$D$24:$D$39,0))*INDEX(EF!$H$84:$H$99,MATCH(Emissions!$D76,EF!$D$84:$D$99,0))*INDEX(EF!$H$100:$H$115,MATCH(Emissions!$D76,EF!$D$100:$D$115,0))*INDEX(EF!$H$132:$H$147,MATCH(Emissions!$D76,EF!$D$132:$D$147,0))*kgtoGg</f>
        <v>1.9141290235427987E-3</v>
      </c>
      <c r="BP76" s="22">
        <f>INDEX('Activity data'!BP$24:BP$39,MATCH(Emissions!$D76,'Activity data'!$D$24:$D$39,0))*INDEX(EF!$H$84:$H$99,MATCH(Emissions!$D76,EF!$D$84:$D$99,0))*INDEX(EF!$H$100:$H$115,MATCH(Emissions!$D76,EF!$D$100:$D$115,0))*INDEX(EF!$H$132:$H$147,MATCH(Emissions!$D76,EF!$D$132:$D$147,0))*kgtoGg</f>
        <v>1.9222384146545043E-3</v>
      </c>
    </row>
    <row r="77" spans="1:68" x14ac:dyDescent="0.25">
      <c r="A77" t="str">
        <f t="shared" si="19"/>
        <v>3C Aggregated and non-CO2 emissions on land</v>
      </c>
      <c r="B77" t="str">
        <f t="shared" si="26"/>
        <v>3C1 Biomass burning (N2O)</v>
      </c>
      <c r="C77" t="str">
        <f t="shared" si="25"/>
        <v>3C1b Biomass burning in Croplands</v>
      </c>
      <c r="D77" t="str">
        <f>EF!D107</f>
        <v>Perennial vineyards</v>
      </c>
      <c r="E77" t="s">
        <v>654</v>
      </c>
      <c r="F77" t="str">
        <f t="shared" si="27"/>
        <v>N2O</v>
      </c>
      <c r="G77" t="str">
        <f t="shared" si="28"/>
        <v>Gg N2O</v>
      </c>
      <c r="H77" s="22">
        <f>INDEX('Activity data'!H$24:H$39,MATCH(Emissions!$D77,'Activity data'!$D$24:$D$39,0))*INDEX(EF!$H$84:$H$99,MATCH(Emissions!$D77,EF!$D$84:$D$99,0))*INDEX(EF!$H$100:$H$115,MATCH(Emissions!$D77,EF!$D$100:$D$115,0))*INDEX(EF!$H$132:$H$147,MATCH(Emissions!$D77,EF!$D$132:$D$147,0))*kgtoGg</f>
        <v>3.1883809832337033E-4</v>
      </c>
      <c r="I77" s="22">
        <f>INDEX('Activity data'!I$24:I$39,MATCH(Emissions!$D77,'Activity data'!$D$24:$D$39,0))*INDEX(EF!$H$84:$H$99,MATCH(Emissions!$D77,EF!$D$84:$D$99,0))*INDEX(EF!$H$100:$H$115,MATCH(Emissions!$D77,EF!$D$100:$D$115,0))*INDEX(EF!$H$132:$H$147,MATCH(Emissions!$D77,EF!$D$132:$D$147,0))*kgtoGg</f>
        <v>3.1883809832337033E-4</v>
      </c>
      <c r="J77" s="22">
        <f>INDEX('Activity data'!J$24:J$39,MATCH(Emissions!$D77,'Activity data'!$D$24:$D$39,0))*INDEX(EF!$H$84:$H$99,MATCH(Emissions!$D77,EF!$D$84:$D$99,0))*INDEX(EF!$H$100:$H$115,MATCH(Emissions!$D77,EF!$D$100:$D$115,0))*INDEX(EF!$H$132:$H$147,MATCH(Emissions!$D77,EF!$D$132:$D$147,0))*kgtoGg</f>
        <v>3.1883809832337033E-4</v>
      </c>
      <c r="K77" s="22">
        <f>INDEX('Activity data'!K$24:K$39,MATCH(Emissions!$D77,'Activity data'!$D$24:$D$39,0))*INDEX(EF!$H$84:$H$99,MATCH(Emissions!$D77,EF!$D$84:$D$99,0))*INDEX(EF!$H$100:$H$115,MATCH(Emissions!$D77,EF!$D$100:$D$115,0))*INDEX(EF!$H$132:$H$147,MATCH(Emissions!$D77,EF!$D$132:$D$147,0))*kgtoGg</f>
        <v>3.1883809832337033E-4</v>
      </c>
      <c r="L77" s="22">
        <f>INDEX('Activity data'!L$24:L$39,MATCH(Emissions!$D77,'Activity data'!$D$24:$D$39,0))*INDEX(EF!$H$84:$H$99,MATCH(Emissions!$D77,EF!$D$84:$D$99,0))*INDEX(EF!$H$100:$H$115,MATCH(Emissions!$D77,EF!$D$100:$D$115,0))*INDEX(EF!$H$132:$H$147,MATCH(Emissions!$D77,EF!$D$132:$D$147,0))*kgtoGg</f>
        <v>3.1883809832337033E-4</v>
      </c>
      <c r="M77" s="22">
        <f>INDEX('Activity data'!M$24:M$39,MATCH(Emissions!$D77,'Activity data'!$D$24:$D$39,0))*INDEX(EF!$H$84:$H$99,MATCH(Emissions!$D77,EF!$D$84:$D$99,0))*INDEX(EF!$H$100:$H$115,MATCH(Emissions!$D77,EF!$D$100:$D$115,0))*INDEX(EF!$H$132:$H$147,MATCH(Emissions!$D77,EF!$D$132:$D$147,0))*kgtoGg</f>
        <v>3.1883809832337033E-4</v>
      </c>
      <c r="N77" s="22">
        <f>INDEX('Activity data'!N$24:N$39,MATCH(Emissions!$D77,'Activity data'!$D$24:$D$39,0))*INDEX(EF!$H$84:$H$99,MATCH(Emissions!$D77,EF!$D$84:$D$99,0))*INDEX(EF!$H$100:$H$115,MATCH(Emissions!$D77,EF!$D$100:$D$115,0))*INDEX(EF!$H$132:$H$147,MATCH(Emissions!$D77,EF!$D$132:$D$147,0))*kgtoGg</f>
        <v>3.1883809832337033E-4</v>
      </c>
      <c r="O77" s="22">
        <f>INDEX('Activity data'!O$24:O$39,MATCH(Emissions!$D77,'Activity data'!$D$24:$D$39,0))*INDEX(EF!$H$84:$H$99,MATCH(Emissions!$D77,EF!$D$84:$D$99,0))*INDEX(EF!$H$100:$H$115,MATCH(Emissions!$D77,EF!$D$100:$D$115,0))*INDEX(EF!$H$132:$H$147,MATCH(Emissions!$D77,EF!$D$132:$D$147,0))*kgtoGg</f>
        <v>3.1883809832337033E-4</v>
      </c>
      <c r="P77" s="22">
        <f>INDEX('Activity data'!P$24:P$39,MATCH(Emissions!$D77,'Activity data'!$D$24:$D$39,0))*INDEX(EF!$H$84:$H$99,MATCH(Emissions!$D77,EF!$D$84:$D$99,0))*INDEX(EF!$H$100:$H$115,MATCH(Emissions!$D77,EF!$D$100:$D$115,0))*INDEX(EF!$H$132:$H$147,MATCH(Emissions!$D77,EF!$D$132:$D$147,0))*kgtoGg</f>
        <v>3.1883809832337033E-4</v>
      </c>
      <c r="Q77" s="22">
        <f>INDEX('Activity data'!Q$24:Q$39,MATCH(Emissions!$D77,'Activity data'!$D$24:$D$39,0))*INDEX(EF!$H$84:$H$99,MATCH(Emissions!$D77,EF!$D$84:$D$99,0))*INDEX(EF!$H$100:$H$115,MATCH(Emissions!$D77,EF!$D$100:$D$115,0))*INDEX(EF!$H$132:$H$147,MATCH(Emissions!$D77,EF!$D$132:$D$147,0))*kgtoGg</f>
        <v>3.1883809832337033E-4</v>
      </c>
      <c r="R77" s="22">
        <f>INDEX('Activity data'!R$24:R$39,MATCH(Emissions!$D77,'Activity data'!$D$24:$D$39,0))*INDEX(EF!$H$84:$H$99,MATCH(Emissions!$D77,EF!$D$84:$D$99,0))*INDEX(EF!$H$100:$H$115,MATCH(Emissions!$D77,EF!$D$100:$D$115,0))*INDEX(EF!$H$132:$H$147,MATCH(Emissions!$D77,EF!$D$132:$D$147,0))*kgtoGg</f>
        <v>4.9747788390880473E-4</v>
      </c>
      <c r="S77" s="22">
        <f>INDEX('Activity data'!S$24:S$39,MATCH(Emissions!$D77,'Activity data'!$D$24:$D$39,0))*INDEX(EF!$H$84:$H$99,MATCH(Emissions!$D77,EF!$D$84:$D$99,0))*INDEX(EF!$H$100:$H$115,MATCH(Emissions!$D77,EF!$D$100:$D$115,0))*INDEX(EF!$H$132:$H$147,MATCH(Emissions!$D77,EF!$D$132:$D$147,0))*kgtoGg</f>
        <v>3.2788315075807579E-4</v>
      </c>
      <c r="T77" s="22">
        <f>INDEX('Activity data'!T$24:T$39,MATCH(Emissions!$D77,'Activity data'!$D$24:$D$39,0))*INDEX(EF!$H$84:$H$99,MATCH(Emissions!$D77,EF!$D$84:$D$99,0))*INDEX(EF!$H$100:$H$115,MATCH(Emissions!$D77,EF!$D$100:$D$115,0))*INDEX(EF!$H$132:$H$147,MATCH(Emissions!$D77,EF!$D$132:$D$147,0))*kgtoGg</f>
        <v>2.600452574977842E-4</v>
      </c>
      <c r="U77" s="22">
        <f>INDEX('Activity data'!U$24:U$39,MATCH(Emissions!$D77,'Activity data'!$D$24:$D$39,0))*INDEX(EF!$H$84:$H$99,MATCH(Emissions!$D77,EF!$D$84:$D$99,0))*INDEX(EF!$H$100:$H$115,MATCH(Emissions!$D77,EF!$D$100:$D$115,0))*INDEX(EF!$H$132:$H$147,MATCH(Emissions!$D77,EF!$D$132:$D$147,0))*kgtoGg</f>
        <v>4.0702735956174937E-4</v>
      </c>
      <c r="V77" s="22">
        <f>INDEX('Activity data'!V$24:V$39,MATCH(Emissions!$D77,'Activity data'!$D$24:$D$39,0))*INDEX(EF!$H$84:$H$99,MATCH(Emissions!$D77,EF!$D$84:$D$99,0))*INDEX(EF!$H$100:$H$115,MATCH(Emissions!$D77,EF!$D$100:$D$115,0))*INDEX(EF!$H$132:$H$147,MATCH(Emissions!$D77,EF!$D$132:$D$147,0))*kgtoGg</f>
        <v>1.0175683989043734E-4</v>
      </c>
      <c r="W77" s="22">
        <f>INDEX('Activity data'!W$24:W$39,MATCH(Emissions!$D77,'Activity data'!$D$24:$D$39,0))*INDEX(EF!$H$84:$H$99,MATCH(Emissions!$D77,EF!$D$84:$D$99,0))*INDEX(EF!$H$100:$H$115,MATCH(Emissions!$D77,EF!$D$100:$D$115,0))*INDEX(EF!$H$132:$H$147,MATCH(Emissions!$D77,EF!$D$132:$D$147,0))*kgtoGg</f>
        <v>2.8265788858454824E-4</v>
      </c>
      <c r="X77" s="22">
        <f>INDEX('Activity data'!X$24:X$39,MATCH(Emissions!$D77,'Activity data'!$D$24:$D$39,0))*INDEX(EF!$H$84:$H$99,MATCH(Emissions!$D77,EF!$D$84:$D$99,0))*INDEX(EF!$H$100:$H$115,MATCH(Emissions!$D77,EF!$D$100:$D$115,0))*INDEX(EF!$H$132:$H$147,MATCH(Emissions!$D77,EF!$D$132:$D$147,0))*kgtoGg</f>
        <v>5.6531577716909648E-4</v>
      </c>
      <c r="Y77" s="22">
        <f>INDEX('Activity data'!Y$24:Y$39,MATCH(Emissions!$D77,'Activity data'!$D$24:$D$39,0))*INDEX(EF!$H$84:$H$99,MATCH(Emissions!$D77,EF!$D$84:$D$99,0))*INDEX(EF!$H$100:$H$115,MATCH(Emissions!$D77,EF!$D$100:$D$115,0))*INDEX(EF!$H$132:$H$147,MATCH(Emissions!$D77,EF!$D$132:$D$147,0))*kgtoGg</f>
        <v>2.7135157304116619E-4</v>
      </c>
      <c r="Z77" s="22">
        <f>INDEX('Activity data'!Z$24:Z$39,MATCH(Emissions!$D77,'Activity data'!$D$24:$D$39,0))*INDEX(EF!$H$84:$H$99,MATCH(Emissions!$D77,EF!$D$84:$D$99,0))*INDEX(EF!$H$100:$H$115,MATCH(Emissions!$D77,EF!$D$100:$D$115,0))*INDEX(EF!$H$132:$H$147,MATCH(Emissions!$D77,EF!$D$132:$D$147,0))*kgtoGg</f>
        <v>2.0351367978087469E-4</v>
      </c>
      <c r="AA77" s="22">
        <f>INDEX('Activity data'!AA$24:AA$39,MATCH(Emissions!$D77,'Activity data'!$D$24:$D$39,0))*INDEX(EF!$H$84:$H$99,MATCH(Emissions!$D77,EF!$D$84:$D$99,0))*INDEX(EF!$H$100:$H$115,MATCH(Emissions!$D77,EF!$D$100:$D$115,0))*INDEX(EF!$H$132:$H$147,MATCH(Emissions!$D77,EF!$D$132:$D$147,0))*kgtoGg</f>
        <v>3.0527051967131201E-4</v>
      </c>
      <c r="AB77" s="22">
        <f>INDEX('Activity data'!AB$24:AB$39,MATCH(Emissions!$D77,'Activity data'!$D$24:$D$39,0))*INDEX(EF!$H$84:$H$99,MATCH(Emissions!$D77,EF!$D$84:$D$99,0))*INDEX(EF!$H$100:$H$115,MATCH(Emissions!$D77,EF!$D$100:$D$115,0))*INDEX(EF!$H$132:$H$147,MATCH(Emissions!$D77,EF!$D$132:$D$147,0))*kgtoGg</f>
        <v>5.0670899999999994E-4</v>
      </c>
      <c r="AC77" s="22">
        <f>INDEX('Activity data'!AC$24:AC$39,MATCH(Emissions!$D77,'Activity data'!$D$24:$D$39,0))*INDEX(EF!$H$84:$H$99,MATCH(Emissions!$D77,EF!$D$84:$D$99,0))*INDEX(EF!$H$100:$H$115,MATCH(Emissions!$D77,EF!$D$100:$D$115,0))*INDEX(EF!$H$132:$H$147,MATCH(Emissions!$D77,EF!$D$132:$D$147,0))*kgtoGg</f>
        <v>1.3369797000000003E-3</v>
      </c>
      <c r="AD77" s="22">
        <f>INDEX('Activity data'!AD$24:AD$39,MATCH(Emissions!$D77,'Activity data'!$D$24:$D$39,0))*INDEX(EF!$H$84:$H$99,MATCH(Emissions!$D77,EF!$D$84:$D$99,0))*INDEX(EF!$H$100:$H$115,MATCH(Emissions!$D77,EF!$D$100:$D$115,0))*INDEX(EF!$H$132:$H$147,MATCH(Emissions!$D77,EF!$D$132:$D$147,0))*kgtoGg</f>
        <v>4.3710094215939618E-4</v>
      </c>
      <c r="AE77" s="22">
        <f>INDEX('Activity data'!AE$24:AE$39,MATCH(Emissions!$D77,'Activity data'!$D$24:$D$39,0))*INDEX(EF!$H$84:$H$99,MATCH(Emissions!$D77,EF!$D$84:$D$99,0))*INDEX(EF!$H$100:$H$115,MATCH(Emissions!$D77,EF!$D$100:$D$115,0))*INDEX(EF!$H$132:$H$147,MATCH(Emissions!$D77,EF!$D$132:$D$147,0))*kgtoGg</f>
        <v>4.3997905246480524E-4</v>
      </c>
      <c r="AF77" s="22">
        <f>INDEX('Activity data'!AF$24:AF$39,MATCH(Emissions!$D77,'Activity data'!$D$24:$D$39,0))*INDEX(EF!$H$84:$H$99,MATCH(Emissions!$D77,EF!$D$84:$D$99,0))*INDEX(EF!$H$100:$H$115,MATCH(Emissions!$D77,EF!$D$100:$D$115,0))*INDEX(EF!$H$132:$H$147,MATCH(Emissions!$D77,EF!$D$132:$D$147,0))*kgtoGg</f>
        <v>4.4285716277021425E-4</v>
      </c>
      <c r="AG77" s="22">
        <f>INDEX('Activity data'!AG$24:AG$39,MATCH(Emissions!$D77,'Activity data'!$D$24:$D$39,0))*INDEX(EF!$H$84:$H$99,MATCH(Emissions!$D77,EF!$D$84:$D$99,0))*INDEX(EF!$H$100:$H$115,MATCH(Emissions!$D77,EF!$D$100:$D$115,0))*INDEX(EF!$H$132:$H$147,MATCH(Emissions!$D77,EF!$D$132:$D$147,0))*kgtoGg</f>
        <v>4.4573527307562326E-4</v>
      </c>
      <c r="AH77" s="22">
        <f>INDEX('Activity data'!AH$24:AH$39,MATCH(Emissions!$D77,'Activity data'!$D$24:$D$39,0))*INDEX(EF!$H$84:$H$99,MATCH(Emissions!$D77,EF!$D$84:$D$99,0))*INDEX(EF!$H$100:$H$115,MATCH(Emissions!$D77,EF!$D$100:$D$115,0))*INDEX(EF!$H$132:$H$147,MATCH(Emissions!$D77,EF!$D$132:$D$147,0))*kgtoGg</f>
        <v>4.4861338338103221E-4</v>
      </c>
      <c r="AI77" s="22">
        <f>INDEX('Activity data'!AI$24:AI$39,MATCH(Emissions!$D77,'Activity data'!$D$24:$D$39,0))*INDEX(EF!$H$84:$H$99,MATCH(Emissions!$D77,EF!$D$84:$D$99,0))*INDEX(EF!$H$100:$H$115,MATCH(Emissions!$D77,EF!$D$100:$D$115,0))*INDEX(EF!$H$132:$H$147,MATCH(Emissions!$D77,EF!$D$132:$D$147,0))*kgtoGg</f>
        <v>4.5149149368644122E-4</v>
      </c>
      <c r="AJ77" s="22">
        <f>INDEX('Activity data'!AJ$24:AJ$39,MATCH(Emissions!$D77,'Activity data'!$D$24:$D$39,0))*INDEX(EF!$H$84:$H$99,MATCH(Emissions!$D77,EF!$D$84:$D$99,0))*INDEX(EF!$H$100:$H$115,MATCH(Emissions!$D77,EF!$D$100:$D$115,0))*INDEX(EF!$H$132:$H$147,MATCH(Emissions!$D77,EF!$D$132:$D$147,0))*kgtoGg</f>
        <v>4.5436960399185023E-4</v>
      </c>
      <c r="AK77" s="22">
        <f>INDEX('Activity data'!AK$24:AK$39,MATCH(Emissions!$D77,'Activity data'!$D$24:$D$39,0))*INDEX(EF!$H$84:$H$99,MATCH(Emissions!$D77,EF!$D$84:$D$99,0))*INDEX(EF!$H$100:$H$115,MATCH(Emissions!$D77,EF!$D$100:$D$115,0))*INDEX(EF!$H$132:$H$147,MATCH(Emissions!$D77,EF!$D$132:$D$147,0))*kgtoGg</f>
        <v>4.5683114024058574E-4</v>
      </c>
      <c r="AL77" s="22">
        <f>INDEX('Activity data'!AL$24:AL$39,MATCH(Emissions!$D77,'Activity data'!$D$24:$D$39,0))*INDEX(EF!$H$84:$H$99,MATCH(Emissions!$D77,EF!$D$84:$D$99,0))*INDEX(EF!$H$100:$H$115,MATCH(Emissions!$D77,EF!$D$100:$D$115,0))*INDEX(EF!$H$132:$H$147,MATCH(Emissions!$D77,EF!$D$132:$D$147,0))*kgtoGg</f>
        <v>4.5929267648932119E-4</v>
      </c>
      <c r="AM77" s="22">
        <f>INDEX('Activity data'!AM$24:AM$39,MATCH(Emissions!$D77,'Activity data'!$D$24:$D$39,0))*INDEX(EF!$H$84:$H$99,MATCH(Emissions!$D77,EF!$D$84:$D$99,0))*INDEX(EF!$H$100:$H$115,MATCH(Emissions!$D77,EF!$D$100:$D$115,0))*INDEX(EF!$H$132:$H$147,MATCH(Emissions!$D77,EF!$D$132:$D$147,0))*kgtoGg</f>
        <v>4.617542127380567E-4</v>
      </c>
      <c r="AN77" s="22">
        <f>INDEX('Activity data'!AN$24:AN$39,MATCH(Emissions!$D77,'Activity data'!$D$24:$D$39,0))*INDEX(EF!$H$84:$H$99,MATCH(Emissions!$D77,EF!$D$84:$D$99,0))*INDEX(EF!$H$100:$H$115,MATCH(Emissions!$D77,EF!$D$100:$D$115,0))*INDEX(EF!$H$132:$H$147,MATCH(Emissions!$D77,EF!$D$132:$D$147,0))*kgtoGg</f>
        <v>4.6421574898679216E-4</v>
      </c>
      <c r="AO77" s="22">
        <f>INDEX('Activity data'!AO$24:AO$39,MATCH(Emissions!$D77,'Activity data'!$D$24:$D$39,0))*INDEX(EF!$H$84:$H$99,MATCH(Emissions!$D77,EF!$D$84:$D$99,0))*INDEX(EF!$H$100:$H$115,MATCH(Emissions!$D77,EF!$D$100:$D$115,0))*INDEX(EF!$H$132:$H$147,MATCH(Emissions!$D77,EF!$D$132:$D$147,0))*kgtoGg</f>
        <v>4.6667728523552767E-4</v>
      </c>
      <c r="AP77" s="22">
        <f>INDEX('Activity data'!AP$24:AP$39,MATCH(Emissions!$D77,'Activity data'!$D$24:$D$39,0))*INDEX(EF!$H$84:$H$99,MATCH(Emissions!$D77,EF!$D$84:$D$99,0))*INDEX(EF!$H$100:$H$115,MATCH(Emissions!$D77,EF!$D$100:$D$115,0))*INDEX(EF!$H$132:$H$147,MATCH(Emissions!$D77,EF!$D$132:$D$147,0))*kgtoGg</f>
        <v>4.6913882148426312E-4</v>
      </c>
      <c r="AQ77" s="22">
        <f>INDEX('Activity data'!AQ$24:AQ$39,MATCH(Emissions!$D77,'Activity data'!$D$24:$D$39,0))*INDEX(EF!$H$84:$H$99,MATCH(Emissions!$D77,EF!$D$84:$D$99,0))*INDEX(EF!$H$100:$H$115,MATCH(Emissions!$D77,EF!$D$100:$D$115,0))*INDEX(EF!$H$132:$H$147,MATCH(Emissions!$D77,EF!$D$132:$D$147,0))*kgtoGg</f>
        <v>4.7160035773299863E-4</v>
      </c>
      <c r="AR77" s="22">
        <f>INDEX('Activity data'!AR$24:AR$39,MATCH(Emissions!$D77,'Activity data'!$D$24:$D$39,0))*INDEX(EF!$H$84:$H$99,MATCH(Emissions!$D77,EF!$D$84:$D$99,0))*INDEX(EF!$H$100:$H$115,MATCH(Emissions!$D77,EF!$D$100:$D$115,0))*INDEX(EF!$H$132:$H$147,MATCH(Emissions!$D77,EF!$D$132:$D$147,0))*kgtoGg</f>
        <v>4.7406189398173403E-4</v>
      </c>
      <c r="AS77" s="22">
        <f>INDEX('Activity data'!AS$24:AS$39,MATCH(Emissions!$D77,'Activity data'!$D$24:$D$39,0))*INDEX(EF!$H$84:$H$99,MATCH(Emissions!$D77,EF!$D$84:$D$99,0))*INDEX(EF!$H$100:$H$115,MATCH(Emissions!$D77,EF!$D$100:$D$115,0))*INDEX(EF!$H$132:$H$147,MATCH(Emissions!$D77,EF!$D$132:$D$147,0))*kgtoGg</f>
        <v>4.7652343023046954E-4</v>
      </c>
      <c r="AT77" s="22">
        <f>INDEX('Activity data'!AT$24:AT$39,MATCH(Emissions!$D77,'Activity data'!$D$24:$D$39,0))*INDEX(EF!$H$84:$H$99,MATCH(Emissions!$D77,EF!$D$84:$D$99,0))*INDEX(EF!$H$100:$H$115,MATCH(Emissions!$D77,EF!$D$100:$D$115,0))*INDEX(EF!$H$132:$H$147,MATCH(Emissions!$D77,EF!$D$132:$D$147,0))*kgtoGg</f>
        <v>4.78984966479205E-4</v>
      </c>
      <c r="AU77" s="22">
        <f>INDEX('Activity data'!AU$24:AU$39,MATCH(Emissions!$D77,'Activity data'!$D$24:$D$39,0))*INDEX(EF!$H$84:$H$99,MATCH(Emissions!$D77,EF!$D$84:$D$99,0))*INDEX(EF!$H$100:$H$115,MATCH(Emissions!$D77,EF!$D$100:$D$115,0))*INDEX(EF!$H$132:$H$147,MATCH(Emissions!$D77,EF!$D$132:$D$147,0))*kgtoGg</f>
        <v>4.8144650272794051E-4</v>
      </c>
      <c r="AV77" s="22">
        <f>INDEX('Activity data'!AV$24:AV$39,MATCH(Emissions!$D77,'Activity data'!$D$24:$D$39,0))*INDEX(EF!$H$84:$H$99,MATCH(Emissions!$D77,EF!$D$84:$D$99,0))*INDEX(EF!$H$100:$H$115,MATCH(Emissions!$D77,EF!$D$100:$D$115,0))*INDEX(EF!$H$132:$H$147,MATCH(Emissions!$D77,EF!$D$132:$D$147,0))*kgtoGg</f>
        <v>4.8390803897667596E-4</v>
      </c>
      <c r="AW77" s="22">
        <f>INDEX('Activity data'!AW$24:AW$39,MATCH(Emissions!$D77,'Activity data'!$D$24:$D$39,0))*INDEX(EF!$H$84:$H$99,MATCH(Emissions!$D77,EF!$D$84:$D$99,0))*INDEX(EF!$H$100:$H$115,MATCH(Emissions!$D77,EF!$D$100:$D$115,0))*INDEX(EF!$H$132:$H$147,MATCH(Emissions!$D77,EF!$D$132:$D$147,0))*kgtoGg</f>
        <v>4.8636957522541152E-4</v>
      </c>
      <c r="AX77" s="22">
        <f>INDEX('Activity data'!AX$24:AX$39,MATCH(Emissions!$D77,'Activity data'!$D$24:$D$39,0))*INDEX(EF!$H$84:$H$99,MATCH(Emissions!$D77,EF!$D$84:$D$99,0))*INDEX(EF!$H$100:$H$115,MATCH(Emissions!$D77,EF!$D$100:$D$115,0))*INDEX(EF!$H$132:$H$147,MATCH(Emissions!$D77,EF!$D$132:$D$147,0))*kgtoGg</f>
        <v>4.8883111147414698E-4</v>
      </c>
      <c r="AY77" s="22">
        <f>INDEX('Activity data'!AY$24:AY$39,MATCH(Emissions!$D77,'Activity data'!$D$24:$D$39,0))*INDEX(EF!$H$84:$H$99,MATCH(Emissions!$D77,EF!$D$84:$D$99,0))*INDEX(EF!$H$100:$H$115,MATCH(Emissions!$D77,EF!$D$100:$D$115,0))*INDEX(EF!$H$132:$H$147,MATCH(Emissions!$D77,EF!$D$132:$D$147,0))*kgtoGg</f>
        <v>4.9129264772288244E-4</v>
      </c>
      <c r="AZ77" s="22">
        <f>INDEX('Activity data'!AZ$24:AZ$39,MATCH(Emissions!$D77,'Activity data'!$D$24:$D$39,0))*INDEX(EF!$H$84:$H$99,MATCH(Emissions!$D77,EF!$D$84:$D$99,0))*INDEX(EF!$H$100:$H$115,MATCH(Emissions!$D77,EF!$D$100:$D$115,0))*INDEX(EF!$H$132:$H$147,MATCH(Emissions!$D77,EF!$D$132:$D$147,0))*kgtoGg</f>
        <v>4.9375418397161789E-4</v>
      </c>
      <c r="BA77" s="22">
        <f>INDEX('Activity data'!BA$24:BA$39,MATCH(Emissions!$D77,'Activity data'!$D$24:$D$39,0))*INDEX(EF!$H$84:$H$99,MATCH(Emissions!$D77,EF!$D$84:$D$99,0))*INDEX(EF!$H$100:$H$115,MATCH(Emissions!$D77,EF!$D$100:$D$115,0))*INDEX(EF!$H$132:$H$147,MATCH(Emissions!$D77,EF!$D$132:$D$147,0))*kgtoGg</f>
        <v>4.9621572022035345E-4</v>
      </c>
      <c r="BB77" s="22">
        <f>INDEX('Activity data'!BB$24:BB$39,MATCH(Emissions!$D77,'Activity data'!$D$24:$D$39,0))*INDEX(EF!$H$84:$H$99,MATCH(Emissions!$D77,EF!$D$84:$D$99,0))*INDEX(EF!$H$100:$H$115,MATCH(Emissions!$D77,EF!$D$100:$D$115,0))*INDEX(EF!$H$132:$H$147,MATCH(Emissions!$D77,EF!$D$132:$D$147,0))*kgtoGg</f>
        <v>4.9867725646908902E-4</v>
      </c>
      <c r="BC77" s="22">
        <f>INDEX('Activity data'!BC$24:BC$39,MATCH(Emissions!$D77,'Activity data'!$D$24:$D$39,0))*INDEX(EF!$H$84:$H$99,MATCH(Emissions!$D77,EF!$D$84:$D$99,0))*INDEX(EF!$H$100:$H$115,MATCH(Emissions!$D77,EF!$D$100:$D$115,0))*INDEX(EF!$H$132:$H$147,MATCH(Emissions!$D77,EF!$D$132:$D$147,0))*kgtoGg</f>
        <v>5.0113879271782436E-4</v>
      </c>
      <c r="BD77" s="22">
        <f>INDEX('Activity data'!BD$24:BD$39,MATCH(Emissions!$D77,'Activity data'!$D$24:$D$39,0))*INDEX(EF!$H$84:$H$99,MATCH(Emissions!$D77,EF!$D$84:$D$99,0))*INDEX(EF!$H$100:$H$115,MATCH(Emissions!$D77,EF!$D$100:$D$115,0))*INDEX(EF!$H$132:$H$147,MATCH(Emissions!$D77,EF!$D$132:$D$147,0))*kgtoGg</f>
        <v>5.0360032896655982E-4</v>
      </c>
      <c r="BE77" s="22">
        <f>INDEX('Activity data'!BE$24:BE$39,MATCH(Emissions!$D77,'Activity data'!$D$24:$D$39,0))*INDEX(EF!$H$84:$H$99,MATCH(Emissions!$D77,EF!$D$84:$D$99,0))*INDEX(EF!$H$100:$H$115,MATCH(Emissions!$D77,EF!$D$100:$D$115,0))*INDEX(EF!$H$132:$H$147,MATCH(Emissions!$D77,EF!$D$132:$D$147,0))*kgtoGg</f>
        <v>5.0606186521529528E-4</v>
      </c>
      <c r="BF77" s="22">
        <f>INDEX('Activity data'!BF$24:BF$39,MATCH(Emissions!$D77,'Activity data'!$D$24:$D$39,0))*INDEX(EF!$H$84:$H$99,MATCH(Emissions!$D77,EF!$D$84:$D$99,0))*INDEX(EF!$H$100:$H$115,MATCH(Emissions!$D77,EF!$D$100:$D$115,0))*INDEX(EF!$H$132:$H$147,MATCH(Emissions!$D77,EF!$D$132:$D$147,0))*kgtoGg</f>
        <v>5.0852340146403095E-4</v>
      </c>
      <c r="BG77" s="22">
        <f>INDEX('Activity data'!BG$24:BG$39,MATCH(Emissions!$D77,'Activity data'!$D$24:$D$39,0))*INDEX(EF!$H$84:$H$99,MATCH(Emissions!$D77,EF!$D$84:$D$99,0))*INDEX(EF!$H$100:$H$115,MATCH(Emissions!$D77,EF!$D$100:$D$115,0))*INDEX(EF!$H$132:$H$147,MATCH(Emissions!$D77,EF!$D$132:$D$147,0))*kgtoGg</f>
        <v>5.109849377127664E-4</v>
      </c>
      <c r="BH77" s="22">
        <f>INDEX('Activity data'!BH$24:BH$39,MATCH(Emissions!$D77,'Activity data'!$D$24:$D$39,0))*INDEX(EF!$H$84:$H$99,MATCH(Emissions!$D77,EF!$D$84:$D$99,0))*INDEX(EF!$H$100:$H$115,MATCH(Emissions!$D77,EF!$D$100:$D$115,0))*INDEX(EF!$H$132:$H$147,MATCH(Emissions!$D77,EF!$D$132:$D$147,0))*kgtoGg</f>
        <v>5.1344647396150197E-4</v>
      </c>
      <c r="BI77" s="22">
        <f>INDEX('Activity data'!BI$24:BI$39,MATCH(Emissions!$D77,'Activity data'!$D$24:$D$39,0))*INDEX(EF!$H$84:$H$99,MATCH(Emissions!$D77,EF!$D$84:$D$99,0))*INDEX(EF!$H$100:$H$115,MATCH(Emissions!$D77,EF!$D$100:$D$115,0))*INDEX(EF!$H$132:$H$147,MATCH(Emissions!$D77,EF!$D$132:$D$147,0))*kgtoGg</f>
        <v>5.159080102102372E-4</v>
      </c>
      <c r="BJ77" s="22">
        <f>INDEX('Activity data'!BJ$24:BJ$39,MATCH(Emissions!$D77,'Activity data'!$D$24:$D$39,0))*INDEX(EF!$H$84:$H$99,MATCH(Emissions!$D77,EF!$D$84:$D$99,0))*INDEX(EF!$H$100:$H$115,MATCH(Emissions!$D77,EF!$D$100:$D$115,0))*INDEX(EF!$H$132:$H$147,MATCH(Emissions!$D77,EF!$D$132:$D$147,0))*kgtoGg</f>
        <v>5.1836954645897277E-4</v>
      </c>
      <c r="BK77" s="22">
        <f>INDEX('Activity data'!BK$24:BK$39,MATCH(Emissions!$D77,'Activity data'!$D$24:$D$39,0))*INDEX(EF!$H$84:$H$99,MATCH(Emissions!$D77,EF!$D$84:$D$99,0))*INDEX(EF!$H$100:$H$115,MATCH(Emissions!$D77,EF!$D$100:$D$115,0))*INDEX(EF!$H$132:$H$147,MATCH(Emissions!$D77,EF!$D$132:$D$147,0))*kgtoGg</f>
        <v>5.2083108270770822E-4</v>
      </c>
      <c r="BL77" s="22">
        <f>INDEX('Activity data'!BL$24:BL$39,MATCH(Emissions!$D77,'Activity data'!$D$24:$D$39,0))*INDEX(EF!$H$84:$H$99,MATCH(Emissions!$D77,EF!$D$84:$D$99,0))*INDEX(EF!$H$100:$H$115,MATCH(Emissions!$D77,EF!$D$100:$D$115,0))*INDEX(EF!$H$132:$H$147,MATCH(Emissions!$D77,EF!$D$132:$D$147,0))*kgtoGg</f>
        <v>5.2329261895644368E-4</v>
      </c>
      <c r="BM77" s="22">
        <f>INDEX('Activity data'!BM$24:BM$39,MATCH(Emissions!$D77,'Activity data'!$D$24:$D$39,0))*INDEX(EF!$H$84:$H$99,MATCH(Emissions!$D77,EF!$D$84:$D$99,0))*INDEX(EF!$H$100:$H$115,MATCH(Emissions!$D77,EF!$D$100:$D$115,0))*INDEX(EF!$H$132:$H$147,MATCH(Emissions!$D77,EF!$D$132:$D$147,0))*kgtoGg</f>
        <v>5.2575415520517913E-4</v>
      </c>
      <c r="BN77" s="22">
        <f>INDEX('Activity data'!BN$24:BN$39,MATCH(Emissions!$D77,'Activity data'!$D$24:$D$39,0))*INDEX(EF!$H$84:$H$99,MATCH(Emissions!$D77,EF!$D$84:$D$99,0))*INDEX(EF!$H$100:$H$115,MATCH(Emissions!$D77,EF!$D$100:$D$115,0))*INDEX(EF!$H$132:$H$147,MATCH(Emissions!$D77,EF!$D$132:$D$147,0))*kgtoGg</f>
        <v>5.282156914539147E-4</v>
      </c>
      <c r="BO77" s="22">
        <f>INDEX('Activity data'!BO$24:BO$39,MATCH(Emissions!$D77,'Activity data'!$D$24:$D$39,0))*INDEX(EF!$H$84:$H$99,MATCH(Emissions!$D77,EF!$D$84:$D$99,0))*INDEX(EF!$H$100:$H$115,MATCH(Emissions!$D77,EF!$D$100:$D$115,0))*INDEX(EF!$H$132:$H$147,MATCH(Emissions!$D77,EF!$D$132:$D$147,0))*kgtoGg</f>
        <v>5.3067722770265004E-4</v>
      </c>
      <c r="BP77" s="22">
        <f>INDEX('Activity data'!BP$24:BP$39,MATCH(Emissions!$D77,'Activity data'!$D$24:$D$39,0))*INDEX(EF!$H$84:$H$99,MATCH(Emissions!$D77,EF!$D$84:$D$99,0))*INDEX(EF!$H$100:$H$115,MATCH(Emissions!$D77,EF!$D$100:$D$115,0))*INDEX(EF!$H$132:$H$147,MATCH(Emissions!$D77,EF!$D$132:$D$147,0))*kgtoGg</f>
        <v>5.331387639513855E-4</v>
      </c>
    </row>
    <row r="78" spans="1:68" x14ac:dyDescent="0.25">
      <c r="A78" t="str">
        <f t="shared" si="19"/>
        <v>3C Aggregated and non-CO2 emissions on land</v>
      </c>
      <c r="B78" t="str">
        <f t="shared" si="26"/>
        <v>3C1 Biomass burning (N2O)</v>
      </c>
      <c r="C78" t="str">
        <f t="shared" si="25"/>
        <v>3C1b Biomass burning in Croplands</v>
      </c>
      <c r="D78" t="str">
        <f>EF!D108</f>
        <v>Cropland subsistence</v>
      </c>
      <c r="E78" t="s">
        <v>655</v>
      </c>
      <c r="F78" t="str">
        <f t="shared" si="27"/>
        <v>N2O</v>
      </c>
      <c r="G78" t="str">
        <f t="shared" si="28"/>
        <v>Gg N2O</v>
      </c>
      <c r="H78" s="22">
        <f>INDEX('Activity data'!H$24:H$39,MATCH(Emissions!$D78,'Activity data'!$D$24:$D$39,0))*INDEX(EF!$H$84:$H$99,MATCH(Emissions!$D78,EF!$D$84:$D$99,0))*INDEX(EF!$H$100:$H$115,MATCH(Emissions!$D78,EF!$D$100:$D$115,0))*INDEX(EF!$H$132:$H$147,MATCH(Emissions!$D78,EF!$D$132:$D$147,0))*kgtoGg</f>
        <v>5.9523228809688487E-2</v>
      </c>
      <c r="I78" s="22">
        <f>INDEX('Activity data'!I$24:I$39,MATCH(Emissions!$D78,'Activity data'!$D$24:$D$39,0))*INDEX(EF!$H$84:$H$99,MATCH(Emissions!$D78,EF!$D$84:$D$99,0))*INDEX(EF!$H$100:$H$115,MATCH(Emissions!$D78,EF!$D$100:$D$115,0))*INDEX(EF!$H$132:$H$147,MATCH(Emissions!$D78,EF!$D$132:$D$147,0))*kgtoGg</f>
        <v>5.9523228809688487E-2</v>
      </c>
      <c r="J78" s="22">
        <f>INDEX('Activity data'!J$24:J$39,MATCH(Emissions!$D78,'Activity data'!$D$24:$D$39,0))*INDEX(EF!$H$84:$H$99,MATCH(Emissions!$D78,EF!$D$84:$D$99,0))*INDEX(EF!$H$100:$H$115,MATCH(Emissions!$D78,EF!$D$100:$D$115,0))*INDEX(EF!$H$132:$H$147,MATCH(Emissions!$D78,EF!$D$132:$D$147,0))*kgtoGg</f>
        <v>5.9523228809688487E-2</v>
      </c>
      <c r="K78" s="22">
        <f>INDEX('Activity data'!K$24:K$39,MATCH(Emissions!$D78,'Activity data'!$D$24:$D$39,0))*INDEX(EF!$H$84:$H$99,MATCH(Emissions!$D78,EF!$D$84:$D$99,0))*INDEX(EF!$H$100:$H$115,MATCH(Emissions!$D78,EF!$D$100:$D$115,0))*INDEX(EF!$H$132:$H$147,MATCH(Emissions!$D78,EF!$D$132:$D$147,0))*kgtoGg</f>
        <v>5.9523228809688487E-2</v>
      </c>
      <c r="L78" s="22">
        <f>INDEX('Activity data'!L$24:L$39,MATCH(Emissions!$D78,'Activity data'!$D$24:$D$39,0))*INDEX(EF!$H$84:$H$99,MATCH(Emissions!$D78,EF!$D$84:$D$99,0))*INDEX(EF!$H$100:$H$115,MATCH(Emissions!$D78,EF!$D$100:$D$115,0))*INDEX(EF!$H$132:$H$147,MATCH(Emissions!$D78,EF!$D$132:$D$147,0))*kgtoGg</f>
        <v>5.9523228809688487E-2</v>
      </c>
      <c r="M78" s="22">
        <f>INDEX('Activity data'!M$24:M$39,MATCH(Emissions!$D78,'Activity data'!$D$24:$D$39,0))*INDEX(EF!$H$84:$H$99,MATCH(Emissions!$D78,EF!$D$84:$D$99,0))*INDEX(EF!$H$100:$H$115,MATCH(Emissions!$D78,EF!$D$100:$D$115,0))*INDEX(EF!$H$132:$H$147,MATCH(Emissions!$D78,EF!$D$132:$D$147,0))*kgtoGg</f>
        <v>5.9523228809688487E-2</v>
      </c>
      <c r="N78" s="22">
        <f>INDEX('Activity data'!N$24:N$39,MATCH(Emissions!$D78,'Activity data'!$D$24:$D$39,0))*INDEX(EF!$H$84:$H$99,MATCH(Emissions!$D78,EF!$D$84:$D$99,0))*INDEX(EF!$H$100:$H$115,MATCH(Emissions!$D78,EF!$D$100:$D$115,0))*INDEX(EF!$H$132:$H$147,MATCH(Emissions!$D78,EF!$D$132:$D$147,0))*kgtoGg</f>
        <v>5.9523228809688487E-2</v>
      </c>
      <c r="O78" s="22">
        <f>INDEX('Activity data'!O$24:O$39,MATCH(Emissions!$D78,'Activity data'!$D$24:$D$39,0))*INDEX(EF!$H$84:$H$99,MATCH(Emissions!$D78,EF!$D$84:$D$99,0))*INDEX(EF!$H$100:$H$115,MATCH(Emissions!$D78,EF!$D$100:$D$115,0))*INDEX(EF!$H$132:$H$147,MATCH(Emissions!$D78,EF!$D$132:$D$147,0))*kgtoGg</f>
        <v>5.9523228809688487E-2</v>
      </c>
      <c r="P78" s="22">
        <f>INDEX('Activity data'!P$24:P$39,MATCH(Emissions!$D78,'Activity data'!$D$24:$D$39,0))*INDEX(EF!$H$84:$H$99,MATCH(Emissions!$D78,EF!$D$84:$D$99,0))*INDEX(EF!$H$100:$H$115,MATCH(Emissions!$D78,EF!$D$100:$D$115,0))*INDEX(EF!$H$132:$H$147,MATCH(Emissions!$D78,EF!$D$132:$D$147,0))*kgtoGg</f>
        <v>5.9523228809688487E-2</v>
      </c>
      <c r="Q78" s="22">
        <f>INDEX('Activity data'!Q$24:Q$39,MATCH(Emissions!$D78,'Activity data'!$D$24:$D$39,0))*INDEX(EF!$H$84:$H$99,MATCH(Emissions!$D78,EF!$D$84:$D$99,0))*INDEX(EF!$H$100:$H$115,MATCH(Emissions!$D78,EF!$D$100:$D$115,0))*INDEX(EF!$H$132:$H$147,MATCH(Emissions!$D78,EF!$D$132:$D$147,0))*kgtoGg</f>
        <v>5.9523228809688487E-2</v>
      </c>
      <c r="R78" s="22">
        <f>INDEX('Activity data'!R$24:R$39,MATCH(Emissions!$D78,'Activity data'!$D$24:$D$39,0))*INDEX(EF!$H$84:$H$99,MATCH(Emissions!$D78,EF!$D$84:$D$99,0))*INDEX(EF!$H$100:$H$115,MATCH(Emissions!$D78,EF!$D$100:$D$115,0))*INDEX(EF!$H$132:$H$147,MATCH(Emissions!$D78,EF!$D$132:$D$147,0))*kgtoGg</f>
        <v>5.4383377763667071E-2</v>
      </c>
      <c r="S78" s="22">
        <f>INDEX('Activity data'!S$24:S$39,MATCH(Emissions!$D78,'Activity data'!$D$24:$D$39,0))*INDEX(EF!$H$84:$H$99,MATCH(Emissions!$D78,EF!$D$84:$D$99,0))*INDEX(EF!$H$100:$H$115,MATCH(Emissions!$D78,EF!$D$100:$D$115,0))*INDEX(EF!$H$132:$H$147,MATCH(Emissions!$D78,EF!$D$132:$D$147,0))*kgtoGg</f>
        <v>8.1405471912349855E-2</v>
      </c>
      <c r="T78" s="22">
        <f>INDEX('Activity data'!T$24:T$39,MATCH(Emissions!$D78,'Activity data'!$D$24:$D$39,0))*INDEX(EF!$H$84:$H$99,MATCH(Emissions!$D78,EF!$D$84:$D$99,0))*INDEX(EF!$H$100:$H$115,MATCH(Emissions!$D78,EF!$D$100:$D$115,0))*INDEX(EF!$H$132:$H$147,MATCH(Emissions!$D78,EF!$D$132:$D$147,0))*kgtoGg</f>
        <v>6.4095502815432151E-2</v>
      </c>
      <c r="U78" s="22">
        <f>INDEX('Activity data'!U$24:U$39,MATCH(Emissions!$D78,'Activity data'!$D$24:$D$39,0))*INDEX(EF!$H$84:$H$99,MATCH(Emissions!$D78,EF!$D$84:$D$99,0))*INDEX(EF!$H$100:$H$115,MATCH(Emissions!$D78,EF!$D$100:$D$115,0))*INDEX(EF!$H$132:$H$147,MATCH(Emissions!$D78,EF!$D$132:$D$147,0))*kgtoGg</f>
        <v>5.4372071448123685E-2</v>
      </c>
      <c r="V78" s="22">
        <f>INDEX('Activity data'!V$24:V$39,MATCH(Emissions!$D78,'Activity data'!$D$24:$D$39,0))*INDEX(EF!$H$84:$H$99,MATCH(Emissions!$D78,EF!$D$84:$D$99,0))*INDEX(EF!$H$100:$H$115,MATCH(Emissions!$D78,EF!$D$100:$D$115,0))*INDEX(EF!$H$132:$H$147,MATCH(Emissions!$D78,EF!$D$132:$D$147,0))*kgtoGg</f>
        <v>4.3359720108869682E-2</v>
      </c>
      <c r="W78" s="22">
        <f>INDEX('Activity data'!W$24:W$39,MATCH(Emissions!$D78,'Activity data'!$D$24:$D$39,0))*INDEX(EF!$H$84:$H$99,MATCH(Emissions!$D78,EF!$D$84:$D$99,0))*INDEX(EF!$H$100:$H$115,MATCH(Emissions!$D78,EF!$D$100:$D$115,0))*INDEX(EF!$H$132:$H$147,MATCH(Emissions!$D78,EF!$D$132:$D$147,0))*kgtoGg</f>
        <v>9.3989401112133955E-2</v>
      </c>
      <c r="X78" s="22">
        <f>INDEX('Activity data'!X$24:X$39,MATCH(Emissions!$D78,'Activity data'!$D$24:$D$39,0))*INDEX(EF!$H$84:$H$99,MATCH(Emissions!$D78,EF!$D$84:$D$99,0))*INDEX(EF!$H$100:$H$115,MATCH(Emissions!$D78,EF!$D$100:$D$115,0))*INDEX(EF!$H$132:$H$147,MATCH(Emissions!$D78,EF!$D$132:$D$147,0))*kgtoGg</f>
        <v>7.364933944958986E-2</v>
      </c>
      <c r="Y78" s="22">
        <f>INDEX('Activity data'!Y$24:Y$39,MATCH(Emissions!$D78,'Activity data'!$D$24:$D$39,0))*INDEX(EF!$H$84:$H$99,MATCH(Emissions!$D78,EF!$D$84:$D$99,0))*INDEX(EF!$H$100:$H$115,MATCH(Emissions!$D78,EF!$D$100:$D$115,0))*INDEX(EF!$H$132:$H$147,MATCH(Emissions!$D78,EF!$D$132:$D$147,0))*kgtoGg</f>
        <v>0.11404680488609349</v>
      </c>
      <c r="Z78" s="22">
        <f>INDEX('Activity data'!Z$24:Z$39,MATCH(Emissions!$D78,'Activity data'!$D$24:$D$39,0))*INDEX(EF!$H$84:$H$99,MATCH(Emissions!$D78,EF!$D$84:$D$99,0))*INDEX(EF!$H$100:$H$115,MATCH(Emissions!$D78,EF!$D$100:$D$115,0))*INDEX(EF!$H$132:$H$147,MATCH(Emissions!$D78,EF!$D$132:$D$147,0))*kgtoGg</f>
        <v>6.8618029032784925E-2</v>
      </c>
      <c r="AA78" s="22">
        <f>INDEX('Activity data'!AA$24:AA$39,MATCH(Emissions!$D78,'Activity data'!$D$24:$D$39,0))*INDEX(EF!$H$84:$H$99,MATCH(Emissions!$D78,EF!$D$84:$D$99,0))*INDEX(EF!$H$100:$H$115,MATCH(Emissions!$D78,EF!$D$100:$D$115,0))*INDEX(EF!$H$132:$H$147,MATCH(Emissions!$D78,EF!$D$132:$D$147,0))*kgtoGg</f>
        <v>8.1168039285938853E-2</v>
      </c>
      <c r="AB78" s="22">
        <f>INDEX('Activity data'!AB$24:AB$39,MATCH(Emissions!$D78,'Activity data'!$D$24:$D$39,0))*INDEX(EF!$H$84:$H$99,MATCH(Emissions!$D78,EF!$D$84:$D$99,0))*INDEX(EF!$H$100:$H$115,MATCH(Emissions!$D78,EF!$D$100:$D$115,0))*INDEX(EF!$H$132:$H$147,MATCH(Emissions!$D78,EF!$D$132:$D$147,0))*kgtoGg</f>
        <v>5.4530973000000003E-2</v>
      </c>
      <c r="AC78" s="22">
        <f>INDEX('Activity data'!AC$24:AC$39,MATCH(Emissions!$D78,'Activity data'!$D$24:$D$39,0))*INDEX(EF!$H$84:$H$99,MATCH(Emissions!$D78,EF!$D$84:$D$99,0))*INDEX(EF!$H$100:$H$115,MATCH(Emissions!$D78,EF!$D$100:$D$115,0))*INDEX(EF!$H$132:$H$147,MATCH(Emissions!$D78,EF!$D$132:$D$147,0))*kgtoGg</f>
        <v>3.7016790300000005E-2</v>
      </c>
      <c r="AD78" s="22">
        <f>INDEX('Activity data'!AD$24:AD$39,MATCH(Emissions!$D78,'Activity data'!$D$24:$D$39,0))*INDEX(EF!$H$84:$H$99,MATCH(Emissions!$D78,EF!$D$84:$D$99,0))*INDEX(EF!$H$100:$H$115,MATCH(Emissions!$D78,EF!$D$100:$D$115,0))*INDEX(EF!$H$132:$H$147,MATCH(Emissions!$D78,EF!$D$132:$D$147,0))*kgtoGg</f>
        <v>5.46089838424927E-2</v>
      </c>
      <c r="AE78" s="22">
        <f>INDEX('Activity data'!AE$24:AE$39,MATCH(Emissions!$D78,'Activity data'!$D$24:$D$39,0))*INDEX(EF!$H$84:$H$99,MATCH(Emissions!$D78,EF!$D$84:$D$99,0))*INDEX(EF!$H$100:$H$115,MATCH(Emissions!$D78,EF!$D$100:$D$115,0))*INDEX(EF!$H$132:$H$147,MATCH(Emissions!$D78,EF!$D$132:$D$147,0))*kgtoGg</f>
        <v>5.4617136288329267E-2</v>
      </c>
      <c r="AF78" s="22">
        <f>INDEX('Activity data'!AF$24:AF$39,MATCH(Emissions!$D78,'Activity data'!$D$24:$D$39,0))*INDEX(EF!$H$84:$H$99,MATCH(Emissions!$D78,EF!$D$84:$D$99,0))*INDEX(EF!$H$100:$H$115,MATCH(Emissions!$D78,EF!$D$100:$D$115,0))*INDEX(EF!$H$132:$H$147,MATCH(Emissions!$D78,EF!$D$132:$D$147,0))*kgtoGg</f>
        <v>5.462528873416584E-2</v>
      </c>
      <c r="AG78" s="22">
        <f>INDEX('Activity data'!AG$24:AG$39,MATCH(Emissions!$D78,'Activity data'!$D$24:$D$39,0))*INDEX(EF!$H$84:$H$99,MATCH(Emissions!$D78,EF!$D$84:$D$99,0))*INDEX(EF!$H$100:$H$115,MATCH(Emissions!$D78,EF!$D$100:$D$115,0))*INDEX(EF!$H$132:$H$147,MATCH(Emissions!$D78,EF!$D$132:$D$147,0))*kgtoGg</f>
        <v>5.4633441180002421E-2</v>
      </c>
      <c r="AH78" s="22">
        <f>INDEX('Activity data'!AH$24:AH$39,MATCH(Emissions!$D78,'Activity data'!$D$24:$D$39,0))*INDEX(EF!$H$84:$H$99,MATCH(Emissions!$D78,EF!$D$84:$D$99,0))*INDEX(EF!$H$100:$H$115,MATCH(Emissions!$D78,EF!$D$100:$D$115,0))*INDEX(EF!$H$132:$H$147,MATCH(Emissions!$D78,EF!$D$132:$D$147,0))*kgtoGg</f>
        <v>5.4641593625839001E-2</v>
      </c>
      <c r="AI78" s="22">
        <f>INDEX('Activity data'!AI$24:AI$39,MATCH(Emissions!$D78,'Activity data'!$D$24:$D$39,0))*INDEX(EF!$H$84:$H$99,MATCH(Emissions!$D78,EF!$D$84:$D$99,0))*INDEX(EF!$H$100:$H$115,MATCH(Emissions!$D78,EF!$D$100:$D$115,0))*INDEX(EF!$H$132:$H$147,MATCH(Emissions!$D78,EF!$D$132:$D$147,0))*kgtoGg</f>
        <v>5.4649746071675574E-2</v>
      </c>
      <c r="AJ78" s="22">
        <f>INDEX('Activity data'!AJ$24:AJ$39,MATCH(Emissions!$D78,'Activity data'!$D$24:$D$39,0))*INDEX(EF!$H$84:$H$99,MATCH(Emissions!$D78,EF!$D$84:$D$99,0))*INDEX(EF!$H$100:$H$115,MATCH(Emissions!$D78,EF!$D$100:$D$115,0))*INDEX(EF!$H$132:$H$147,MATCH(Emissions!$D78,EF!$D$132:$D$147,0))*kgtoGg</f>
        <v>5.4657898517512148E-2</v>
      </c>
      <c r="AK78" s="22">
        <f>INDEX('Activity data'!AK$24:AK$39,MATCH(Emissions!$D78,'Activity data'!$D$24:$D$39,0))*INDEX(EF!$H$84:$H$99,MATCH(Emissions!$D78,EF!$D$84:$D$99,0))*INDEX(EF!$H$100:$H$115,MATCH(Emissions!$D78,EF!$D$100:$D$115,0))*INDEX(EF!$H$132:$H$147,MATCH(Emissions!$D78,EF!$D$132:$D$147,0))*kgtoGg</f>
        <v>5.4652942118168506E-2</v>
      </c>
      <c r="AL78" s="22">
        <f>INDEX('Activity data'!AL$24:AL$39,MATCH(Emissions!$D78,'Activity data'!$D$24:$D$39,0))*INDEX(EF!$H$84:$H$99,MATCH(Emissions!$D78,EF!$D$84:$D$99,0))*INDEX(EF!$H$100:$H$115,MATCH(Emissions!$D78,EF!$D$100:$D$115,0))*INDEX(EF!$H$132:$H$147,MATCH(Emissions!$D78,EF!$D$132:$D$147,0))*kgtoGg</f>
        <v>5.464798571882485E-2</v>
      </c>
      <c r="AM78" s="22">
        <f>INDEX('Activity data'!AM$24:AM$39,MATCH(Emissions!$D78,'Activity data'!$D$24:$D$39,0))*INDEX(EF!$H$84:$H$99,MATCH(Emissions!$D78,EF!$D$84:$D$99,0))*INDEX(EF!$H$100:$H$115,MATCH(Emissions!$D78,EF!$D$100:$D$115,0))*INDEX(EF!$H$132:$H$147,MATCH(Emissions!$D78,EF!$D$132:$D$147,0))*kgtoGg</f>
        <v>5.4643029319481194E-2</v>
      </c>
      <c r="AN78" s="22">
        <f>INDEX('Activity data'!AN$24:AN$39,MATCH(Emissions!$D78,'Activity data'!$D$24:$D$39,0))*INDEX(EF!$H$84:$H$99,MATCH(Emissions!$D78,EF!$D$84:$D$99,0))*INDEX(EF!$H$100:$H$115,MATCH(Emissions!$D78,EF!$D$100:$D$115,0))*INDEX(EF!$H$132:$H$147,MATCH(Emissions!$D78,EF!$D$132:$D$147,0))*kgtoGg</f>
        <v>5.4638072920137573E-2</v>
      </c>
      <c r="AO78" s="22">
        <f>INDEX('Activity data'!AO$24:AO$39,MATCH(Emissions!$D78,'Activity data'!$D$24:$D$39,0))*INDEX(EF!$H$84:$H$99,MATCH(Emissions!$D78,EF!$D$84:$D$99,0))*INDEX(EF!$H$100:$H$115,MATCH(Emissions!$D78,EF!$D$100:$D$115,0))*INDEX(EF!$H$132:$H$147,MATCH(Emissions!$D78,EF!$D$132:$D$147,0))*kgtoGg</f>
        <v>5.4633116520793917E-2</v>
      </c>
      <c r="AP78" s="22">
        <f>INDEX('Activity data'!AP$24:AP$39,MATCH(Emissions!$D78,'Activity data'!$D$24:$D$39,0))*INDEX(EF!$H$84:$H$99,MATCH(Emissions!$D78,EF!$D$84:$D$99,0))*INDEX(EF!$H$100:$H$115,MATCH(Emissions!$D78,EF!$D$100:$D$115,0))*INDEX(EF!$H$132:$H$147,MATCH(Emissions!$D78,EF!$D$132:$D$147,0))*kgtoGg</f>
        <v>5.4628160121450255E-2</v>
      </c>
      <c r="AQ78" s="22">
        <f>INDEX('Activity data'!AQ$24:AQ$39,MATCH(Emissions!$D78,'Activity data'!$D$24:$D$39,0))*INDEX(EF!$H$84:$H$99,MATCH(Emissions!$D78,EF!$D$84:$D$99,0))*INDEX(EF!$H$100:$H$115,MATCH(Emissions!$D78,EF!$D$100:$D$115,0))*INDEX(EF!$H$132:$H$147,MATCH(Emissions!$D78,EF!$D$132:$D$147,0))*kgtoGg</f>
        <v>5.4623203722106606E-2</v>
      </c>
      <c r="AR78" s="22">
        <f>INDEX('Activity data'!AR$24:AR$39,MATCH(Emissions!$D78,'Activity data'!$D$24:$D$39,0))*INDEX(EF!$H$84:$H$99,MATCH(Emissions!$D78,EF!$D$84:$D$99,0))*INDEX(EF!$H$100:$H$115,MATCH(Emissions!$D78,EF!$D$100:$D$115,0))*INDEX(EF!$H$132:$H$147,MATCH(Emissions!$D78,EF!$D$132:$D$147,0))*kgtoGg</f>
        <v>5.4618247322762957E-2</v>
      </c>
      <c r="AS78" s="22">
        <f>INDEX('Activity data'!AS$24:AS$39,MATCH(Emissions!$D78,'Activity data'!$D$24:$D$39,0))*INDEX(EF!$H$84:$H$99,MATCH(Emissions!$D78,EF!$D$84:$D$99,0))*INDEX(EF!$H$100:$H$115,MATCH(Emissions!$D78,EF!$D$100:$D$115,0))*INDEX(EF!$H$132:$H$147,MATCH(Emissions!$D78,EF!$D$132:$D$147,0))*kgtoGg</f>
        <v>5.4613290923419301E-2</v>
      </c>
      <c r="AT78" s="22">
        <f>INDEX('Activity data'!AT$24:AT$39,MATCH(Emissions!$D78,'Activity data'!$D$24:$D$39,0))*INDEX(EF!$H$84:$H$99,MATCH(Emissions!$D78,EF!$D$84:$D$99,0))*INDEX(EF!$H$100:$H$115,MATCH(Emissions!$D78,EF!$D$100:$D$115,0))*INDEX(EF!$H$132:$H$147,MATCH(Emissions!$D78,EF!$D$132:$D$147,0))*kgtoGg</f>
        <v>5.4608334524075659E-2</v>
      </c>
      <c r="AU78" s="22">
        <f>INDEX('Activity data'!AU$24:AU$39,MATCH(Emissions!$D78,'Activity data'!$D$24:$D$39,0))*INDEX(EF!$H$84:$H$99,MATCH(Emissions!$D78,EF!$D$84:$D$99,0))*INDEX(EF!$H$100:$H$115,MATCH(Emissions!$D78,EF!$D$100:$D$115,0))*INDEX(EF!$H$132:$H$147,MATCH(Emissions!$D78,EF!$D$132:$D$147,0))*kgtoGg</f>
        <v>5.4603378124731997E-2</v>
      </c>
      <c r="AV78" s="22">
        <f>INDEX('Activity data'!AV$24:AV$39,MATCH(Emissions!$D78,'Activity data'!$D$24:$D$39,0))*INDEX(EF!$H$84:$H$99,MATCH(Emissions!$D78,EF!$D$84:$D$99,0))*INDEX(EF!$H$100:$H$115,MATCH(Emissions!$D78,EF!$D$100:$D$115,0))*INDEX(EF!$H$132:$H$147,MATCH(Emissions!$D78,EF!$D$132:$D$147,0))*kgtoGg</f>
        <v>5.4598421725388362E-2</v>
      </c>
      <c r="AW78" s="22">
        <f>INDEX('Activity data'!AW$24:AW$39,MATCH(Emissions!$D78,'Activity data'!$D$24:$D$39,0))*INDEX(EF!$H$84:$H$99,MATCH(Emissions!$D78,EF!$D$84:$D$99,0))*INDEX(EF!$H$100:$H$115,MATCH(Emissions!$D78,EF!$D$100:$D$115,0))*INDEX(EF!$H$132:$H$147,MATCH(Emissions!$D78,EF!$D$132:$D$147,0))*kgtoGg</f>
        <v>5.4593465326044706E-2</v>
      </c>
      <c r="AX78" s="22">
        <f>INDEX('Activity data'!AX$24:AX$39,MATCH(Emissions!$D78,'Activity data'!$D$24:$D$39,0))*INDEX(EF!$H$84:$H$99,MATCH(Emissions!$D78,EF!$D$84:$D$99,0))*INDEX(EF!$H$100:$H$115,MATCH(Emissions!$D78,EF!$D$100:$D$115,0))*INDEX(EF!$H$132:$H$147,MATCH(Emissions!$D78,EF!$D$132:$D$147,0))*kgtoGg</f>
        <v>5.4588508926701043E-2</v>
      </c>
      <c r="AY78" s="22">
        <f>INDEX('Activity data'!AY$24:AY$39,MATCH(Emissions!$D78,'Activity data'!$D$24:$D$39,0))*INDEX(EF!$H$84:$H$99,MATCH(Emissions!$D78,EF!$D$84:$D$99,0))*INDEX(EF!$H$100:$H$115,MATCH(Emissions!$D78,EF!$D$100:$D$115,0))*INDEX(EF!$H$132:$H$147,MATCH(Emissions!$D78,EF!$D$132:$D$147,0))*kgtoGg</f>
        <v>5.4583552527357408E-2</v>
      </c>
      <c r="AZ78" s="22">
        <f>INDEX('Activity data'!AZ$24:AZ$39,MATCH(Emissions!$D78,'Activity data'!$D$24:$D$39,0))*INDEX(EF!$H$84:$H$99,MATCH(Emissions!$D78,EF!$D$84:$D$99,0))*INDEX(EF!$H$100:$H$115,MATCH(Emissions!$D78,EF!$D$100:$D$115,0))*INDEX(EF!$H$132:$H$147,MATCH(Emissions!$D78,EF!$D$132:$D$147,0))*kgtoGg</f>
        <v>5.4578596128013752E-2</v>
      </c>
      <c r="BA78" s="22">
        <f>INDEX('Activity data'!BA$24:BA$39,MATCH(Emissions!$D78,'Activity data'!$D$24:$D$39,0))*INDEX(EF!$H$84:$H$99,MATCH(Emissions!$D78,EF!$D$84:$D$99,0))*INDEX(EF!$H$100:$H$115,MATCH(Emissions!$D78,EF!$D$100:$D$115,0))*INDEX(EF!$H$132:$H$147,MATCH(Emissions!$D78,EF!$D$132:$D$147,0))*kgtoGg</f>
        <v>5.4573639728670097E-2</v>
      </c>
      <c r="BB78" s="22">
        <f>INDEX('Activity data'!BB$24:BB$39,MATCH(Emissions!$D78,'Activity data'!$D$24:$D$39,0))*INDEX(EF!$H$84:$H$99,MATCH(Emissions!$D78,EF!$D$84:$D$99,0))*INDEX(EF!$H$100:$H$115,MATCH(Emissions!$D78,EF!$D$100:$D$115,0))*INDEX(EF!$H$132:$H$147,MATCH(Emissions!$D78,EF!$D$132:$D$147,0))*kgtoGg</f>
        <v>5.4568683329326448E-2</v>
      </c>
      <c r="BC78" s="22">
        <f>INDEX('Activity data'!BC$24:BC$39,MATCH(Emissions!$D78,'Activity data'!$D$24:$D$39,0))*INDEX(EF!$H$84:$H$99,MATCH(Emissions!$D78,EF!$D$84:$D$99,0))*INDEX(EF!$H$100:$H$115,MATCH(Emissions!$D78,EF!$D$100:$D$115,0))*INDEX(EF!$H$132:$H$147,MATCH(Emissions!$D78,EF!$D$132:$D$147,0))*kgtoGg</f>
        <v>5.4563726929982785E-2</v>
      </c>
      <c r="BD78" s="22">
        <f>INDEX('Activity data'!BD$24:BD$39,MATCH(Emissions!$D78,'Activity data'!$D$24:$D$39,0))*INDEX(EF!$H$84:$H$99,MATCH(Emissions!$D78,EF!$D$84:$D$99,0))*INDEX(EF!$H$100:$H$115,MATCH(Emissions!$D78,EF!$D$100:$D$115,0))*INDEX(EF!$H$132:$H$147,MATCH(Emissions!$D78,EF!$D$132:$D$147,0))*kgtoGg</f>
        <v>5.455877053063915E-2</v>
      </c>
      <c r="BE78" s="22">
        <f>INDEX('Activity data'!BE$24:BE$39,MATCH(Emissions!$D78,'Activity data'!$D$24:$D$39,0))*INDEX(EF!$H$84:$H$99,MATCH(Emissions!$D78,EF!$D$84:$D$99,0))*INDEX(EF!$H$100:$H$115,MATCH(Emissions!$D78,EF!$D$100:$D$115,0))*INDEX(EF!$H$132:$H$147,MATCH(Emissions!$D78,EF!$D$132:$D$147,0))*kgtoGg</f>
        <v>5.4553814131295494E-2</v>
      </c>
      <c r="BF78" s="22">
        <f>INDEX('Activity data'!BF$24:BF$39,MATCH(Emissions!$D78,'Activity data'!$D$24:$D$39,0))*INDEX(EF!$H$84:$H$99,MATCH(Emissions!$D78,EF!$D$84:$D$99,0))*INDEX(EF!$H$100:$H$115,MATCH(Emissions!$D78,EF!$D$100:$D$115,0))*INDEX(EF!$H$132:$H$147,MATCH(Emissions!$D78,EF!$D$132:$D$147,0))*kgtoGg</f>
        <v>5.4548857731951832E-2</v>
      </c>
      <c r="BG78" s="22">
        <f>INDEX('Activity data'!BG$24:BG$39,MATCH(Emissions!$D78,'Activity data'!$D$24:$D$39,0))*INDEX(EF!$H$84:$H$99,MATCH(Emissions!$D78,EF!$D$84:$D$99,0))*INDEX(EF!$H$100:$H$115,MATCH(Emissions!$D78,EF!$D$100:$D$115,0))*INDEX(EF!$H$132:$H$147,MATCH(Emissions!$D78,EF!$D$132:$D$147,0))*kgtoGg</f>
        <v>5.4543901332608183E-2</v>
      </c>
      <c r="BH78" s="22">
        <f>INDEX('Activity data'!BH$24:BH$39,MATCH(Emissions!$D78,'Activity data'!$D$24:$D$39,0))*INDEX(EF!$H$84:$H$99,MATCH(Emissions!$D78,EF!$D$84:$D$99,0))*INDEX(EF!$H$100:$H$115,MATCH(Emissions!$D78,EF!$D$100:$D$115,0))*INDEX(EF!$H$132:$H$147,MATCH(Emissions!$D78,EF!$D$132:$D$147,0))*kgtoGg</f>
        <v>5.453894493326452E-2</v>
      </c>
      <c r="BI78" s="22">
        <f>INDEX('Activity data'!BI$24:BI$39,MATCH(Emissions!$D78,'Activity data'!$D$24:$D$39,0))*INDEX(EF!$H$84:$H$99,MATCH(Emissions!$D78,EF!$D$84:$D$99,0))*INDEX(EF!$H$100:$H$115,MATCH(Emissions!$D78,EF!$D$100:$D$115,0))*INDEX(EF!$H$132:$H$147,MATCH(Emissions!$D78,EF!$D$132:$D$147,0))*kgtoGg</f>
        <v>5.4533988533920885E-2</v>
      </c>
      <c r="BJ78" s="22">
        <f>INDEX('Activity data'!BJ$24:BJ$39,MATCH(Emissions!$D78,'Activity data'!$D$24:$D$39,0))*INDEX(EF!$H$84:$H$99,MATCH(Emissions!$D78,EF!$D$84:$D$99,0))*INDEX(EF!$H$100:$H$115,MATCH(Emissions!$D78,EF!$D$100:$D$115,0))*INDEX(EF!$H$132:$H$147,MATCH(Emissions!$D78,EF!$D$132:$D$147,0))*kgtoGg</f>
        <v>5.4529032134577229E-2</v>
      </c>
      <c r="BK78" s="22">
        <f>INDEX('Activity data'!BK$24:BK$39,MATCH(Emissions!$D78,'Activity data'!$D$24:$D$39,0))*INDEX(EF!$H$84:$H$99,MATCH(Emissions!$D78,EF!$D$84:$D$99,0))*INDEX(EF!$H$100:$H$115,MATCH(Emissions!$D78,EF!$D$100:$D$115,0))*INDEX(EF!$H$132:$H$147,MATCH(Emissions!$D78,EF!$D$132:$D$147,0))*kgtoGg</f>
        <v>5.4524075735233567E-2</v>
      </c>
      <c r="BL78" s="22">
        <f>INDEX('Activity data'!BL$24:BL$39,MATCH(Emissions!$D78,'Activity data'!$D$24:$D$39,0))*INDEX(EF!$H$84:$H$99,MATCH(Emissions!$D78,EF!$D$84:$D$99,0))*INDEX(EF!$H$100:$H$115,MATCH(Emissions!$D78,EF!$D$100:$D$115,0))*INDEX(EF!$H$132:$H$147,MATCH(Emissions!$D78,EF!$D$132:$D$147,0))*kgtoGg</f>
        <v>5.4519119335889918E-2</v>
      </c>
      <c r="BM78" s="22">
        <f>INDEX('Activity data'!BM$24:BM$39,MATCH(Emissions!$D78,'Activity data'!$D$24:$D$39,0))*INDEX(EF!$H$84:$H$99,MATCH(Emissions!$D78,EF!$D$84:$D$99,0))*INDEX(EF!$H$100:$H$115,MATCH(Emissions!$D78,EF!$D$100:$D$115,0))*INDEX(EF!$H$132:$H$147,MATCH(Emissions!$D78,EF!$D$132:$D$147,0))*kgtoGg</f>
        <v>5.4514162936546255E-2</v>
      </c>
      <c r="BN78" s="22">
        <f>INDEX('Activity data'!BN$24:BN$39,MATCH(Emissions!$D78,'Activity data'!$D$24:$D$39,0))*INDEX(EF!$H$84:$H$99,MATCH(Emissions!$D78,EF!$D$84:$D$99,0))*INDEX(EF!$H$100:$H$115,MATCH(Emissions!$D78,EF!$D$100:$D$115,0))*INDEX(EF!$H$132:$H$147,MATCH(Emissions!$D78,EF!$D$132:$D$147,0))*kgtoGg</f>
        <v>5.4509206537202599E-2</v>
      </c>
      <c r="BO78" s="22">
        <f>INDEX('Activity data'!BO$24:BO$39,MATCH(Emissions!$D78,'Activity data'!$D$24:$D$39,0))*INDEX(EF!$H$84:$H$99,MATCH(Emissions!$D78,EF!$D$84:$D$99,0))*INDEX(EF!$H$100:$H$115,MATCH(Emissions!$D78,EF!$D$100:$D$115,0))*INDEX(EF!$H$132:$H$147,MATCH(Emissions!$D78,EF!$D$132:$D$147,0))*kgtoGg</f>
        <v>5.4504250137858951E-2</v>
      </c>
      <c r="BP78" s="22">
        <f>INDEX('Activity data'!BP$24:BP$39,MATCH(Emissions!$D78,'Activity data'!$D$24:$D$39,0))*INDEX(EF!$H$84:$H$99,MATCH(Emissions!$D78,EF!$D$84:$D$99,0))*INDEX(EF!$H$100:$H$115,MATCH(Emissions!$D78,EF!$D$100:$D$115,0))*INDEX(EF!$H$132:$H$147,MATCH(Emissions!$D78,EF!$D$132:$D$147,0))*kgtoGg</f>
        <v>5.4499293738515288E-2</v>
      </c>
    </row>
    <row r="79" spans="1:68" x14ac:dyDescent="0.25">
      <c r="A79" t="str">
        <f t="shared" si="19"/>
        <v>3C Aggregated and non-CO2 emissions on land</v>
      </c>
      <c r="B79" t="str">
        <f t="shared" si="26"/>
        <v>3C1 Biomass burning (N2O)</v>
      </c>
      <c r="C79" t="str">
        <f t="shared" si="25"/>
        <v>3C1c Biomass burning in Grasslands</v>
      </c>
      <c r="D79" t="str">
        <f>EF!D109</f>
        <v>Grasslands</v>
      </c>
      <c r="E79" t="s">
        <v>656</v>
      </c>
      <c r="F79" t="str">
        <f t="shared" si="27"/>
        <v>N2O</v>
      </c>
      <c r="G79" t="str">
        <f t="shared" si="28"/>
        <v>Gg N2O</v>
      </c>
      <c r="H79" s="22">
        <f>INDEX('Activity data'!H$24:H$39,MATCH(Emissions!$D79,'Activity data'!$D$24:$D$39,0))*INDEX(EF!$H$84:$H$99,MATCH(Emissions!$D79,EF!$D$84:$D$99,0))*INDEX(EF!$H$100:$H$115,MATCH(Emissions!$D79,EF!$D$100:$D$115,0))*INDEX(EF!$H$132:$H$147,MATCH(Emissions!$D79,EF!$D$132:$D$147,0))*kgtoGg</f>
        <v>2.0559289182704736</v>
      </c>
      <c r="I79" s="22">
        <f>INDEX('Activity data'!I$24:I$39,MATCH(Emissions!$D79,'Activity data'!$D$24:$D$39,0))*INDEX(EF!$H$84:$H$99,MATCH(Emissions!$D79,EF!$D$84:$D$99,0))*INDEX(EF!$H$100:$H$115,MATCH(Emissions!$D79,EF!$D$100:$D$115,0))*INDEX(EF!$H$132:$H$147,MATCH(Emissions!$D79,EF!$D$132:$D$147,0))*kgtoGg</f>
        <v>2.0559289182704736</v>
      </c>
      <c r="J79" s="22">
        <f>INDEX('Activity data'!J$24:J$39,MATCH(Emissions!$D79,'Activity data'!$D$24:$D$39,0))*INDEX(EF!$H$84:$H$99,MATCH(Emissions!$D79,EF!$D$84:$D$99,0))*INDEX(EF!$H$100:$H$115,MATCH(Emissions!$D79,EF!$D$100:$D$115,0))*INDEX(EF!$H$132:$H$147,MATCH(Emissions!$D79,EF!$D$132:$D$147,0))*kgtoGg</f>
        <v>2.0559289182704736</v>
      </c>
      <c r="K79" s="22">
        <f>INDEX('Activity data'!K$24:K$39,MATCH(Emissions!$D79,'Activity data'!$D$24:$D$39,0))*INDEX(EF!$H$84:$H$99,MATCH(Emissions!$D79,EF!$D$84:$D$99,0))*INDEX(EF!$H$100:$H$115,MATCH(Emissions!$D79,EF!$D$100:$D$115,0))*INDEX(EF!$H$132:$H$147,MATCH(Emissions!$D79,EF!$D$132:$D$147,0))*kgtoGg</f>
        <v>2.0559289182704736</v>
      </c>
      <c r="L79" s="22">
        <f>INDEX('Activity data'!L$24:L$39,MATCH(Emissions!$D79,'Activity data'!$D$24:$D$39,0))*INDEX(EF!$H$84:$H$99,MATCH(Emissions!$D79,EF!$D$84:$D$99,0))*INDEX(EF!$H$100:$H$115,MATCH(Emissions!$D79,EF!$D$100:$D$115,0))*INDEX(EF!$H$132:$H$147,MATCH(Emissions!$D79,EF!$D$132:$D$147,0))*kgtoGg</f>
        <v>2.0559289182704736</v>
      </c>
      <c r="M79" s="22">
        <f>INDEX('Activity data'!M$24:M$39,MATCH(Emissions!$D79,'Activity data'!$D$24:$D$39,0))*INDEX(EF!$H$84:$H$99,MATCH(Emissions!$D79,EF!$D$84:$D$99,0))*INDEX(EF!$H$100:$H$115,MATCH(Emissions!$D79,EF!$D$100:$D$115,0))*INDEX(EF!$H$132:$H$147,MATCH(Emissions!$D79,EF!$D$132:$D$147,0))*kgtoGg</f>
        <v>2.0559289182704736</v>
      </c>
      <c r="N79" s="22">
        <f>INDEX('Activity data'!N$24:N$39,MATCH(Emissions!$D79,'Activity data'!$D$24:$D$39,0))*INDEX(EF!$H$84:$H$99,MATCH(Emissions!$D79,EF!$D$84:$D$99,0))*INDEX(EF!$H$100:$H$115,MATCH(Emissions!$D79,EF!$D$100:$D$115,0))*INDEX(EF!$H$132:$H$147,MATCH(Emissions!$D79,EF!$D$132:$D$147,0))*kgtoGg</f>
        <v>2.0559289182704736</v>
      </c>
      <c r="O79" s="22">
        <f>INDEX('Activity data'!O$24:O$39,MATCH(Emissions!$D79,'Activity data'!$D$24:$D$39,0))*INDEX(EF!$H$84:$H$99,MATCH(Emissions!$D79,EF!$D$84:$D$99,0))*INDEX(EF!$H$100:$H$115,MATCH(Emissions!$D79,EF!$D$100:$D$115,0))*INDEX(EF!$H$132:$H$147,MATCH(Emissions!$D79,EF!$D$132:$D$147,0))*kgtoGg</f>
        <v>2.0559289182704736</v>
      </c>
      <c r="P79" s="22">
        <f>INDEX('Activity data'!P$24:P$39,MATCH(Emissions!$D79,'Activity data'!$D$24:$D$39,0))*INDEX(EF!$H$84:$H$99,MATCH(Emissions!$D79,EF!$D$84:$D$99,0))*INDEX(EF!$H$100:$H$115,MATCH(Emissions!$D79,EF!$D$100:$D$115,0))*INDEX(EF!$H$132:$H$147,MATCH(Emissions!$D79,EF!$D$132:$D$147,0))*kgtoGg</f>
        <v>2.0559289182704736</v>
      </c>
      <c r="Q79" s="22">
        <f>INDEX('Activity data'!Q$24:Q$39,MATCH(Emissions!$D79,'Activity data'!$D$24:$D$39,0))*INDEX(EF!$H$84:$H$99,MATCH(Emissions!$D79,EF!$D$84:$D$99,0))*INDEX(EF!$H$100:$H$115,MATCH(Emissions!$D79,EF!$D$100:$D$115,0))*INDEX(EF!$H$132:$H$147,MATCH(Emissions!$D79,EF!$D$132:$D$147,0))*kgtoGg</f>
        <v>2.0559289182704736</v>
      </c>
      <c r="R79" s="22">
        <f>INDEX('Activity data'!R$24:R$39,MATCH(Emissions!$D79,'Activity data'!$D$24:$D$39,0))*INDEX(EF!$H$84:$H$99,MATCH(Emissions!$D79,EF!$D$84:$D$99,0))*INDEX(EF!$H$100:$H$115,MATCH(Emissions!$D79,EF!$D$100:$D$115,0))*INDEX(EF!$H$132:$H$147,MATCH(Emissions!$D79,EF!$D$132:$D$147,0))*kgtoGg</f>
        <v>2.0422883654275221</v>
      </c>
      <c r="S79" s="22">
        <f>INDEX('Activity data'!S$24:S$39,MATCH(Emissions!$D79,'Activity data'!$D$24:$D$39,0))*INDEX(EF!$H$84:$H$99,MATCH(Emissions!$D79,EF!$D$84:$D$99,0))*INDEX(EF!$H$100:$H$115,MATCH(Emissions!$D79,EF!$D$100:$D$115,0))*INDEX(EF!$H$132:$H$147,MATCH(Emissions!$D79,EF!$D$132:$D$147,0))*kgtoGg</f>
        <v>2.3356218386669245</v>
      </c>
      <c r="T79" s="22">
        <f>INDEX('Activity data'!T$24:T$39,MATCH(Emissions!$D79,'Activity data'!$D$24:$D$39,0))*INDEX(EF!$H$84:$H$99,MATCH(Emissions!$D79,EF!$D$84:$D$99,0))*INDEX(EF!$H$100:$H$115,MATCH(Emissions!$D79,EF!$D$100:$D$115,0))*INDEX(EF!$H$132:$H$147,MATCH(Emissions!$D79,EF!$D$132:$D$147,0))*kgtoGg</f>
        <v>2.3760706670797545</v>
      </c>
      <c r="U79" s="22">
        <f>INDEX('Activity data'!U$24:U$39,MATCH(Emissions!$D79,'Activity data'!$D$24:$D$39,0))*INDEX(EF!$H$84:$H$99,MATCH(Emissions!$D79,EF!$D$84:$D$99,0))*INDEX(EF!$H$100:$H$115,MATCH(Emissions!$D79,EF!$D$100:$D$115,0))*INDEX(EF!$H$132:$H$147,MATCH(Emissions!$D79,EF!$D$132:$D$147,0))*kgtoGg</f>
        <v>1.9071940465634558</v>
      </c>
      <c r="V79" s="22">
        <f>INDEX('Activity data'!V$24:V$39,MATCH(Emissions!$D79,'Activity data'!$D$24:$D$39,0))*INDEX(EF!$H$84:$H$99,MATCH(Emissions!$D79,EF!$D$84:$D$99,0))*INDEX(EF!$H$100:$H$115,MATCH(Emissions!$D79,EF!$D$100:$D$115,0))*INDEX(EF!$H$132:$H$147,MATCH(Emissions!$D79,EF!$D$132:$D$147,0))*kgtoGg</f>
        <v>1.6184696736147095</v>
      </c>
      <c r="W79" s="22">
        <f>INDEX('Activity data'!W$24:W$39,MATCH(Emissions!$D79,'Activity data'!$D$24:$D$39,0))*INDEX(EF!$H$84:$H$99,MATCH(Emissions!$D79,EF!$D$84:$D$99,0))*INDEX(EF!$H$100:$H$115,MATCH(Emissions!$D79,EF!$D$100:$D$115,0))*INDEX(EF!$H$132:$H$147,MATCH(Emissions!$D79,EF!$D$132:$D$147,0))*kgtoGg</f>
        <v>2.5143834094226407</v>
      </c>
      <c r="X79" s="22">
        <f>INDEX('Activity data'!X$24:X$39,MATCH(Emissions!$D79,'Activity data'!$D$24:$D$39,0))*INDEX(EF!$H$84:$H$99,MATCH(Emissions!$D79,EF!$D$84:$D$99,0))*INDEX(EF!$H$100:$H$115,MATCH(Emissions!$D79,EF!$D$100:$D$115,0))*INDEX(EF!$H$132:$H$147,MATCH(Emissions!$D79,EF!$D$132:$D$147,0))*kgtoGg</f>
        <v>2.2148912245879653</v>
      </c>
      <c r="Y79" s="22">
        <f>INDEX('Activity data'!Y$24:Y$39,MATCH(Emissions!$D79,'Activity data'!$D$24:$D$39,0))*INDEX(EF!$H$84:$H$99,MATCH(Emissions!$D79,EF!$D$84:$D$99,0))*INDEX(EF!$H$100:$H$115,MATCH(Emissions!$D79,EF!$D$100:$D$115,0))*INDEX(EF!$H$132:$H$147,MATCH(Emissions!$D79,EF!$D$132:$D$147,0))*kgtoGg</f>
        <v>2.0867105561598827</v>
      </c>
      <c r="Z79" s="22">
        <f>INDEX('Activity data'!Z$24:Z$39,MATCH(Emissions!$D79,'Activity data'!$D$24:$D$39,0))*INDEX(EF!$H$84:$H$99,MATCH(Emissions!$D79,EF!$D$84:$D$99,0))*INDEX(EF!$H$100:$H$115,MATCH(Emissions!$D79,EF!$D$100:$D$115,0))*INDEX(EF!$H$132:$H$147,MATCH(Emissions!$D79,EF!$D$132:$D$147,0))*kgtoGg</f>
        <v>1.9391398796124881</v>
      </c>
      <c r="AA79" s="22">
        <f>INDEX('Activity data'!AA$24:AA$39,MATCH(Emissions!$D79,'Activity data'!$D$24:$D$39,0))*INDEX(EF!$H$84:$H$99,MATCH(Emissions!$D79,EF!$D$84:$D$99,0))*INDEX(EF!$H$100:$H$115,MATCH(Emissions!$D79,EF!$D$100:$D$115,0))*INDEX(EF!$H$132:$H$147,MATCH(Emissions!$D79,EF!$D$132:$D$147,0))*kgtoGg</f>
        <v>2.0058724997690169</v>
      </c>
      <c r="AB79" s="22">
        <f>INDEX('Activity data'!AB$24:AB$39,MATCH(Emissions!$D79,'Activity data'!$D$24:$D$39,0))*INDEX(EF!$H$84:$H$99,MATCH(Emissions!$D79,EF!$D$84:$D$99,0))*INDEX(EF!$H$100:$H$115,MATCH(Emissions!$D79,EF!$D$100:$D$115,0))*INDEX(EF!$H$132:$H$147,MATCH(Emissions!$D79,EF!$D$132:$D$147,0))*kgtoGg</f>
        <v>1.7294926458599997</v>
      </c>
      <c r="AC79" s="22">
        <f>INDEX('Activity data'!AC$24:AC$39,MATCH(Emissions!$D79,'Activity data'!$D$24:$D$39,0))*INDEX(EF!$H$84:$H$99,MATCH(Emissions!$D79,EF!$D$84:$D$99,0))*INDEX(EF!$H$100:$H$115,MATCH(Emissions!$D79,EF!$D$100:$D$115,0))*INDEX(EF!$H$132:$H$147,MATCH(Emissions!$D79,EF!$D$132:$D$147,0))*kgtoGg</f>
        <v>1.7569372791599995</v>
      </c>
      <c r="AD79" s="22">
        <f>INDEX('Activity data'!AD$24:AD$39,MATCH(Emissions!$D79,'Activity data'!$D$24:$D$39,0))*INDEX(EF!$H$84:$H$99,MATCH(Emissions!$D79,EF!$D$84:$D$99,0))*INDEX(EF!$H$100:$H$115,MATCH(Emissions!$D79,EF!$D$100:$D$115,0))*INDEX(EF!$H$132:$H$147,MATCH(Emissions!$D79,EF!$D$132:$D$147,0))*kgtoGg</f>
        <v>1.7830159690827729</v>
      </c>
      <c r="AE79" s="22">
        <f>INDEX('Activity data'!AE$24:AE$39,MATCH(Emissions!$D79,'Activity data'!$D$24:$D$39,0))*INDEX(EF!$H$84:$H$99,MATCH(Emissions!$D79,EF!$D$84:$D$99,0))*INDEX(EF!$H$100:$H$115,MATCH(Emissions!$D79,EF!$D$100:$D$115,0))*INDEX(EF!$H$132:$H$147,MATCH(Emissions!$D79,EF!$D$132:$D$147,0))*kgtoGg</f>
        <v>1.7765398224026674</v>
      </c>
      <c r="AF79" s="22">
        <f>INDEX('Activity data'!AF$24:AF$39,MATCH(Emissions!$D79,'Activity data'!$D$24:$D$39,0))*INDEX(EF!$H$84:$H$99,MATCH(Emissions!$D79,EF!$D$84:$D$99,0))*INDEX(EF!$H$100:$H$115,MATCH(Emissions!$D79,EF!$D$100:$D$115,0))*INDEX(EF!$H$132:$H$147,MATCH(Emissions!$D79,EF!$D$132:$D$147,0))*kgtoGg</f>
        <v>1.7700636757225618</v>
      </c>
      <c r="AG79" s="22">
        <f>INDEX('Activity data'!AG$24:AG$39,MATCH(Emissions!$D79,'Activity data'!$D$24:$D$39,0))*INDEX(EF!$H$84:$H$99,MATCH(Emissions!$D79,EF!$D$84:$D$99,0))*INDEX(EF!$H$100:$H$115,MATCH(Emissions!$D79,EF!$D$100:$D$115,0))*INDEX(EF!$H$132:$H$147,MATCH(Emissions!$D79,EF!$D$132:$D$147,0))*kgtoGg</f>
        <v>1.7689563709475815</v>
      </c>
      <c r="AH79" s="22">
        <f>INDEX('Activity data'!AH$24:AH$39,MATCH(Emissions!$D79,'Activity data'!$D$24:$D$39,0))*INDEX(EF!$H$84:$H$99,MATCH(Emissions!$D79,EF!$D$84:$D$99,0))*INDEX(EF!$H$100:$H$115,MATCH(Emissions!$D79,EF!$D$100:$D$115,0))*INDEX(EF!$H$132:$H$147,MATCH(Emissions!$D79,EF!$D$132:$D$147,0))*kgtoGg</f>
        <v>1.7678490661726007</v>
      </c>
      <c r="AI79" s="22">
        <f>INDEX('Activity data'!AI$24:AI$39,MATCH(Emissions!$D79,'Activity data'!$D$24:$D$39,0))*INDEX(EF!$H$84:$H$99,MATCH(Emissions!$D79,EF!$D$84:$D$99,0))*INDEX(EF!$H$100:$H$115,MATCH(Emissions!$D79,EF!$D$100:$D$115,0))*INDEX(EF!$H$132:$H$147,MATCH(Emissions!$D79,EF!$D$132:$D$147,0))*kgtoGg</f>
        <v>1.76674176139762</v>
      </c>
      <c r="AJ79" s="22">
        <f>INDEX('Activity data'!AJ$24:AJ$39,MATCH(Emissions!$D79,'Activity data'!$D$24:$D$39,0))*INDEX(EF!$H$84:$H$99,MATCH(Emissions!$D79,EF!$D$84:$D$99,0))*INDEX(EF!$H$100:$H$115,MATCH(Emissions!$D79,EF!$D$100:$D$115,0))*INDEX(EF!$H$132:$H$147,MATCH(Emissions!$D79,EF!$D$132:$D$147,0))*kgtoGg</f>
        <v>1.7656344566226392</v>
      </c>
      <c r="AK79" s="22">
        <f>INDEX('Activity data'!AK$24:AK$39,MATCH(Emissions!$D79,'Activity data'!$D$24:$D$39,0))*INDEX(EF!$H$84:$H$99,MATCH(Emissions!$D79,EF!$D$84:$D$99,0))*INDEX(EF!$H$100:$H$115,MATCH(Emissions!$D79,EF!$D$100:$D$115,0))*INDEX(EF!$H$132:$H$147,MATCH(Emissions!$D79,EF!$D$132:$D$147,0))*kgtoGg</f>
        <v>1.7638767135090734</v>
      </c>
      <c r="AL79" s="22">
        <f>INDEX('Activity data'!AL$24:AL$39,MATCH(Emissions!$D79,'Activity data'!$D$24:$D$39,0))*INDEX(EF!$H$84:$H$99,MATCH(Emissions!$D79,EF!$D$84:$D$99,0))*INDEX(EF!$H$100:$H$115,MATCH(Emissions!$D79,EF!$D$100:$D$115,0))*INDEX(EF!$H$132:$H$147,MATCH(Emissions!$D79,EF!$D$132:$D$147,0))*kgtoGg</f>
        <v>1.7621189703955074</v>
      </c>
      <c r="AM79" s="22">
        <f>INDEX('Activity data'!AM$24:AM$39,MATCH(Emissions!$D79,'Activity data'!$D$24:$D$39,0))*INDEX(EF!$H$84:$H$99,MATCH(Emissions!$D79,EF!$D$84:$D$99,0))*INDEX(EF!$H$100:$H$115,MATCH(Emissions!$D79,EF!$D$100:$D$115,0))*INDEX(EF!$H$132:$H$147,MATCH(Emissions!$D79,EF!$D$132:$D$147,0))*kgtoGg</f>
        <v>1.7603612272819413</v>
      </c>
      <c r="AN79" s="22">
        <f>INDEX('Activity data'!AN$24:AN$39,MATCH(Emissions!$D79,'Activity data'!$D$24:$D$39,0))*INDEX(EF!$H$84:$H$99,MATCH(Emissions!$D79,EF!$D$84:$D$99,0))*INDEX(EF!$H$100:$H$115,MATCH(Emissions!$D79,EF!$D$100:$D$115,0))*INDEX(EF!$H$132:$H$147,MATCH(Emissions!$D79,EF!$D$132:$D$147,0))*kgtoGg</f>
        <v>1.7586034841683753</v>
      </c>
      <c r="AO79" s="22">
        <f>INDEX('Activity data'!AO$24:AO$39,MATCH(Emissions!$D79,'Activity data'!$D$24:$D$39,0))*INDEX(EF!$H$84:$H$99,MATCH(Emissions!$D79,EF!$D$84:$D$99,0))*INDEX(EF!$H$100:$H$115,MATCH(Emissions!$D79,EF!$D$100:$D$115,0))*INDEX(EF!$H$132:$H$147,MATCH(Emissions!$D79,EF!$D$132:$D$147,0))*kgtoGg</f>
        <v>1.7568457410548095</v>
      </c>
      <c r="AP79" s="22">
        <f>INDEX('Activity data'!AP$24:AP$39,MATCH(Emissions!$D79,'Activity data'!$D$24:$D$39,0))*INDEX(EF!$H$84:$H$99,MATCH(Emissions!$D79,EF!$D$84:$D$99,0))*INDEX(EF!$H$100:$H$115,MATCH(Emissions!$D79,EF!$D$100:$D$115,0))*INDEX(EF!$H$132:$H$147,MATCH(Emissions!$D79,EF!$D$132:$D$147,0))*kgtoGg</f>
        <v>1.7550879979412437</v>
      </c>
      <c r="AQ79" s="22">
        <f>INDEX('Activity data'!AQ$24:AQ$39,MATCH(Emissions!$D79,'Activity data'!$D$24:$D$39,0))*INDEX(EF!$H$84:$H$99,MATCH(Emissions!$D79,EF!$D$84:$D$99,0))*INDEX(EF!$H$100:$H$115,MATCH(Emissions!$D79,EF!$D$100:$D$115,0))*INDEX(EF!$H$132:$H$147,MATCH(Emissions!$D79,EF!$D$132:$D$147,0))*kgtoGg</f>
        <v>1.7533302548276775</v>
      </c>
      <c r="AR79" s="22">
        <f>INDEX('Activity data'!AR$24:AR$39,MATCH(Emissions!$D79,'Activity data'!$D$24:$D$39,0))*INDEX(EF!$H$84:$H$99,MATCH(Emissions!$D79,EF!$D$84:$D$99,0))*INDEX(EF!$H$100:$H$115,MATCH(Emissions!$D79,EF!$D$100:$D$115,0))*INDEX(EF!$H$132:$H$147,MATCH(Emissions!$D79,EF!$D$132:$D$147,0))*kgtoGg</f>
        <v>1.7515725117141114</v>
      </c>
      <c r="AS79" s="22">
        <f>INDEX('Activity data'!AS$24:AS$39,MATCH(Emissions!$D79,'Activity data'!$D$24:$D$39,0))*INDEX(EF!$H$84:$H$99,MATCH(Emissions!$D79,EF!$D$84:$D$99,0))*INDEX(EF!$H$100:$H$115,MATCH(Emissions!$D79,EF!$D$100:$D$115,0))*INDEX(EF!$H$132:$H$147,MATCH(Emissions!$D79,EF!$D$132:$D$147,0))*kgtoGg</f>
        <v>1.7498147686005454</v>
      </c>
      <c r="AT79" s="22">
        <f>INDEX('Activity data'!AT$24:AT$39,MATCH(Emissions!$D79,'Activity data'!$D$24:$D$39,0))*INDEX(EF!$H$84:$H$99,MATCH(Emissions!$D79,EF!$D$84:$D$99,0))*INDEX(EF!$H$100:$H$115,MATCH(Emissions!$D79,EF!$D$100:$D$115,0))*INDEX(EF!$H$132:$H$147,MATCH(Emissions!$D79,EF!$D$132:$D$147,0))*kgtoGg</f>
        <v>1.7480570254869801</v>
      </c>
      <c r="AU79" s="22">
        <f>INDEX('Activity data'!AU$24:AU$39,MATCH(Emissions!$D79,'Activity data'!$D$24:$D$39,0))*INDEX(EF!$H$84:$H$99,MATCH(Emissions!$D79,EF!$D$84:$D$99,0))*INDEX(EF!$H$100:$H$115,MATCH(Emissions!$D79,EF!$D$100:$D$115,0))*INDEX(EF!$H$132:$H$147,MATCH(Emissions!$D79,EF!$D$132:$D$147,0))*kgtoGg</f>
        <v>1.7462992823734138</v>
      </c>
      <c r="AV79" s="22">
        <f>INDEX('Activity data'!AV$24:AV$39,MATCH(Emissions!$D79,'Activity data'!$D$24:$D$39,0))*INDEX(EF!$H$84:$H$99,MATCH(Emissions!$D79,EF!$D$84:$D$99,0))*INDEX(EF!$H$100:$H$115,MATCH(Emissions!$D79,EF!$D$100:$D$115,0))*INDEX(EF!$H$132:$H$147,MATCH(Emissions!$D79,EF!$D$132:$D$147,0))*kgtoGg</f>
        <v>1.7445415392598478</v>
      </c>
      <c r="AW79" s="22">
        <f>INDEX('Activity data'!AW$24:AW$39,MATCH(Emissions!$D79,'Activity data'!$D$24:$D$39,0))*INDEX(EF!$H$84:$H$99,MATCH(Emissions!$D79,EF!$D$84:$D$99,0))*INDEX(EF!$H$100:$H$115,MATCH(Emissions!$D79,EF!$D$100:$D$115,0))*INDEX(EF!$H$132:$H$147,MATCH(Emissions!$D79,EF!$D$132:$D$147,0))*kgtoGg</f>
        <v>1.7432131553212453</v>
      </c>
      <c r="AX79" s="22">
        <f>INDEX('Activity data'!AX$24:AX$39,MATCH(Emissions!$D79,'Activity data'!$D$24:$D$39,0))*INDEX(EF!$H$84:$H$99,MATCH(Emissions!$D79,EF!$D$84:$D$99,0))*INDEX(EF!$H$100:$H$115,MATCH(Emissions!$D79,EF!$D$100:$D$115,0))*INDEX(EF!$H$132:$H$147,MATCH(Emissions!$D79,EF!$D$132:$D$147,0))*kgtoGg</f>
        <v>1.7418847713826426</v>
      </c>
      <c r="AY79" s="22">
        <f>INDEX('Activity data'!AY$24:AY$39,MATCH(Emissions!$D79,'Activity data'!$D$24:$D$39,0))*INDEX(EF!$H$84:$H$99,MATCH(Emissions!$D79,EF!$D$84:$D$99,0))*INDEX(EF!$H$100:$H$115,MATCH(Emissions!$D79,EF!$D$100:$D$115,0))*INDEX(EF!$H$132:$H$147,MATCH(Emissions!$D79,EF!$D$132:$D$147,0))*kgtoGg</f>
        <v>1.7405563874440397</v>
      </c>
      <c r="AZ79" s="22">
        <f>INDEX('Activity data'!AZ$24:AZ$39,MATCH(Emissions!$D79,'Activity data'!$D$24:$D$39,0))*INDEX(EF!$H$84:$H$99,MATCH(Emissions!$D79,EF!$D$84:$D$99,0))*INDEX(EF!$H$100:$H$115,MATCH(Emissions!$D79,EF!$D$100:$D$115,0))*INDEX(EF!$H$132:$H$147,MATCH(Emissions!$D79,EF!$D$132:$D$147,0))*kgtoGg</f>
        <v>1.7392280035054373</v>
      </c>
      <c r="BA79" s="22">
        <f>INDEX('Activity data'!BA$24:BA$39,MATCH(Emissions!$D79,'Activity data'!$D$24:$D$39,0))*INDEX(EF!$H$84:$H$99,MATCH(Emissions!$D79,EF!$D$84:$D$99,0))*INDEX(EF!$H$100:$H$115,MATCH(Emissions!$D79,EF!$D$100:$D$115,0))*INDEX(EF!$H$132:$H$147,MATCH(Emissions!$D79,EF!$D$132:$D$147,0))*kgtoGg</f>
        <v>1.7378996195668346</v>
      </c>
      <c r="BB79" s="22">
        <f>INDEX('Activity data'!BB$24:BB$39,MATCH(Emissions!$D79,'Activity data'!$D$24:$D$39,0))*INDEX(EF!$H$84:$H$99,MATCH(Emissions!$D79,EF!$D$84:$D$99,0))*INDEX(EF!$H$100:$H$115,MATCH(Emissions!$D79,EF!$D$100:$D$115,0))*INDEX(EF!$H$132:$H$147,MATCH(Emissions!$D79,EF!$D$132:$D$147,0))*kgtoGg</f>
        <v>1.7365712356282323</v>
      </c>
      <c r="BC79" s="22">
        <f>INDEX('Activity data'!BC$24:BC$39,MATCH(Emissions!$D79,'Activity data'!$D$24:$D$39,0))*INDEX(EF!$H$84:$H$99,MATCH(Emissions!$D79,EF!$D$84:$D$99,0))*INDEX(EF!$H$100:$H$115,MATCH(Emissions!$D79,EF!$D$100:$D$115,0))*INDEX(EF!$H$132:$H$147,MATCH(Emissions!$D79,EF!$D$132:$D$147,0))*kgtoGg</f>
        <v>1.7352428516896297</v>
      </c>
      <c r="BD79" s="22">
        <f>INDEX('Activity data'!BD$24:BD$39,MATCH(Emissions!$D79,'Activity data'!$D$24:$D$39,0))*INDEX(EF!$H$84:$H$99,MATCH(Emissions!$D79,EF!$D$84:$D$99,0))*INDEX(EF!$H$100:$H$115,MATCH(Emissions!$D79,EF!$D$100:$D$115,0))*INDEX(EF!$H$132:$H$147,MATCH(Emissions!$D79,EF!$D$132:$D$147,0))*kgtoGg</f>
        <v>1.733914467751027</v>
      </c>
      <c r="BE79" s="22">
        <f>INDEX('Activity data'!BE$24:BE$39,MATCH(Emissions!$D79,'Activity data'!$D$24:$D$39,0))*INDEX(EF!$H$84:$H$99,MATCH(Emissions!$D79,EF!$D$84:$D$99,0))*INDEX(EF!$H$100:$H$115,MATCH(Emissions!$D79,EF!$D$100:$D$115,0))*INDEX(EF!$H$132:$H$147,MATCH(Emissions!$D79,EF!$D$132:$D$147,0))*kgtoGg</f>
        <v>1.7325860838124245</v>
      </c>
      <c r="BF79" s="22">
        <f>INDEX('Activity data'!BF$24:BF$39,MATCH(Emissions!$D79,'Activity data'!$D$24:$D$39,0))*INDEX(EF!$H$84:$H$99,MATCH(Emissions!$D79,EF!$D$84:$D$99,0))*INDEX(EF!$H$100:$H$115,MATCH(Emissions!$D79,EF!$D$100:$D$115,0))*INDEX(EF!$H$132:$H$147,MATCH(Emissions!$D79,EF!$D$132:$D$147,0))*kgtoGg</f>
        <v>1.7312576998738221</v>
      </c>
      <c r="BG79" s="22">
        <f>INDEX('Activity data'!BG$24:BG$39,MATCH(Emissions!$D79,'Activity data'!$D$24:$D$39,0))*INDEX(EF!$H$84:$H$99,MATCH(Emissions!$D79,EF!$D$84:$D$99,0))*INDEX(EF!$H$100:$H$115,MATCH(Emissions!$D79,EF!$D$100:$D$115,0))*INDEX(EF!$H$132:$H$147,MATCH(Emissions!$D79,EF!$D$132:$D$147,0))*kgtoGg</f>
        <v>1.7299293159352198</v>
      </c>
      <c r="BH79" s="22">
        <f>INDEX('Activity data'!BH$24:BH$39,MATCH(Emissions!$D79,'Activity data'!$D$24:$D$39,0))*INDEX(EF!$H$84:$H$99,MATCH(Emissions!$D79,EF!$D$84:$D$99,0))*INDEX(EF!$H$100:$H$115,MATCH(Emissions!$D79,EF!$D$100:$D$115,0))*INDEX(EF!$H$132:$H$147,MATCH(Emissions!$D79,EF!$D$132:$D$147,0))*kgtoGg</f>
        <v>1.7286009319966171</v>
      </c>
      <c r="BI79" s="22">
        <f>INDEX('Activity data'!BI$24:BI$39,MATCH(Emissions!$D79,'Activity data'!$D$24:$D$39,0))*INDEX(EF!$H$84:$H$99,MATCH(Emissions!$D79,EF!$D$84:$D$99,0))*INDEX(EF!$H$100:$H$115,MATCH(Emissions!$D79,EF!$D$100:$D$115,0))*INDEX(EF!$H$132:$H$147,MATCH(Emissions!$D79,EF!$D$132:$D$147,0))*kgtoGg</f>
        <v>1.7272725480580147</v>
      </c>
      <c r="BJ79" s="22">
        <f>INDEX('Activity data'!BJ$24:BJ$39,MATCH(Emissions!$D79,'Activity data'!$D$24:$D$39,0))*INDEX(EF!$H$84:$H$99,MATCH(Emissions!$D79,EF!$D$84:$D$99,0))*INDEX(EF!$H$100:$H$115,MATCH(Emissions!$D79,EF!$D$100:$D$115,0))*INDEX(EF!$H$132:$H$147,MATCH(Emissions!$D79,EF!$D$132:$D$147,0))*kgtoGg</f>
        <v>1.7259441641194122</v>
      </c>
      <c r="BK79" s="22">
        <f>INDEX('Activity data'!BK$24:BK$39,MATCH(Emissions!$D79,'Activity data'!$D$24:$D$39,0))*INDEX(EF!$H$84:$H$99,MATCH(Emissions!$D79,EF!$D$84:$D$99,0))*INDEX(EF!$H$100:$H$115,MATCH(Emissions!$D79,EF!$D$100:$D$115,0))*INDEX(EF!$H$132:$H$147,MATCH(Emissions!$D79,EF!$D$132:$D$147,0))*kgtoGg</f>
        <v>1.7246157801808097</v>
      </c>
      <c r="BL79" s="22">
        <f>INDEX('Activity data'!BL$24:BL$39,MATCH(Emissions!$D79,'Activity data'!$D$24:$D$39,0))*INDEX(EF!$H$84:$H$99,MATCH(Emissions!$D79,EF!$D$84:$D$99,0))*INDEX(EF!$H$100:$H$115,MATCH(Emissions!$D79,EF!$D$100:$D$115,0))*INDEX(EF!$H$132:$H$147,MATCH(Emissions!$D79,EF!$D$132:$D$147,0))*kgtoGg</f>
        <v>1.7232873962422073</v>
      </c>
      <c r="BM79" s="22">
        <f>INDEX('Activity data'!BM$24:BM$39,MATCH(Emissions!$D79,'Activity data'!$D$24:$D$39,0))*INDEX(EF!$H$84:$H$99,MATCH(Emissions!$D79,EF!$D$84:$D$99,0))*INDEX(EF!$H$100:$H$115,MATCH(Emissions!$D79,EF!$D$100:$D$115,0))*INDEX(EF!$H$132:$H$147,MATCH(Emissions!$D79,EF!$D$132:$D$147,0))*kgtoGg</f>
        <v>1.7219590123036046</v>
      </c>
      <c r="BN79" s="22">
        <f>INDEX('Activity data'!BN$24:BN$39,MATCH(Emissions!$D79,'Activity data'!$D$24:$D$39,0))*INDEX(EF!$H$84:$H$99,MATCH(Emissions!$D79,EF!$D$84:$D$99,0))*INDEX(EF!$H$100:$H$115,MATCH(Emissions!$D79,EF!$D$100:$D$115,0))*INDEX(EF!$H$132:$H$147,MATCH(Emissions!$D79,EF!$D$132:$D$147,0))*kgtoGg</f>
        <v>1.7206306283650024</v>
      </c>
      <c r="BO79" s="22">
        <f>INDEX('Activity data'!BO$24:BO$39,MATCH(Emissions!$D79,'Activity data'!$D$24:$D$39,0))*INDEX(EF!$H$84:$H$99,MATCH(Emissions!$D79,EF!$D$84:$D$99,0))*INDEX(EF!$H$100:$H$115,MATCH(Emissions!$D79,EF!$D$100:$D$115,0))*INDEX(EF!$H$132:$H$147,MATCH(Emissions!$D79,EF!$D$132:$D$147,0))*kgtoGg</f>
        <v>1.7193022444263997</v>
      </c>
      <c r="BP79" s="22">
        <f>INDEX('Activity data'!BP$24:BP$39,MATCH(Emissions!$D79,'Activity data'!$D$24:$D$39,0))*INDEX(EF!$H$84:$H$99,MATCH(Emissions!$D79,EF!$D$84:$D$99,0))*INDEX(EF!$H$100:$H$115,MATCH(Emissions!$D79,EF!$D$100:$D$115,0))*INDEX(EF!$H$132:$H$147,MATCH(Emissions!$D79,EF!$D$132:$D$147,0))*kgtoGg</f>
        <v>1.7179738604877974</v>
      </c>
    </row>
    <row r="80" spans="1:68" x14ac:dyDescent="0.25">
      <c r="A80" t="str">
        <f t="shared" si="19"/>
        <v>3C Aggregated and non-CO2 emissions on land</v>
      </c>
      <c r="B80" t="str">
        <f t="shared" si="26"/>
        <v>3C1 Biomass burning (N2O)</v>
      </c>
      <c r="C80" t="str">
        <f t="shared" si="25"/>
        <v>3C1c Biomass burning in Grasslands</v>
      </c>
      <c r="D80" t="str">
        <f>EF!D110</f>
        <v>Low shrublands</v>
      </c>
      <c r="E80" t="s">
        <v>657</v>
      </c>
      <c r="F80" t="str">
        <f t="shared" si="27"/>
        <v>N2O</v>
      </c>
      <c r="G80" t="str">
        <f t="shared" si="28"/>
        <v>Gg N2O</v>
      </c>
      <c r="H80" s="22">
        <f>INDEX('Activity data'!H$24:H$39,MATCH(Emissions!$D80,'Activity data'!$D$24:$D$39,0))*INDEX(EF!$H$84:$H$99,MATCH(Emissions!$D80,EF!$D$84:$D$99,0))*INDEX(EF!$H$100:$H$115,MATCH(Emissions!$D80,EF!$D$100:$D$115,0))*INDEX(EF!$H$132:$H$147,MATCH(Emissions!$D80,EF!$D$132:$D$147,0))*kgtoGg</f>
        <v>0.10138378574782032</v>
      </c>
      <c r="I80" s="22">
        <f>INDEX('Activity data'!I$24:I$39,MATCH(Emissions!$D80,'Activity data'!$D$24:$D$39,0))*INDEX(EF!$H$84:$H$99,MATCH(Emissions!$D80,EF!$D$84:$D$99,0))*INDEX(EF!$H$100:$H$115,MATCH(Emissions!$D80,EF!$D$100:$D$115,0))*INDEX(EF!$H$132:$H$147,MATCH(Emissions!$D80,EF!$D$132:$D$147,0))*kgtoGg</f>
        <v>0.10138378574782032</v>
      </c>
      <c r="J80" s="22">
        <f>INDEX('Activity data'!J$24:J$39,MATCH(Emissions!$D80,'Activity data'!$D$24:$D$39,0))*INDEX(EF!$H$84:$H$99,MATCH(Emissions!$D80,EF!$D$84:$D$99,0))*INDEX(EF!$H$100:$H$115,MATCH(Emissions!$D80,EF!$D$100:$D$115,0))*INDEX(EF!$H$132:$H$147,MATCH(Emissions!$D80,EF!$D$132:$D$147,0))*kgtoGg</f>
        <v>0.10138378574782032</v>
      </c>
      <c r="K80" s="22">
        <f>INDEX('Activity data'!K$24:K$39,MATCH(Emissions!$D80,'Activity data'!$D$24:$D$39,0))*INDEX(EF!$H$84:$H$99,MATCH(Emissions!$D80,EF!$D$84:$D$99,0))*INDEX(EF!$H$100:$H$115,MATCH(Emissions!$D80,EF!$D$100:$D$115,0))*INDEX(EF!$H$132:$H$147,MATCH(Emissions!$D80,EF!$D$132:$D$147,0))*kgtoGg</f>
        <v>0.10138378574782032</v>
      </c>
      <c r="L80" s="22">
        <f>INDEX('Activity data'!L$24:L$39,MATCH(Emissions!$D80,'Activity data'!$D$24:$D$39,0))*INDEX(EF!$H$84:$H$99,MATCH(Emissions!$D80,EF!$D$84:$D$99,0))*INDEX(EF!$H$100:$H$115,MATCH(Emissions!$D80,EF!$D$100:$D$115,0))*INDEX(EF!$H$132:$H$147,MATCH(Emissions!$D80,EF!$D$132:$D$147,0))*kgtoGg</f>
        <v>0.10138378574782032</v>
      </c>
      <c r="M80" s="22">
        <f>INDEX('Activity data'!M$24:M$39,MATCH(Emissions!$D80,'Activity data'!$D$24:$D$39,0))*INDEX(EF!$H$84:$H$99,MATCH(Emissions!$D80,EF!$D$84:$D$99,0))*INDEX(EF!$H$100:$H$115,MATCH(Emissions!$D80,EF!$D$100:$D$115,0))*INDEX(EF!$H$132:$H$147,MATCH(Emissions!$D80,EF!$D$132:$D$147,0))*kgtoGg</f>
        <v>0.10138378574782032</v>
      </c>
      <c r="N80" s="22">
        <f>INDEX('Activity data'!N$24:N$39,MATCH(Emissions!$D80,'Activity data'!$D$24:$D$39,0))*INDEX(EF!$H$84:$H$99,MATCH(Emissions!$D80,EF!$D$84:$D$99,0))*INDEX(EF!$H$100:$H$115,MATCH(Emissions!$D80,EF!$D$100:$D$115,0))*INDEX(EF!$H$132:$H$147,MATCH(Emissions!$D80,EF!$D$132:$D$147,0))*kgtoGg</f>
        <v>0.10138378574782032</v>
      </c>
      <c r="O80" s="22">
        <f>INDEX('Activity data'!O$24:O$39,MATCH(Emissions!$D80,'Activity data'!$D$24:$D$39,0))*INDEX(EF!$H$84:$H$99,MATCH(Emissions!$D80,EF!$D$84:$D$99,0))*INDEX(EF!$H$100:$H$115,MATCH(Emissions!$D80,EF!$D$100:$D$115,0))*INDEX(EF!$H$132:$H$147,MATCH(Emissions!$D80,EF!$D$132:$D$147,0))*kgtoGg</f>
        <v>0.10138378574782032</v>
      </c>
      <c r="P80" s="22">
        <f>INDEX('Activity data'!P$24:P$39,MATCH(Emissions!$D80,'Activity data'!$D$24:$D$39,0))*INDEX(EF!$H$84:$H$99,MATCH(Emissions!$D80,EF!$D$84:$D$99,0))*INDEX(EF!$H$100:$H$115,MATCH(Emissions!$D80,EF!$D$100:$D$115,0))*INDEX(EF!$H$132:$H$147,MATCH(Emissions!$D80,EF!$D$132:$D$147,0))*kgtoGg</f>
        <v>0.10138378574782032</v>
      </c>
      <c r="Q80" s="22">
        <f>INDEX('Activity data'!Q$24:Q$39,MATCH(Emissions!$D80,'Activity data'!$D$24:$D$39,0))*INDEX(EF!$H$84:$H$99,MATCH(Emissions!$D80,EF!$D$84:$D$99,0))*INDEX(EF!$H$100:$H$115,MATCH(Emissions!$D80,EF!$D$100:$D$115,0))*INDEX(EF!$H$132:$H$147,MATCH(Emissions!$D80,EF!$D$132:$D$147,0))*kgtoGg</f>
        <v>0.10138378574782032</v>
      </c>
      <c r="R80" s="22">
        <f>INDEX('Activity data'!R$24:R$39,MATCH(Emissions!$D80,'Activity data'!$D$24:$D$39,0))*INDEX(EF!$H$84:$H$99,MATCH(Emissions!$D80,EF!$D$84:$D$99,0))*INDEX(EF!$H$100:$H$115,MATCH(Emissions!$D80,EF!$D$100:$D$115,0))*INDEX(EF!$H$132:$H$147,MATCH(Emissions!$D80,EF!$D$132:$D$147,0))*kgtoGg</f>
        <v>8.5231141447125972E-2</v>
      </c>
      <c r="S80" s="22">
        <f>INDEX('Activity data'!S$24:S$39,MATCH(Emissions!$D80,'Activity data'!$D$24:$D$39,0))*INDEX(EF!$H$84:$H$99,MATCH(Emissions!$D80,EF!$D$84:$D$99,0))*INDEX(EF!$H$100:$H$115,MATCH(Emissions!$D80,EF!$D$100:$D$115,0))*INDEX(EF!$H$132:$H$147,MATCH(Emissions!$D80,EF!$D$132:$D$147,0))*kgtoGg</f>
        <v>7.1709459975422038E-2</v>
      </c>
      <c r="T80" s="22">
        <f>INDEX('Activity data'!T$24:T$39,MATCH(Emissions!$D80,'Activity data'!$D$24:$D$39,0))*INDEX(EF!$H$84:$H$99,MATCH(Emissions!$D80,EF!$D$84:$D$99,0))*INDEX(EF!$H$100:$H$115,MATCH(Emissions!$D80,EF!$D$100:$D$115,0))*INDEX(EF!$H$132:$H$147,MATCH(Emissions!$D80,EF!$D$132:$D$147,0))*kgtoGg</f>
        <v>0.17455023310662754</v>
      </c>
      <c r="U80" s="22">
        <f>INDEX('Activity data'!U$24:U$39,MATCH(Emissions!$D80,'Activity data'!$D$24:$D$39,0))*INDEX(EF!$H$84:$H$99,MATCH(Emissions!$D80,EF!$D$84:$D$99,0))*INDEX(EF!$H$100:$H$115,MATCH(Emissions!$D80,EF!$D$100:$D$115,0))*INDEX(EF!$H$132:$H$147,MATCH(Emissions!$D80,EF!$D$132:$D$147,0))*kgtoGg</f>
        <v>0.10888098161808096</v>
      </c>
      <c r="V80" s="22">
        <f>INDEX('Activity data'!V$24:V$39,MATCH(Emissions!$D80,'Activity data'!$D$24:$D$39,0))*INDEX(EF!$H$84:$H$99,MATCH(Emissions!$D80,EF!$D$84:$D$99,0))*INDEX(EF!$H$100:$H$115,MATCH(Emissions!$D80,EF!$D$100:$D$115,0))*INDEX(EF!$H$132:$H$147,MATCH(Emissions!$D80,EF!$D$132:$D$147,0))*kgtoGg</f>
        <v>6.6547112591845162E-2</v>
      </c>
      <c r="W80" s="22">
        <f>INDEX('Activity data'!W$24:W$39,MATCH(Emissions!$D80,'Activity data'!$D$24:$D$39,0))*INDEX(EF!$H$84:$H$99,MATCH(Emissions!$D80,EF!$D$84:$D$99,0))*INDEX(EF!$H$100:$H$115,MATCH(Emissions!$D80,EF!$D$100:$D$115,0))*INDEX(EF!$H$132:$H$147,MATCH(Emissions!$D80,EF!$D$132:$D$147,0))*kgtoGg</f>
        <v>0.112929624616876</v>
      </c>
      <c r="X80" s="22">
        <f>INDEX('Activity data'!X$24:X$39,MATCH(Emissions!$D80,'Activity data'!$D$24:$D$39,0))*INDEX(EF!$H$84:$H$99,MATCH(Emissions!$D80,EF!$D$84:$D$99,0))*INDEX(EF!$H$100:$H$115,MATCH(Emissions!$D80,EF!$D$100:$D$115,0))*INDEX(EF!$H$132:$H$147,MATCH(Emissions!$D80,EF!$D$132:$D$147,0))*kgtoGg</f>
        <v>8.765508628459226E-2</v>
      </c>
      <c r="Y80" s="22">
        <f>INDEX('Activity data'!Y$24:Y$39,MATCH(Emissions!$D80,'Activity data'!$D$24:$D$39,0))*INDEX(EF!$H$84:$H$99,MATCH(Emissions!$D80,EF!$D$84:$D$99,0))*INDEX(EF!$H$100:$H$115,MATCH(Emissions!$D80,EF!$D$100:$D$115,0))*INDEX(EF!$H$132:$H$147,MATCH(Emissions!$D80,EF!$D$132:$D$147,0))*kgtoGg</f>
        <v>7.5430542861045974E-2</v>
      </c>
      <c r="Z80" s="22">
        <f>INDEX('Activity data'!Z$24:Z$39,MATCH(Emissions!$D80,'Activity data'!$D$24:$D$39,0))*INDEX(EF!$H$84:$H$99,MATCH(Emissions!$D80,EF!$D$84:$D$99,0))*INDEX(EF!$H$100:$H$115,MATCH(Emissions!$D80,EF!$D$100:$D$115,0))*INDEX(EF!$H$132:$H$147,MATCH(Emissions!$D80,EF!$D$132:$D$147,0))*kgtoGg</f>
        <v>9.1349964361162508E-2</v>
      </c>
      <c r="AA80" s="22">
        <f>INDEX('Activity data'!AA$24:AA$39,MATCH(Emissions!$D80,'Activity data'!$D$24:$D$39,0))*INDEX(EF!$H$84:$H$99,MATCH(Emissions!$D80,EF!$D$84:$D$99,0))*INDEX(EF!$H$100:$H$115,MATCH(Emissions!$D80,EF!$D$100:$D$115,0))*INDEX(EF!$H$132:$H$147,MATCH(Emissions!$D80,EF!$D$132:$D$147,0))*kgtoGg</f>
        <v>0.12220612702188222</v>
      </c>
      <c r="AB80" s="22">
        <f>INDEX('Activity data'!AB$24:AB$39,MATCH(Emissions!$D80,'Activity data'!$D$24:$D$39,0))*INDEX(EF!$H$84:$H$99,MATCH(Emissions!$D80,EF!$D$84:$D$99,0))*INDEX(EF!$H$100:$H$115,MATCH(Emissions!$D80,EF!$D$100:$D$115,0))*INDEX(EF!$H$132:$H$147,MATCH(Emissions!$D80,EF!$D$132:$D$147,0))*kgtoGg</f>
        <v>0.29256780571200003</v>
      </c>
      <c r="AC80" s="22">
        <f>INDEX('Activity data'!AC$24:AC$39,MATCH(Emissions!$D80,'Activity data'!$D$24:$D$39,0))*INDEX(EF!$H$84:$H$99,MATCH(Emissions!$D80,EF!$D$84:$D$99,0))*INDEX(EF!$H$100:$H$115,MATCH(Emissions!$D80,EF!$D$100:$D$115,0))*INDEX(EF!$H$132:$H$147,MATCH(Emissions!$D80,EF!$D$132:$D$147,0))*kgtoGg</f>
        <v>0.29394949671360004</v>
      </c>
      <c r="AD80" s="22">
        <f>INDEX('Activity data'!AD$24:AD$39,MATCH(Emissions!$D80,'Activity data'!$D$24:$D$39,0))*INDEX(EF!$H$84:$H$99,MATCH(Emissions!$D80,EF!$D$84:$D$99,0))*INDEX(EF!$H$100:$H$115,MATCH(Emissions!$D80,EF!$D$100:$D$115,0))*INDEX(EF!$H$132:$H$147,MATCH(Emissions!$D80,EF!$D$132:$D$147,0))*kgtoGg</f>
        <v>0.15402464733467328</v>
      </c>
      <c r="AE80" s="22">
        <f>INDEX('Activity data'!AE$24:AE$39,MATCH(Emissions!$D80,'Activity data'!$D$24:$D$39,0))*INDEX(EF!$H$84:$H$99,MATCH(Emissions!$D80,EF!$D$84:$D$99,0))*INDEX(EF!$H$100:$H$115,MATCH(Emissions!$D80,EF!$D$100:$D$115,0))*INDEX(EF!$H$132:$H$147,MATCH(Emissions!$D80,EF!$D$132:$D$147,0))*kgtoGg</f>
        <v>0.15409597946942172</v>
      </c>
      <c r="AF80" s="22">
        <f>INDEX('Activity data'!AF$24:AF$39,MATCH(Emissions!$D80,'Activity data'!$D$24:$D$39,0))*INDEX(EF!$H$84:$H$99,MATCH(Emissions!$D80,EF!$D$84:$D$99,0))*INDEX(EF!$H$100:$H$115,MATCH(Emissions!$D80,EF!$D$100:$D$115,0))*INDEX(EF!$H$132:$H$147,MATCH(Emissions!$D80,EF!$D$132:$D$147,0))*kgtoGg</f>
        <v>0.15416731160417013</v>
      </c>
      <c r="AG80" s="22">
        <f>INDEX('Activity data'!AG$24:AG$39,MATCH(Emissions!$D80,'Activity data'!$D$24:$D$39,0))*INDEX(EF!$H$84:$H$99,MATCH(Emissions!$D80,EF!$D$84:$D$99,0))*INDEX(EF!$H$100:$H$115,MATCH(Emissions!$D80,EF!$D$100:$D$115,0))*INDEX(EF!$H$132:$H$147,MATCH(Emissions!$D80,EF!$D$132:$D$147,0))*kgtoGg</f>
        <v>0.15436581618121767</v>
      </c>
      <c r="AH80" s="22">
        <f>INDEX('Activity data'!AH$24:AH$39,MATCH(Emissions!$D80,'Activity data'!$D$24:$D$39,0))*INDEX(EF!$H$84:$H$99,MATCH(Emissions!$D80,EF!$D$84:$D$99,0))*INDEX(EF!$H$100:$H$115,MATCH(Emissions!$D80,EF!$D$100:$D$115,0))*INDEX(EF!$H$132:$H$147,MATCH(Emissions!$D80,EF!$D$132:$D$147,0))*kgtoGg</f>
        <v>0.15456432075826512</v>
      </c>
      <c r="AI80" s="22">
        <f>INDEX('Activity data'!AI$24:AI$39,MATCH(Emissions!$D80,'Activity data'!$D$24:$D$39,0))*INDEX(EF!$H$84:$H$99,MATCH(Emissions!$D80,EF!$D$84:$D$99,0))*INDEX(EF!$H$100:$H$115,MATCH(Emissions!$D80,EF!$D$100:$D$115,0))*INDEX(EF!$H$132:$H$147,MATCH(Emissions!$D80,EF!$D$132:$D$147,0))*kgtoGg</f>
        <v>0.1547628253353126</v>
      </c>
      <c r="AJ80" s="22">
        <f>INDEX('Activity data'!AJ$24:AJ$39,MATCH(Emissions!$D80,'Activity data'!$D$24:$D$39,0))*INDEX(EF!$H$84:$H$99,MATCH(Emissions!$D80,EF!$D$84:$D$99,0))*INDEX(EF!$H$100:$H$115,MATCH(Emissions!$D80,EF!$D$100:$D$115,0))*INDEX(EF!$H$132:$H$147,MATCH(Emissions!$D80,EF!$D$132:$D$147,0))*kgtoGg</f>
        <v>0.15496132991236009</v>
      </c>
      <c r="AK80" s="22">
        <f>INDEX('Activity data'!AK$24:AK$39,MATCH(Emissions!$D80,'Activity data'!$D$24:$D$39,0))*INDEX(EF!$H$84:$H$99,MATCH(Emissions!$D80,EF!$D$84:$D$99,0))*INDEX(EF!$H$100:$H$115,MATCH(Emissions!$D80,EF!$D$100:$D$115,0))*INDEX(EF!$H$132:$H$147,MATCH(Emissions!$D80,EF!$D$132:$D$147,0))*kgtoGg</f>
        <v>0.15514731425400569</v>
      </c>
      <c r="AL80" s="22">
        <f>INDEX('Activity data'!AL$24:AL$39,MATCH(Emissions!$D80,'Activity data'!$D$24:$D$39,0))*INDEX(EF!$H$84:$H$99,MATCH(Emissions!$D80,EF!$D$84:$D$99,0))*INDEX(EF!$H$100:$H$115,MATCH(Emissions!$D80,EF!$D$100:$D$115,0))*INDEX(EF!$H$132:$H$147,MATCH(Emissions!$D80,EF!$D$132:$D$147,0))*kgtoGg</f>
        <v>0.1553332985956514</v>
      </c>
      <c r="AM80" s="22">
        <f>INDEX('Activity data'!AM$24:AM$39,MATCH(Emissions!$D80,'Activity data'!$D$24:$D$39,0))*INDEX(EF!$H$84:$H$99,MATCH(Emissions!$D80,EF!$D$84:$D$99,0))*INDEX(EF!$H$100:$H$115,MATCH(Emissions!$D80,EF!$D$100:$D$115,0))*INDEX(EF!$H$132:$H$147,MATCH(Emissions!$D80,EF!$D$132:$D$147,0))*kgtoGg</f>
        <v>0.15551928293729705</v>
      </c>
      <c r="AN80" s="22">
        <f>INDEX('Activity data'!AN$24:AN$39,MATCH(Emissions!$D80,'Activity data'!$D$24:$D$39,0))*INDEX(EF!$H$84:$H$99,MATCH(Emissions!$D80,EF!$D$84:$D$99,0))*INDEX(EF!$H$100:$H$115,MATCH(Emissions!$D80,EF!$D$100:$D$115,0))*INDEX(EF!$H$132:$H$147,MATCH(Emissions!$D80,EF!$D$132:$D$147,0))*kgtoGg</f>
        <v>0.15570526727894271</v>
      </c>
      <c r="AO80" s="22">
        <f>INDEX('Activity data'!AO$24:AO$39,MATCH(Emissions!$D80,'Activity data'!$D$24:$D$39,0))*INDEX(EF!$H$84:$H$99,MATCH(Emissions!$D80,EF!$D$84:$D$99,0))*INDEX(EF!$H$100:$H$115,MATCH(Emissions!$D80,EF!$D$100:$D$115,0))*INDEX(EF!$H$132:$H$147,MATCH(Emissions!$D80,EF!$D$132:$D$147,0))*kgtoGg</f>
        <v>0.15589125162058842</v>
      </c>
      <c r="AP80" s="22">
        <f>INDEX('Activity data'!AP$24:AP$39,MATCH(Emissions!$D80,'Activity data'!$D$24:$D$39,0))*INDEX(EF!$H$84:$H$99,MATCH(Emissions!$D80,EF!$D$84:$D$99,0))*INDEX(EF!$H$100:$H$115,MATCH(Emissions!$D80,EF!$D$100:$D$115,0))*INDEX(EF!$H$132:$H$147,MATCH(Emissions!$D80,EF!$D$132:$D$147,0))*kgtoGg</f>
        <v>0.15607723596223405</v>
      </c>
      <c r="AQ80" s="22">
        <f>INDEX('Activity data'!AQ$24:AQ$39,MATCH(Emissions!$D80,'Activity data'!$D$24:$D$39,0))*INDEX(EF!$H$84:$H$99,MATCH(Emissions!$D80,EF!$D$84:$D$99,0))*INDEX(EF!$H$100:$H$115,MATCH(Emissions!$D80,EF!$D$100:$D$115,0))*INDEX(EF!$H$132:$H$147,MATCH(Emissions!$D80,EF!$D$132:$D$147,0))*kgtoGg</f>
        <v>0.15626322030387974</v>
      </c>
      <c r="AR80" s="22">
        <f>INDEX('Activity data'!AR$24:AR$39,MATCH(Emissions!$D80,'Activity data'!$D$24:$D$39,0))*INDEX(EF!$H$84:$H$99,MATCH(Emissions!$D80,EF!$D$84:$D$99,0))*INDEX(EF!$H$100:$H$115,MATCH(Emissions!$D80,EF!$D$100:$D$115,0))*INDEX(EF!$H$132:$H$147,MATCH(Emissions!$D80,EF!$D$132:$D$147,0))*kgtoGg</f>
        <v>0.15644920464552536</v>
      </c>
      <c r="AS80" s="22">
        <f>INDEX('Activity data'!AS$24:AS$39,MATCH(Emissions!$D80,'Activity data'!$D$24:$D$39,0))*INDEX(EF!$H$84:$H$99,MATCH(Emissions!$D80,EF!$D$84:$D$99,0))*INDEX(EF!$H$100:$H$115,MATCH(Emissions!$D80,EF!$D$100:$D$115,0))*INDEX(EF!$H$132:$H$147,MATCH(Emissions!$D80,EF!$D$132:$D$147,0))*kgtoGg</f>
        <v>0.15663518898717105</v>
      </c>
      <c r="AT80" s="22">
        <f>INDEX('Activity data'!AT$24:AT$39,MATCH(Emissions!$D80,'Activity data'!$D$24:$D$39,0))*INDEX(EF!$H$84:$H$99,MATCH(Emissions!$D80,EF!$D$84:$D$99,0))*INDEX(EF!$H$100:$H$115,MATCH(Emissions!$D80,EF!$D$100:$D$115,0))*INDEX(EF!$H$132:$H$147,MATCH(Emissions!$D80,EF!$D$132:$D$147,0))*kgtoGg</f>
        <v>0.15682117332881668</v>
      </c>
      <c r="AU80" s="22">
        <f>INDEX('Activity data'!AU$24:AU$39,MATCH(Emissions!$D80,'Activity data'!$D$24:$D$39,0))*INDEX(EF!$H$84:$H$99,MATCH(Emissions!$D80,EF!$D$84:$D$99,0))*INDEX(EF!$H$100:$H$115,MATCH(Emissions!$D80,EF!$D$100:$D$115,0))*INDEX(EF!$H$132:$H$147,MATCH(Emissions!$D80,EF!$D$132:$D$147,0))*kgtoGg</f>
        <v>0.15700715767046236</v>
      </c>
      <c r="AV80" s="22">
        <f>INDEX('Activity data'!AV$24:AV$39,MATCH(Emissions!$D80,'Activity data'!$D$24:$D$39,0))*INDEX(EF!$H$84:$H$99,MATCH(Emissions!$D80,EF!$D$84:$D$99,0))*INDEX(EF!$H$100:$H$115,MATCH(Emissions!$D80,EF!$D$100:$D$115,0))*INDEX(EF!$H$132:$H$147,MATCH(Emissions!$D80,EF!$D$132:$D$147,0))*kgtoGg</f>
        <v>0.15719314201210802</v>
      </c>
      <c r="AW80" s="22">
        <f>INDEX('Activity data'!AW$24:AW$39,MATCH(Emissions!$D80,'Activity data'!$D$24:$D$39,0))*INDEX(EF!$H$84:$H$99,MATCH(Emissions!$D80,EF!$D$84:$D$99,0))*INDEX(EF!$H$100:$H$115,MATCH(Emissions!$D80,EF!$D$100:$D$115,0))*INDEX(EF!$H$132:$H$147,MATCH(Emissions!$D80,EF!$D$132:$D$147,0))*kgtoGg</f>
        <v>0.15737912635375373</v>
      </c>
      <c r="AX80" s="22">
        <f>INDEX('Activity data'!AX$24:AX$39,MATCH(Emissions!$D80,'Activity data'!$D$24:$D$39,0))*INDEX(EF!$H$84:$H$99,MATCH(Emissions!$D80,EF!$D$84:$D$99,0))*INDEX(EF!$H$100:$H$115,MATCH(Emissions!$D80,EF!$D$100:$D$115,0))*INDEX(EF!$H$132:$H$147,MATCH(Emissions!$D80,EF!$D$132:$D$147,0))*kgtoGg</f>
        <v>0.15756511069539933</v>
      </c>
      <c r="AY80" s="22">
        <f>INDEX('Activity data'!AY$24:AY$39,MATCH(Emissions!$D80,'Activity data'!$D$24:$D$39,0))*INDEX(EF!$H$84:$H$99,MATCH(Emissions!$D80,EF!$D$84:$D$99,0))*INDEX(EF!$H$100:$H$115,MATCH(Emissions!$D80,EF!$D$100:$D$115,0))*INDEX(EF!$H$132:$H$147,MATCH(Emissions!$D80,EF!$D$132:$D$147,0))*kgtoGg</f>
        <v>0.15775109503704501</v>
      </c>
      <c r="AZ80" s="22">
        <f>INDEX('Activity data'!AZ$24:AZ$39,MATCH(Emissions!$D80,'Activity data'!$D$24:$D$39,0))*INDEX(EF!$H$84:$H$99,MATCH(Emissions!$D80,EF!$D$84:$D$99,0))*INDEX(EF!$H$100:$H$115,MATCH(Emissions!$D80,EF!$D$100:$D$115,0))*INDEX(EF!$H$132:$H$147,MATCH(Emissions!$D80,EF!$D$132:$D$147,0))*kgtoGg</f>
        <v>0.15793707937869061</v>
      </c>
      <c r="BA80" s="22">
        <f>INDEX('Activity data'!BA$24:BA$39,MATCH(Emissions!$D80,'Activity data'!$D$24:$D$39,0))*INDEX(EF!$H$84:$H$99,MATCH(Emissions!$D80,EF!$D$84:$D$99,0))*INDEX(EF!$H$100:$H$115,MATCH(Emissions!$D80,EF!$D$100:$D$115,0))*INDEX(EF!$H$132:$H$147,MATCH(Emissions!$D80,EF!$D$132:$D$147,0))*kgtoGg</f>
        <v>0.15812306372033633</v>
      </c>
      <c r="BB80" s="22">
        <f>INDEX('Activity data'!BB$24:BB$39,MATCH(Emissions!$D80,'Activity data'!$D$24:$D$39,0))*INDEX(EF!$H$84:$H$99,MATCH(Emissions!$D80,EF!$D$84:$D$99,0))*INDEX(EF!$H$100:$H$115,MATCH(Emissions!$D80,EF!$D$100:$D$115,0))*INDEX(EF!$H$132:$H$147,MATCH(Emissions!$D80,EF!$D$132:$D$147,0))*kgtoGg</f>
        <v>0.15830904806198196</v>
      </c>
      <c r="BC80" s="22">
        <f>INDEX('Activity data'!BC$24:BC$39,MATCH(Emissions!$D80,'Activity data'!$D$24:$D$39,0))*INDEX(EF!$H$84:$H$99,MATCH(Emissions!$D80,EF!$D$84:$D$99,0))*INDEX(EF!$H$100:$H$115,MATCH(Emissions!$D80,EF!$D$100:$D$115,0))*INDEX(EF!$H$132:$H$147,MATCH(Emissions!$D80,EF!$D$132:$D$147,0))*kgtoGg</f>
        <v>0.15849503240362764</v>
      </c>
      <c r="BD80" s="22">
        <f>INDEX('Activity data'!BD$24:BD$39,MATCH(Emissions!$D80,'Activity data'!$D$24:$D$39,0))*INDEX(EF!$H$84:$H$99,MATCH(Emissions!$D80,EF!$D$84:$D$99,0))*INDEX(EF!$H$100:$H$115,MATCH(Emissions!$D80,EF!$D$100:$D$115,0))*INDEX(EF!$H$132:$H$147,MATCH(Emissions!$D80,EF!$D$132:$D$147,0))*kgtoGg</f>
        <v>0.1586810167452733</v>
      </c>
      <c r="BE80" s="22">
        <f>INDEX('Activity data'!BE$24:BE$39,MATCH(Emissions!$D80,'Activity data'!$D$24:$D$39,0))*INDEX(EF!$H$84:$H$99,MATCH(Emissions!$D80,EF!$D$84:$D$99,0))*INDEX(EF!$H$100:$H$115,MATCH(Emissions!$D80,EF!$D$100:$D$115,0))*INDEX(EF!$H$132:$H$147,MATCH(Emissions!$D80,EF!$D$132:$D$147,0))*kgtoGg</f>
        <v>0.15886700108691895</v>
      </c>
      <c r="BF80" s="22">
        <f>INDEX('Activity data'!BF$24:BF$39,MATCH(Emissions!$D80,'Activity data'!$D$24:$D$39,0))*INDEX(EF!$H$84:$H$99,MATCH(Emissions!$D80,EF!$D$84:$D$99,0))*INDEX(EF!$H$100:$H$115,MATCH(Emissions!$D80,EF!$D$100:$D$115,0))*INDEX(EF!$H$132:$H$147,MATCH(Emissions!$D80,EF!$D$132:$D$147,0))*kgtoGg</f>
        <v>0.15905298542856466</v>
      </c>
      <c r="BG80" s="22">
        <f>INDEX('Activity data'!BG$24:BG$39,MATCH(Emissions!$D80,'Activity data'!$D$24:$D$39,0))*INDEX(EF!$H$84:$H$99,MATCH(Emissions!$D80,EF!$D$84:$D$99,0))*INDEX(EF!$H$100:$H$115,MATCH(Emissions!$D80,EF!$D$100:$D$115,0))*INDEX(EF!$H$132:$H$147,MATCH(Emissions!$D80,EF!$D$132:$D$147,0))*kgtoGg</f>
        <v>0.15923896977021029</v>
      </c>
      <c r="BH80" s="22">
        <f>INDEX('Activity data'!BH$24:BH$39,MATCH(Emissions!$D80,'Activity data'!$D$24:$D$39,0))*INDEX(EF!$H$84:$H$99,MATCH(Emissions!$D80,EF!$D$84:$D$99,0))*INDEX(EF!$H$100:$H$115,MATCH(Emissions!$D80,EF!$D$100:$D$115,0))*INDEX(EF!$H$132:$H$147,MATCH(Emissions!$D80,EF!$D$132:$D$147,0))*kgtoGg</f>
        <v>0.15942495411185595</v>
      </c>
      <c r="BI80" s="22">
        <f>INDEX('Activity data'!BI$24:BI$39,MATCH(Emissions!$D80,'Activity data'!$D$24:$D$39,0))*INDEX(EF!$H$84:$H$99,MATCH(Emissions!$D80,EF!$D$84:$D$99,0))*INDEX(EF!$H$100:$H$115,MATCH(Emissions!$D80,EF!$D$100:$D$115,0))*INDEX(EF!$H$132:$H$147,MATCH(Emissions!$D80,EF!$D$132:$D$147,0))*kgtoGg</f>
        <v>0.15961093845350158</v>
      </c>
      <c r="BJ80" s="22">
        <f>INDEX('Activity data'!BJ$24:BJ$39,MATCH(Emissions!$D80,'Activity data'!$D$24:$D$39,0))*INDEX(EF!$H$84:$H$99,MATCH(Emissions!$D80,EF!$D$84:$D$99,0))*INDEX(EF!$H$100:$H$115,MATCH(Emissions!$D80,EF!$D$100:$D$115,0))*INDEX(EF!$H$132:$H$147,MATCH(Emissions!$D80,EF!$D$132:$D$147,0))*kgtoGg</f>
        <v>0.15979692279514729</v>
      </c>
      <c r="BK80" s="22">
        <f>INDEX('Activity data'!BK$24:BK$39,MATCH(Emissions!$D80,'Activity data'!$D$24:$D$39,0))*INDEX(EF!$H$84:$H$99,MATCH(Emissions!$D80,EF!$D$84:$D$99,0))*INDEX(EF!$H$100:$H$115,MATCH(Emissions!$D80,EF!$D$100:$D$115,0))*INDEX(EF!$H$132:$H$147,MATCH(Emissions!$D80,EF!$D$132:$D$147,0))*kgtoGg</f>
        <v>0.15998290713679295</v>
      </c>
      <c r="BL80" s="22">
        <f>INDEX('Activity data'!BL$24:BL$39,MATCH(Emissions!$D80,'Activity data'!$D$24:$D$39,0))*INDEX(EF!$H$84:$H$99,MATCH(Emissions!$D80,EF!$D$84:$D$99,0))*INDEX(EF!$H$100:$H$115,MATCH(Emissions!$D80,EF!$D$100:$D$115,0))*INDEX(EF!$H$132:$H$147,MATCH(Emissions!$D80,EF!$D$132:$D$147,0))*kgtoGg</f>
        <v>0.16016889147843857</v>
      </c>
      <c r="BM80" s="22">
        <f>INDEX('Activity data'!BM$24:BM$39,MATCH(Emissions!$D80,'Activity data'!$D$24:$D$39,0))*INDEX(EF!$H$84:$H$99,MATCH(Emissions!$D80,EF!$D$84:$D$99,0))*INDEX(EF!$H$100:$H$115,MATCH(Emissions!$D80,EF!$D$100:$D$115,0))*INDEX(EF!$H$132:$H$147,MATCH(Emissions!$D80,EF!$D$132:$D$147,0))*kgtoGg</f>
        <v>0.1603548758200842</v>
      </c>
      <c r="BN80" s="22">
        <f>INDEX('Activity data'!BN$24:BN$39,MATCH(Emissions!$D80,'Activity data'!$D$24:$D$39,0))*INDEX(EF!$H$84:$H$99,MATCH(Emissions!$D80,EF!$D$84:$D$99,0))*INDEX(EF!$H$100:$H$115,MATCH(Emissions!$D80,EF!$D$100:$D$115,0))*INDEX(EF!$H$132:$H$147,MATCH(Emissions!$D80,EF!$D$132:$D$147,0))*kgtoGg</f>
        <v>0.16054086016172991</v>
      </c>
      <c r="BO80" s="22">
        <f>INDEX('Activity data'!BO$24:BO$39,MATCH(Emissions!$D80,'Activity data'!$D$24:$D$39,0))*INDEX(EF!$H$84:$H$99,MATCH(Emissions!$D80,EF!$D$84:$D$99,0))*INDEX(EF!$H$100:$H$115,MATCH(Emissions!$D80,EF!$D$100:$D$115,0))*INDEX(EF!$H$132:$H$147,MATCH(Emissions!$D80,EF!$D$132:$D$147,0))*kgtoGg</f>
        <v>0.16072684450337554</v>
      </c>
      <c r="BP80" s="22">
        <f>INDEX('Activity data'!BP$24:BP$39,MATCH(Emissions!$D80,'Activity data'!$D$24:$D$39,0))*INDEX(EF!$H$84:$H$99,MATCH(Emissions!$D80,EF!$D$84:$D$99,0))*INDEX(EF!$H$100:$H$115,MATCH(Emissions!$D80,EF!$D$100:$D$115,0))*INDEX(EF!$H$132:$H$147,MATCH(Emissions!$D80,EF!$D$132:$D$147,0))*kgtoGg</f>
        <v>0.1609128288450212</v>
      </c>
    </row>
    <row r="81" spans="1:68" x14ac:dyDescent="0.25">
      <c r="A81" t="str">
        <f t="shared" si="19"/>
        <v>3C Aggregated and non-CO2 emissions on land</v>
      </c>
      <c r="B81" t="str">
        <f t="shared" si="26"/>
        <v>3C1 Biomass burning (N2O)</v>
      </c>
      <c r="C81" t="str">
        <f t="shared" si="25"/>
        <v>3C1c Biomass burning in Grasslands</v>
      </c>
      <c r="D81" t="str">
        <f>EF!D111</f>
        <v>Degraded land</v>
      </c>
      <c r="E81" t="s">
        <v>647</v>
      </c>
      <c r="F81" t="str">
        <f t="shared" si="27"/>
        <v>N2O</v>
      </c>
      <c r="G81" t="str">
        <f t="shared" si="28"/>
        <v>Gg N2O</v>
      </c>
      <c r="H81" s="22">
        <f>INDEX('Activity data'!H$24:H$39,MATCH(Emissions!$D81,'Activity data'!$D$24:$D$39,0))*INDEX(EF!$H$84:$H$99,MATCH(Emissions!$D81,EF!$D$84:$D$99,0))*INDEX(EF!$H$100:$H$115,MATCH(Emissions!$D81,EF!$D$100:$D$115,0))*INDEX(EF!$H$132:$H$147,MATCH(Emissions!$D81,EF!$D$132:$D$147,0))*kgtoGg</f>
        <v>2.5919889901996538E-2</v>
      </c>
      <c r="I81" s="22">
        <f>INDEX('Activity data'!I$24:I$39,MATCH(Emissions!$D81,'Activity data'!$D$24:$D$39,0))*INDEX(EF!$H$84:$H$99,MATCH(Emissions!$D81,EF!$D$84:$D$99,0))*INDEX(EF!$H$100:$H$115,MATCH(Emissions!$D81,EF!$D$100:$D$115,0))*INDEX(EF!$H$132:$H$147,MATCH(Emissions!$D81,EF!$D$132:$D$147,0))*kgtoGg</f>
        <v>2.5919889901996538E-2</v>
      </c>
      <c r="J81" s="22">
        <f>INDEX('Activity data'!J$24:J$39,MATCH(Emissions!$D81,'Activity data'!$D$24:$D$39,0))*INDEX(EF!$H$84:$H$99,MATCH(Emissions!$D81,EF!$D$84:$D$99,0))*INDEX(EF!$H$100:$H$115,MATCH(Emissions!$D81,EF!$D$100:$D$115,0))*INDEX(EF!$H$132:$H$147,MATCH(Emissions!$D81,EF!$D$132:$D$147,0))*kgtoGg</f>
        <v>2.5919889901996538E-2</v>
      </c>
      <c r="K81" s="22">
        <f>INDEX('Activity data'!K$24:K$39,MATCH(Emissions!$D81,'Activity data'!$D$24:$D$39,0))*INDEX(EF!$H$84:$H$99,MATCH(Emissions!$D81,EF!$D$84:$D$99,0))*INDEX(EF!$H$100:$H$115,MATCH(Emissions!$D81,EF!$D$100:$D$115,0))*INDEX(EF!$H$132:$H$147,MATCH(Emissions!$D81,EF!$D$132:$D$147,0))*kgtoGg</f>
        <v>2.5919889901996538E-2</v>
      </c>
      <c r="L81" s="22">
        <f>INDEX('Activity data'!L$24:L$39,MATCH(Emissions!$D81,'Activity data'!$D$24:$D$39,0))*INDEX(EF!$H$84:$H$99,MATCH(Emissions!$D81,EF!$D$84:$D$99,0))*INDEX(EF!$H$100:$H$115,MATCH(Emissions!$D81,EF!$D$100:$D$115,0))*INDEX(EF!$H$132:$H$147,MATCH(Emissions!$D81,EF!$D$132:$D$147,0))*kgtoGg</f>
        <v>2.5919889901996538E-2</v>
      </c>
      <c r="M81" s="22">
        <f>INDEX('Activity data'!M$24:M$39,MATCH(Emissions!$D81,'Activity data'!$D$24:$D$39,0))*INDEX(EF!$H$84:$H$99,MATCH(Emissions!$D81,EF!$D$84:$D$99,0))*INDEX(EF!$H$100:$H$115,MATCH(Emissions!$D81,EF!$D$100:$D$115,0))*INDEX(EF!$H$132:$H$147,MATCH(Emissions!$D81,EF!$D$132:$D$147,0))*kgtoGg</f>
        <v>2.5919889901996538E-2</v>
      </c>
      <c r="N81" s="22">
        <f>INDEX('Activity data'!N$24:N$39,MATCH(Emissions!$D81,'Activity data'!$D$24:$D$39,0))*INDEX(EF!$H$84:$H$99,MATCH(Emissions!$D81,EF!$D$84:$D$99,0))*INDEX(EF!$H$100:$H$115,MATCH(Emissions!$D81,EF!$D$100:$D$115,0))*INDEX(EF!$H$132:$H$147,MATCH(Emissions!$D81,EF!$D$132:$D$147,0))*kgtoGg</f>
        <v>2.5919889901996538E-2</v>
      </c>
      <c r="O81" s="22">
        <f>INDEX('Activity data'!O$24:O$39,MATCH(Emissions!$D81,'Activity data'!$D$24:$D$39,0))*INDEX(EF!$H$84:$H$99,MATCH(Emissions!$D81,EF!$D$84:$D$99,0))*INDEX(EF!$H$100:$H$115,MATCH(Emissions!$D81,EF!$D$100:$D$115,0))*INDEX(EF!$H$132:$H$147,MATCH(Emissions!$D81,EF!$D$132:$D$147,0))*kgtoGg</f>
        <v>2.5919889901996538E-2</v>
      </c>
      <c r="P81" s="22">
        <f>INDEX('Activity data'!P$24:P$39,MATCH(Emissions!$D81,'Activity data'!$D$24:$D$39,0))*INDEX(EF!$H$84:$H$99,MATCH(Emissions!$D81,EF!$D$84:$D$99,0))*INDEX(EF!$H$100:$H$115,MATCH(Emissions!$D81,EF!$D$100:$D$115,0))*INDEX(EF!$H$132:$H$147,MATCH(Emissions!$D81,EF!$D$132:$D$147,0))*kgtoGg</f>
        <v>2.5919889901996538E-2</v>
      </c>
      <c r="Q81" s="22">
        <f>INDEX('Activity data'!Q$24:Q$39,MATCH(Emissions!$D81,'Activity data'!$D$24:$D$39,0))*INDEX(EF!$H$84:$H$99,MATCH(Emissions!$D81,EF!$D$84:$D$99,0))*INDEX(EF!$H$100:$H$115,MATCH(Emissions!$D81,EF!$D$100:$D$115,0))*INDEX(EF!$H$132:$H$147,MATCH(Emissions!$D81,EF!$D$132:$D$147,0))*kgtoGg</f>
        <v>2.5919889901996538E-2</v>
      </c>
      <c r="R81" s="22">
        <f>INDEX('Activity data'!R$24:R$39,MATCH(Emissions!$D81,'Activity data'!$D$24:$D$39,0))*INDEX(EF!$H$84:$H$99,MATCH(Emissions!$D81,EF!$D$84:$D$99,0))*INDEX(EF!$H$100:$H$115,MATCH(Emissions!$D81,EF!$D$100:$D$115,0))*INDEX(EF!$H$132:$H$147,MATCH(Emissions!$D81,EF!$D$132:$D$147,0))*kgtoGg</f>
        <v>2.8520988552148289E-2</v>
      </c>
      <c r="S81" s="22">
        <f>INDEX('Activity data'!S$24:S$39,MATCH(Emissions!$D81,'Activity data'!$D$24:$D$39,0))*INDEX(EF!$H$84:$H$99,MATCH(Emissions!$D81,EF!$D$84:$D$99,0))*INDEX(EF!$H$100:$H$115,MATCH(Emissions!$D81,EF!$D$100:$D$115,0))*INDEX(EF!$H$132:$H$147,MATCH(Emissions!$D81,EF!$D$132:$D$147,0))*kgtoGg</f>
        <v>2.5817163949345238E-2</v>
      </c>
      <c r="T81" s="22">
        <f>INDEX('Activity data'!T$24:T$39,MATCH(Emissions!$D81,'Activity data'!$D$24:$D$39,0))*INDEX(EF!$H$84:$H$99,MATCH(Emissions!$D81,EF!$D$84:$D$99,0))*INDEX(EF!$H$100:$H$115,MATCH(Emissions!$D81,EF!$D$100:$D$115,0))*INDEX(EF!$H$132:$H$147,MATCH(Emissions!$D81,EF!$D$132:$D$147,0))*kgtoGg</f>
        <v>3.4558561052314238E-2</v>
      </c>
      <c r="U81" s="22">
        <f>INDEX('Activity data'!U$24:U$39,MATCH(Emissions!$D81,'Activity data'!$D$24:$D$39,0))*INDEX(EF!$H$84:$H$99,MATCH(Emissions!$D81,EF!$D$84:$D$99,0))*INDEX(EF!$H$100:$H$115,MATCH(Emissions!$D81,EF!$D$100:$D$115,0))*INDEX(EF!$H$132:$H$147,MATCH(Emissions!$D81,EF!$D$132:$D$147,0))*kgtoGg</f>
        <v>1.0165992861435118E-2</v>
      </c>
      <c r="V81" s="22">
        <f>INDEX('Activity data'!V$24:V$39,MATCH(Emissions!$D81,'Activity data'!$D$24:$D$39,0))*INDEX(EF!$H$84:$H$99,MATCH(Emissions!$D81,EF!$D$84:$D$99,0))*INDEX(EF!$H$100:$H$115,MATCH(Emissions!$D81,EF!$D$100:$D$115,0))*INDEX(EF!$H$132:$H$147,MATCH(Emissions!$D81,EF!$D$132:$D$147,0))*kgtoGg</f>
        <v>3.0536743094739811E-2</v>
      </c>
      <c r="W81" s="22">
        <f>INDEX('Activity data'!W$24:W$39,MATCH(Emissions!$D81,'Activity data'!$D$24:$D$39,0))*INDEX(EF!$H$84:$H$99,MATCH(Emissions!$D81,EF!$D$84:$D$99,0))*INDEX(EF!$H$100:$H$115,MATCH(Emissions!$D81,EF!$D$100:$D$115,0))*INDEX(EF!$H$132:$H$147,MATCH(Emissions!$D81,EF!$D$132:$D$147,0))*kgtoGg</f>
        <v>3.7407752569246472E-2</v>
      </c>
      <c r="X81" s="22">
        <f>INDEX('Activity data'!X$24:X$39,MATCH(Emissions!$D81,'Activity data'!$D$24:$D$39,0))*INDEX(EF!$H$84:$H$99,MATCH(Emissions!$D81,EF!$D$84:$D$99,0))*INDEX(EF!$H$100:$H$115,MATCH(Emissions!$D81,EF!$D$100:$D$115,0))*INDEX(EF!$H$132:$H$147,MATCH(Emissions!$D81,EF!$D$132:$D$147,0))*kgtoGg</f>
        <v>5.5423558793658186E-2</v>
      </c>
      <c r="Y81" s="22">
        <f>INDEX('Activity data'!Y$24:Y$39,MATCH(Emissions!$D81,'Activity data'!$D$24:$D$39,0))*INDEX(EF!$H$84:$H$99,MATCH(Emissions!$D81,EF!$D$84:$D$99,0))*INDEX(EF!$H$100:$H$115,MATCH(Emissions!$D81,EF!$D$100:$D$115,0))*INDEX(EF!$H$132:$H$147,MATCH(Emissions!$D81,EF!$D$132:$D$147,0))*kgtoGg</f>
        <v>8.4312810194933779E-3</v>
      </c>
      <c r="Z81" s="22">
        <f>INDEX('Activity data'!Z$24:Z$39,MATCH(Emissions!$D81,'Activity data'!$D$24:$D$39,0))*INDEX(EF!$H$84:$H$99,MATCH(Emissions!$D81,EF!$D$84:$D$99,0))*INDEX(EF!$H$100:$H$115,MATCH(Emissions!$D81,EF!$D$100:$D$115,0))*INDEX(EF!$H$132:$H$147,MATCH(Emissions!$D81,EF!$D$132:$D$147,0))*kgtoGg</f>
        <v>3.9442889367055235E-2</v>
      </c>
      <c r="AA81" s="22">
        <f>INDEX('Activity data'!AA$24:AA$39,MATCH(Emissions!$D81,'Activity data'!$D$24:$D$39,0))*INDEX(EF!$H$84:$H$99,MATCH(Emissions!$D81,EF!$D$84:$D$99,0))*INDEX(EF!$H$100:$H$115,MATCH(Emissions!$D81,EF!$D$100:$D$115,0))*INDEX(EF!$H$132:$H$147,MATCH(Emissions!$D81,EF!$D$132:$D$147,0))*kgtoGg</f>
        <v>2.5603959141955752E-2</v>
      </c>
      <c r="AB81" s="22">
        <f>INDEX('Activity data'!AB$24:AB$39,MATCH(Emissions!$D81,'Activity data'!$D$24:$D$39,0))*INDEX(EF!$H$84:$H$99,MATCH(Emissions!$D81,EF!$D$84:$D$99,0))*INDEX(EF!$H$100:$H$115,MATCH(Emissions!$D81,EF!$D$100:$D$115,0))*INDEX(EF!$H$132:$H$147,MATCH(Emissions!$D81,EF!$D$132:$D$147,0))*kgtoGg</f>
        <v>3.4459387199999997E-2</v>
      </c>
      <c r="AC81" s="22">
        <f>INDEX('Activity data'!AC$24:AC$39,MATCH(Emissions!$D81,'Activity data'!$D$24:$D$39,0))*INDEX(EF!$H$84:$H$99,MATCH(Emissions!$D81,EF!$D$84:$D$99,0))*INDEX(EF!$H$100:$H$115,MATCH(Emissions!$D81,EF!$D$100:$D$115,0))*INDEX(EF!$H$132:$H$147,MATCH(Emissions!$D81,EF!$D$132:$D$147,0))*kgtoGg</f>
        <v>4.0562650800000002E-2</v>
      </c>
      <c r="AD81" s="22">
        <f>INDEX('Activity data'!AD$24:AD$39,MATCH(Emissions!$D81,'Activity data'!$D$24:$D$39,0))*INDEX(EF!$H$84:$H$99,MATCH(Emissions!$D81,EF!$D$84:$D$99,0))*INDEX(EF!$H$100:$H$115,MATCH(Emissions!$D81,EF!$D$100:$D$115,0))*INDEX(EF!$H$132:$H$147,MATCH(Emissions!$D81,EF!$D$132:$D$147,0))*kgtoGg</f>
        <v>1.6261561253316768E-2</v>
      </c>
      <c r="AE81" s="22">
        <f>INDEX('Activity data'!AE$24:AE$39,MATCH(Emissions!$D81,'Activity data'!$D$24:$D$39,0))*INDEX(EF!$H$84:$H$99,MATCH(Emissions!$D81,EF!$D$84:$D$99,0))*INDEX(EF!$H$100:$H$115,MATCH(Emissions!$D81,EF!$D$100:$D$115,0))*INDEX(EF!$H$132:$H$147,MATCH(Emissions!$D81,EF!$D$132:$D$147,0))*kgtoGg</f>
        <v>1.6261561253316768E-2</v>
      </c>
      <c r="AF81" s="22">
        <f>INDEX('Activity data'!AF$24:AF$39,MATCH(Emissions!$D81,'Activity data'!$D$24:$D$39,0))*INDEX(EF!$H$84:$H$99,MATCH(Emissions!$D81,EF!$D$84:$D$99,0))*INDEX(EF!$H$100:$H$115,MATCH(Emissions!$D81,EF!$D$100:$D$115,0))*INDEX(EF!$H$132:$H$147,MATCH(Emissions!$D81,EF!$D$132:$D$147,0))*kgtoGg</f>
        <v>1.6261561253316768E-2</v>
      </c>
      <c r="AG81" s="22">
        <f>INDEX('Activity data'!AG$24:AG$39,MATCH(Emissions!$D81,'Activity data'!$D$24:$D$39,0))*INDEX(EF!$H$84:$H$99,MATCH(Emissions!$D81,EF!$D$84:$D$99,0))*INDEX(EF!$H$100:$H$115,MATCH(Emissions!$D81,EF!$D$100:$D$115,0))*INDEX(EF!$H$132:$H$147,MATCH(Emissions!$D81,EF!$D$132:$D$147,0))*kgtoGg</f>
        <v>1.6261561253316768E-2</v>
      </c>
      <c r="AH81" s="22">
        <f>INDEX('Activity data'!AH$24:AH$39,MATCH(Emissions!$D81,'Activity data'!$D$24:$D$39,0))*INDEX(EF!$H$84:$H$99,MATCH(Emissions!$D81,EF!$D$84:$D$99,0))*INDEX(EF!$H$100:$H$115,MATCH(Emissions!$D81,EF!$D$100:$D$115,0))*INDEX(EF!$H$132:$H$147,MATCH(Emissions!$D81,EF!$D$132:$D$147,0))*kgtoGg</f>
        <v>1.6261561253316768E-2</v>
      </c>
      <c r="AI81" s="22">
        <f>INDEX('Activity data'!AI$24:AI$39,MATCH(Emissions!$D81,'Activity data'!$D$24:$D$39,0))*INDEX(EF!$H$84:$H$99,MATCH(Emissions!$D81,EF!$D$84:$D$99,0))*INDEX(EF!$H$100:$H$115,MATCH(Emissions!$D81,EF!$D$100:$D$115,0))*INDEX(EF!$H$132:$H$147,MATCH(Emissions!$D81,EF!$D$132:$D$147,0))*kgtoGg</f>
        <v>1.6261561253316768E-2</v>
      </c>
      <c r="AJ81" s="22">
        <f>INDEX('Activity data'!AJ$24:AJ$39,MATCH(Emissions!$D81,'Activity data'!$D$24:$D$39,0))*INDEX(EF!$H$84:$H$99,MATCH(Emissions!$D81,EF!$D$84:$D$99,0))*INDEX(EF!$H$100:$H$115,MATCH(Emissions!$D81,EF!$D$100:$D$115,0))*INDEX(EF!$H$132:$H$147,MATCH(Emissions!$D81,EF!$D$132:$D$147,0))*kgtoGg</f>
        <v>1.6261561253316768E-2</v>
      </c>
      <c r="AK81" s="22">
        <f>INDEX('Activity data'!AK$24:AK$39,MATCH(Emissions!$D81,'Activity data'!$D$24:$D$39,0))*INDEX(EF!$H$84:$H$99,MATCH(Emissions!$D81,EF!$D$84:$D$99,0))*INDEX(EF!$H$100:$H$115,MATCH(Emissions!$D81,EF!$D$100:$D$115,0))*INDEX(EF!$H$132:$H$147,MATCH(Emissions!$D81,EF!$D$132:$D$147,0))*kgtoGg</f>
        <v>1.627247974424937E-2</v>
      </c>
      <c r="AL81" s="22">
        <f>INDEX('Activity data'!AL$24:AL$39,MATCH(Emissions!$D81,'Activity data'!$D$24:$D$39,0))*INDEX(EF!$H$84:$H$99,MATCH(Emissions!$D81,EF!$D$84:$D$99,0))*INDEX(EF!$H$100:$H$115,MATCH(Emissions!$D81,EF!$D$100:$D$115,0))*INDEX(EF!$H$132:$H$147,MATCH(Emissions!$D81,EF!$D$132:$D$147,0))*kgtoGg</f>
        <v>1.6283398235181979E-2</v>
      </c>
      <c r="AM81" s="22">
        <f>INDEX('Activity data'!AM$24:AM$39,MATCH(Emissions!$D81,'Activity data'!$D$24:$D$39,0))*INDEX(EF!$H$84:$H$99,MATCH(Emissions!$D81,EF!$D$84:$D$99,0))*INDEX(EF!$H$100:$H$115,MATCH(Emissions!$D81,EF!$D$100:$D$115,0))*INDEX(EF!$H$132:$H$147,MATCH(Emissions!$D81,EF!$D$132:$D$147,0))*kgtoGg</f>
        <v>1.6294316726114581E-2</v>
      </c>
      <c r="AN81" s="22">
        <f>INDEX('Activity data'!AN$24:AN$39,MATCH(Emissions!$D81,'Activity data'!$D$24:$D$39,0))*INDEX(EF!$H$84:$H$99,MATCH(Emissions!$D81,EF!$D$84:$D$99,0))*INDEX(EF!$H$100:$H$115,MATCH(Emissions!$D81,EF!$D$100:$D$115,0))*INDEX(EF!$H$132:$H$147,MATCH(Emissions!$D81,EF!$D$132:$D$147,0))*kgtoGg</f>
        <v>1.6305235217047187E-2</v>
      </c>
      <c r="AO81" s="22">
        <f>INDEX('Activity data'!AO$24:AO$39,MATCH(Emissions!$D81,'Activity data'!$D$24:$D$39,0))*INDEX(EF!$H$84:$H$99,MATCH(Emissions!$D81,EF!$D$84:$D$99,0))*INDEX(EF!$H$100:$H$115,MATCH(Emissions!$D81,EF!$D$100:$D$115,0))*INDEX(EF!$H$132:$H$147,MATCH(Emissions!$D81,EF!$D$132:$D$147,0))*kgtoGg</f>
        <v>1.6316153707979793E-2</v>
      </c>
      <c r="AP81" s="22">
        <f>INDEX('Activity data'!AP$24:AP$39,MATCH(Emissions!$D81,'Activity data'!$D$24:$D$39,0))*INDEX(EF!$H$84:$H$99,MATCH(Emissions!$D81,EF!$D$84:$D$99,0))*INDEX(EF!$H$100:$H$115,MATCH(Emissions!$D81,EF!$D$100:$D$115,0))*INDEX(EF!$H$132:$H$147,MATCH(Emissions!$D81,EF!$D$132:$D$147,0))*kgtoGg</f>
        <v>1.6327072198912398E-2</v>
      </c>
      <c r="AQ81" s="22">
        <f>INDEX('Activity data'!AQ$24:AQ$39,MATCH(Emissions!$D81,'Activity data'!$D$24:$D$39,0))*INDEX(EF!$H$84:$H$99,MATCH(Emissions!$D81,EF!$D$84:$D$99,0))*INDEX(EF!$H$100:$H$115,MATCH(Emissions!$D81,EF!$D$100:$D$115,0))*INDEX(EF!$H$132:$H$147,MATCH(Emissions!$D81,EF!$D$132:$D$147,0))*kgtoGg</f>
        <v>1.6337990689845001E-2</v>
      </c>
      <c r="AR81" s="22">
        <f>INDEX('Activity data'!AR$24:AR$39,MATCH(Emissions!$D81,'Activity data'!$D$24:$D$39,0))*INDEX(EF!$H$84:$H$99,MATCH(Emissions!$D81,EF!$D$84:$D$99,0))*INDEX(EF!$H$100:$H$115,MATCH(Emissions!$D81,EF!$D$100:$D$115,0))*INDEX(EF!$H$132:$H$147,MATCH(Emissions!$D81,EF!$D$132:$D$147,0))*kgtoGg</f>
        <v>1.6348909180777606E-2</v>
      </c>
      <c r="AS81" s="22">
        <f>INDEX('Activity data'!AS$24:AS$39,MATCH(Emissions!$D81,'Activity data'!$D$24:$D$39,0))*INDEX(EF!$H$84:$H$99,MATCH(Emissions!$D81,EF!$D$84:$D$99,0))*INDEX(EF!$H$100:$H$115,MATCH(Emissions!$D81,EF!$D$100:$D$115,0))*INDEX(EF!$H$132:$H$147,MATCH(Emissions!$D81,EF!$D$132:$D$147,0))*kgtoGg</f>
        <v>1.6359827671710212E-2</v>
      </c>
      <c r="AT81" s="22">
        <f>INDEX('Activity data'!AT$24:AT$39,MATCH(Emissions!$D81,'Activity data'!$D$24:$D$39,0))*INDEX(EF!$H$84:$H$99,MATCH(Emissions!$D81,EF!$D$84:$D$99,0))*INDEX(EF!$H$100:$H$115,MATCH(Emissions!$D81,EF!$D$100:$D$115,0))*INDEX(EF!$H$132:$H$147,MATCH(Emissions!$D81,EF!$D$132:$D$147,0))*kgtoGg</f>
        <v>1.6370746162642818E-2</v>
      </c>
      <c r="AU81" s="22">
        <f>INDEX('Activity data'!AU$24:AU$39,MATCH(Emissions!$D81,'Activity data'!$D$24:$D$39,0))*INDEX(EF!$H$84:$H$99,MATCH(Emissions!$D81,EF!$D$84:$D$99,0))*INDEX(EF!$H$100:$H$115,MATCH(Emissions!$D81,EF!$D$100:$D$115,0))*INDEX(EF!$H$132:$H$147,MATCH(Emissions!$D81,EF!$D$132:$D$147,0))*kgtoGg</f>
        <v>1.638166465357542E-2</v>
      </c>
      <c r="AV81" s="22">
        <f>INDEX('Activity data'!AV$24:AV$39,MATCH(Emissions!$D81,'Activity data'!$D$24:$D$39,0))*INDEX(EF!$H$84:$H$99,MATCH(Emissions!$D81,EF!$D$84:$D$99,0))*INDEX(EF!$H$100:$H$115,MATCH(Emissions!$D81,EF!$D$100:$D$115,0))*INDEX(EF!$H$132:$H$147,MATCH(Emissions!$D81,EF!$D$132:$D$147,0))*kgtoGg</f>
        <v>1.6392583144508029E-2</v>
      </c>
      <c r="AW81" s="22">
        <f>INDEX('Activity data'!AW$24:AW$39,MATCH(Emissions!$D81,'Activity data'!$D$24:$D$39,0))*INDEX(EF!$H$84:$H$99,MATCH(Emissions!$D81,EF!$D$84:$D$99,0))*INDEX(EF!$H$100:$H$115,MATCH(Emissions!$D81,EF!$D$100:$D$115,0))*INDEX(EF!$H$132:$H$147,MATCH(Emissions!$D81,EF!$D$132:$D$147,0))*kgtoGg</f>
        <v>1.6403501635440632E-2</v>
      </c>
      <c r="AX81" s="22">
        <f>INDEX('Activity data'!AX$24:AX$39,MATCH(Emissions!$D81,'Activity data'!$D$24:$D$39,0))*INDEX(EF!$H$84:$H$99,MATCH(Emissions!$D81,EF!$D$84:$D$99,0))*INDEX(EF!$H$100:$H$115,MATCH(Emissions!$D81,EF!$D$100:$D$115,0))*INDEX(EF!$H$132:$H$147,MATCH(Emissions!$D81,EF!$D$132:$D$147,0))*kgtoGg</f>
        <v>1.6414420126373237E-2</v>
      </c>
      <c r="AY81" s="22">
        <f>INDEX('Activity data'!AY$24:AY$39,MATCH(Emissions!$D81,'Activity data'!$D$24:$D$39,0))*INDEX(EF!$H$84:$H$99,MATCH(Emissions!$D81,EF!$D$84:$D$99,0))*INDEX(EF!$H$100:$H$115,MATCH(Emissions!$D81,EF!$D$100:$D$115,0))*INDEX(EF!$H$132:$H$147,MATCH(Emissions!$D81,EF!$D$132:$D$147,0))*kgtoGg</f>
        <v>1.6425338617305846E-2</v>
      </c>
      <c r="AZ81" s="22">
        <f>INDEX('Activity data'!AZ$24:AZ$39,MATCH(Emissions!$D81,'Activity data'!$D$24:$D$39,0))*INDEX(EF!$H$84:$H$99,MATCH(Emissions!$D81,EF!$D$84:$D$99,0))*INDEX(EF!$H$100:$H$115,MATCH(Emissions!$D81,EF!$D$100:$D$115,0))*INDEX(EF!$H$132:$H$147,MATCH(Emissions!$D81,EF!$D$132:$D$147,0))*kgtoGg</f>
        <v>1.6436257108238449E-2</v>
      </c>
      <c r="BA81" s="22">
        <f>INDEX('Activity data'!BA$24:BA$39,MATCH(Emissions!$D81,'Activity data'!$D$24:$D$39,0))*INDEX(EF!$H$84:$H$99,MATCH(Emissions!$D81,EF!$D$84:$D$99,0))*INDEX(EF!$H$100:$H$115,MATCH(Emissions!$D81,EF!$D$100:$D$115,0))*INDEX(EF!$H$132:$H$147,MATCH(Emissions!$D81,EF!$D$132:$D$147,0))*kgtoGg</f>
        <v>1.6447175599171051E-2</v>
      </c>
      <c r="BB81" s="22">
        <f>INDEX('Activity data'!BB$24:BB$39,MATCH(Emissions!$D81,'Activity data'!$D$24:$D$39,0))*INDEX(EF!$H$84:$H$99,MATCH(Emissions!$D81,EF!$D$84:$D$99,0))*INDEX(EF!$H$100:$H$115,MATCH(Emissions!$D81,EF!$D$100:$D$115,0))*INDEX(EF!$H$132:$H$147,MATCH(Emissions!$D81,EF!$D$132:$D$147,0))*kgtoGg</f>
        <v>1.6458094090103664E-2</v>
      </c>
      <c r="BC81" s="22">
        <f>INDEX('Activity data'!BC$24:BC$39,MATCH(Emissions!$D81,'Activity data'!$D$24:$D$39,0))*INDEX(EF!$H$84:$H$99,MATCH(Emissions!$D81,EF!$D$84:$D$99,0))*INDEX(EF!$H$100:$H$115,MATCH(Emissions!$D81,EF!$D$100:$D$115,0))*INDEX(EF!$H$132:$H$147,MATCH(Emissions!$D81,EF!$D$132:$D$147,0))*kgtoGg</f>
        <v>1.6469012581036266E-2</v>
      </c>
      <c r="BD81" s="22">
        <f>INDEX('Activity data'!BD$24:BD$39,MATCH(Emissions!$D81,'Activity data'!$D$24:$D$39,0))*INDEX(EF!$H$84:$H$99,MATCH(Emissions!$D81,EF!$D$84:$D$99,0))*INDEX(EF!$H$100:$H$115,MATCH(Emissions!$D81,EF!$D$100:$D$115,0))*INDEX(EF!$H$132:$H$147,MATCH(Emissions!$D81,EF!$D$132:$D$147,0))*kgtoGg</f>
        <v>1.6479931071968868E-2</v>
      </c>
      <c r="BE81" s="22">
        <f>INDEX('Activity data'!BE$24:BE$39,MATCH(Emissions!$D81,'Activity data'!$D$24:$D$39,0))*INDEX(EF!$H$84:$H$99,MATCH(Emissions!$D81,EF!$D$84:$D$99,0))*INDEX(EF!$H$100:$H$115,MATCH(Emissions!$D81,EF!$D$100:$D$115,0))*INDEX(EF!$H$132:$H$147,MATCH(Emissions!$D81,EF!$D$132:$D$147,0))*kgtoGg</f>
        <v>1.649084956290147E-2</v>
      </c>
      <c r="BF81" s="22">
        <f>INDEX('Activity data'!BF$24:BF$39,MATCH(Emissions!$D81,'Activity data'!$D$24:$D$39,0))*INDEX(EF!$H$84:$H$99,MATCH(Emissions!$D81,EF!$D$84:$D$99,0))*INDEX(EF!$H$100:$H$115,MATCH(Emissions!$D81,EF!$D$100:$D$115,0))*INDEX(EF!$H$132:$H$147,MATCH(Emissions!$D81,EF!$D$132:$D$147,0))*kgtoGg</f>
        <v>1.650176805383408E-2</v>
      </c>
      <c r="BG81" s="22">
        <f>INDEX('Activity data'!BG$24:BG$39,MATCH(Emissions!$D81,'Activity data'!$D$24:$D$39,0))*INDEX(EF!$H$84:$H$99,MATCH(Emissions!$D81,EF!$D$84:$D$99,0))*INDEX(EF!$H$100:$H$115,MATCH(Emissions!$D81,EF!$D$100:$D$115,0))*INDEX(EF!$H$132:$H$147,MATCH(Emissions!$D81,EF!$D$132:$D$147,0))*kgtoGg</f>
        <v>1.6512686544766685E-2</v>
      </c>
      <c r="BH81" s="22">
        <f>INDEX('Activity data'!BH$24:BH$39,MATCH(Emissions!$D81,'Activity data'!$D$24:$D$39,0))*INDEX(EF!$H$84:$H$99,MATCH(Emissions!$D81,EF!$D$84:$D$99,0))*INDEX(EF!$H$100:$H$115,MATCH(Emissions!$D81,EF!$D$100:$D$115,0))*INDEX(EF!$H$132:$H$147,MATCH(Emissions!$D81,EF!$D$132:$D$147,0))*kgtoGg</f>
        <v>1.6523605035699288E-2</v>
      </c>
      <c r="BI81" s="22">
        <f>INDEX('Activity data'!BI$24:BI$39,MATCH(Emissions!$D81,'Activity data'!$D$24:$D$39,0))*INDEX(EF!$H$84:$H$99,MATCH(Emissions!$D81,EF!$D$84:$D$99,0))*INDEX(EF!$H$100:$H$115,MATCH(Emissions!$D81,EF!$D$100:$D$115,0))*INDEX(EF!$H$132:$H$147,MATCH(Emissions!$D81,EF!$D$132:$D$147,0))*kgtoGg</f>
        <v>1.6534523526631893E-2</v>
      </c>
      <c r="BJ81" s="22">
        <f>INDEX('Activity data'!BJ$24:BJ$39,MATCH(Emissions!$D81,'Activity data'!$D$24:$D$39,0))*INDEX(EF!$H$84:$H$99,MATCH(Emissions!$D81,EF!$D$84:$D$99,0))*INDEX(EF!$H$100:$H$115,MATCH(Emissions!$D81,EF!$D$100:$D$115,0))*INDEX(EF!$H$132:$H$147,MATCH(Emissions!$D81,EF!$D$132:$D$147,0))*kgtoGg</f>
        <v>1.6545442017564499E-2</v>
      </c>
      <c r="BK81" s="22">
        <f>INDEX('Activity data'!BK$24:BK$39,MATCH(Emissions!$D81,'Activity data'!$D$24:$D$39,0))*INDEX(EF!$H$84:$H$99,MATCH(Emissions!$D81,EF!$D$84:$D$99,0))*INDEX(EF!$H$100:$H$115,MATCH(Emissions!$D81,EF!$D$100:$D$115,0))*INDEX(EF!$H$132:$H$147,MATCH(Emissions!$D81,EF!$D$132:$D$147,0))*kgtoGg</f>
        <v>1.6556360508497105E-2</v>
      </c>
      <c r="BL81" s="22">
        <f>INDEX('Activity data'!BL$24:BL$39,MATCH(Emissions!$D81,'Activity data'!$D$24:$D$39,0))*INDEX(EF!$H$84:$H$99,MATCH(Emissions!$D81,EF!$D$84:$D$99,0))*INDEX(EF!$H$100:$H$115,MATCH(Emissions!$D81,EF!$D$100:$D$115,0))*INDEX(EF!$H$132:$H$147,MATCH(Emissions!$D81,EF!$D$132:$D$147,0))*kgtoGg</f>
        <v>1.6567278999429707E-2</v>
      </c>
      <c r="BM81" s="22">
        <f>INDEX('Activity data'!BM$24:BM$39,MATCH(Emissions!$D81,'Activity data'!$D$24:$D$39,0))*INDEX(EF!$H$84:$H$99,MATCH(Emissions!$D81,EF!$D$84:$D$99,0))*INDEX(EF!$H$100:$H$115,MATCH(Emissions!$D81,EF!$D$100:$D$115,0))*INDEX(EF!$H$132:$H$147,MATCH(Emissions!$D81,EF!$D$132:$D$147,0))*kgtoGg</f>
        <v>1.6578197490362313E-2</v>
      </c>
      <c r="BN81" s="22">
        <f>INDEX('Activity data'!BN$24:BN$39,MATCH(Emissions!$D81,'Activity data'!$D$24:$D$39,0))*INDEX(EF!$H$84:$H$99,MATCH(Emissions!$D81,EF!$D$84:$D$99,0))*INDEX(EF!$H$100:$H$115,MATCH(Emissions!$D81,EF!$D$100:$D$115,0))*INDEX(EF!$H$132:$H$147,MATCH(Emissions!$D81,EF!$D$132:$D$147,0))*kgtoGg</f>
        <v>1.6589115981294918E-2</v>
      </c>
      <c r="BO81" s="22">
        <f>INDEX('Activity data'!BO$24:BO$39,MATCH(Emissions!$D81,'Activity data'!$D$24:$D$39,0))*INDEX(EF!$H$84:$H$99,MATCH(Emissions!$D81,EF!$D$84:$D$99,0))*INDEX(EF!$H$100:$H$115,MATCH(Emissions!$D81,EF!$D$100:$D$115,0))*INDEX(EF!$H$132:$H$147,MATCH(Emissions!$D81,EF!$D$132:$D$147,0))*kgtoGg</f>
        <v>1.6600034472227524E-2</v>
      </c>
      <c r="BP81" s="22">
        <f>INDEX('Activity data'!BP$24:BP$39,MATCH(Emissions!$D81,'Activity data'!$D$24:$D$39,0))*INDEX(EF!$H$84:$H$99,MATCH(Emissions!$D81,EF!$D$84:$D$99,0))*INDEX(EF!$H$100:$H$115,MATCH(Emissions!$D81,EF!$D$100:$D$115,0))*INDEX(EF!$H$132:$H$147,MATCH(Emissions!$D81,EF!$D$132:$D$147,0))*kgtoGg</f>
        <v>1.661095296316013E-2</v>
      </c>
    </row>
    <row r="82" spans="1:68" x14ac:dyDescent="0.25">
      <c r="A82" t="str">
        <f t="shared" si="19"/>
        <v>3C Aggregated and non-CO2 emissions on land</v>
      </c>
      <c r="B82" t="str">
        <f t="shared" si="26"/>
        <v>3C1 Biomass burning (N2O)</v>
      </c>
      <c r="C82" t="str">
        <f t="shared" si="25"/>
        <v>3C1d Biomass burning in Wetlands</v>
      </c>
      <c r="D82" t="str">
        <f>EF!D112</f>
        <v>Wetlands</v>
      </c>
      <c r="E82" t="s">
        <v>658</v>
      </c>
      <c r="F82" t="str">
        <f t="shared" si="27"/>
        <v>N2O</v>
      </c>
      <c r="G82" t="str">
        <f t="shared" si="28"/>
        <v>Gg N2O</v>
      </c>
      <c r="H82" s="22">
        <f>INDEX('Activity data'!H$24:H$39,MATCH(Emissions!$D82,'Activity data'!$D$24:$D$39,0))*INDEX(EF!$H$84:$H$99,MATCH(Emissions!$D82,EF!$D$84:$D$99,0))*INDEX(EF!$H$100:$H$115,MATCH(Emissions!$D82,EF!$D$100:$D$115,0))*INDEX(EF!$H$132:$H$147,MATCH(Emissions!$D82,EF!$D$132:$D$147,0))*kgtoGg</f>
        <v>7.357077670844267E-2</v>
      </c>
      <c r="I82" s="22">
        <f>INDEX('Activity data'!I$24:I$39,MATCH(Emissions!$D82,'Activity data'!$D$24:$D$39,0))*INDEX(EF!$H$84:$H$99,MATCH(Emissions!$D82,EF!$D$84:$D$99,0))*INDEX(EF!$H$100:$H$115,MATCH(Emissions!$D82,EF!$D$100:$D$115,0))*INDEX(EF!$H$132:$H$147,MATCH(Emissions!$D82,EF!$D$132:$D$147,0))*kgtoGg</f>
        <v>7.357077670844267E-2</v>
      </c>
      <c r="J82" s="22">
        <f>INDEX('Activity data'!J$24:J$39,MATCH(Emissions!$D82,'Activity data'!$D$24:$D$39,0))*INDEX(EF!$H$84:$H$99,MATCH(Emissions!$D82,EF!$D$84:$D$99,0))*INDEX(EF!$H$100:$H$115,MATCH(Emissions!$D82,EF!$D$100:$D$115,0))*INDEX(EF!$H$132:$H$147,MATCH(Emissions!$D82,EF!$D$132:$D$147,0))*kgtoGg</f>
        <v>7.357077670844267E-2</v>
      </c>
      <c r="K82" s="22">
        <f>INDEX('Activity data'!K$24:K$39,MATCH(Emissions!$D82,'Activity data'!$D$24:$D$39,0))*INDEX(EF!$H$84:$H$99,MATCH(Emissions!$D82,EF!$D$84:$D$99,0))*INDEX(EF!$H$100:$H$115,MATCH(Emissions!$D82,EF!$D$100:$D$115,0))*INDEX(EF!$H$132:$H$147,MATCH(Emissions!$D82,EF!$D$132:$D$147,0))*kgtoGg</f>
        <v>7.357077670844267E-2</v>
      </c>
      <c r="L82" s="22">
        <f>INDEX('Activity data'!L$24:L$39,MATCH(Emissions!$D82,'Activity data'!$D$24:$D$39,0))*INDEX(EF!$H$84:$H$99,MATCH(Emissions!$D82,EF!$D$84:$D$99,0))*INDEX(EF!$H$100:$H$115,MATCH(Emissions!$D82,EF!$D$100:$D$115,0))*INDEX(EF!$H$132:$H$147,MATCH(Emissions!$D82,EF!$D$132:$D$147,0))*kgtoGg</f>
        <v>7.357077670844267E-2</v>
      </c>
      <c r="M82" s="22">
        <f>INDEX('Activity data'!M$24:M$39,MATCH(Emissions!$D82,'Activity data'!$D$24:$D$39,0))*INDEX(EF!$H$84:$H$99,MATCH(Emissions!$D82,EF!$D$84:$D$99,0))*INDEX(EF!$H$100:$H$115,MATCH(Emissions!$D82,EF!$D$100:$D$115,0))*INDEX(EF!$H$132:$H$147,MATCH(Emissions!$D82,EF!$D$132:$D$147,0))*kgtoGg</f>
        <v>7.357077670844267E-2</v>
      </c>
      <c r="N82" s="22">
        <f>INDEX('Activity data'!N$24:N$39,MATCH(Emissions!$D82,'Activity data'!$D$24:$D$39,0))*INDEX(EF!$H$84:$H$99,MATCH(Emissions!$D82,EF!$D$84:$D$99,0))*INDEX(EF!$H$100:$H$115,MATCH(Emissions!$D82,EF!$D$100:$D$115,0))*INDEX(EF!$H$132:$H$147,MATCH(Emissions!$D82,EF!$D$132:$D$147,0))*kgtoGg</f>
        <v>7.357077670844267E-2</v>
      </c>
      <c r="O82" s="22">
        <f>INDEX('Activity data'!O$24:O$39,MATCH(Emissions!$D82,'Activity data'!$D$24:$D$39,0))*INDEX(EF!$H$84:$H$99,MATCH(Emissions!$D82,EF!$D$84:$D$99,0))*INDEX(EF!$H$100:$H$115,MATCH(Emissions!$D82,EF!$D$100:$D$115,0))*INDEX(EF!$H$132:$H$147,MATCH(Emissions!$D82,EF!$D$132:$D$147,0))*kgtoGg</f>
        <v>7.357077670844267E-2</v>
      </c>
      <c r="P82" s="22">
        <f>INDEX('Activity data'!P$24:P$39,MATCH(Emissions!$D82,'Activity data'!$D$24:$D$39,0))*INDEX(EF!$H$84:$H$99,MATCH(Emissions!$D82,EF!$D$84:$D$99,0))*INDEX(EF!$H$100:$H$115,MATCH(Emissions!$D82,EF!$D$100:$D$115,0))*INDEX(EF!$H$132:$H$147,MATCH(Emissions!$D82,EF!$D$132:$D$147,0))*kgtoGg</f>
        <v>7.357077670844267E-2</v>
      </c>
      <c r="Q82" s="22">
        <f>INDEX('Activity data'!Q$24:Q$39,MATCH(Emissions!$D82,'Activity data'!$D$24:$D$39,0))*INDEX(EF!$H$84:$H$99,MATCH(Emissions!$D82,EF!$D$84:$D$99,0))*INDEX(EF!$H$100:$H$115,MATCH(Emissions!$D82,EF!$D$100:$D$115,0))*INDEX(EF!$H$132:$H$147,MATCH(Emissions!$D82,EF!$D$132:$D$147,0))*kgtoGg</f>
        <v>7.357077670844267E-2</v>
      </c>
      <c r="R82" s="22">
        <f>INDEX('Activity data'!R$24:R$39,MATCH(Emissions!$D82,'Activity data'!$D$24:$D$39,0))*INDEX(EF!$H$84:$H$99,MATCH(Emissions!$D82,EF!$D$84:$D$99,0))*INDEX(EF!$H$100:$H$115,MATCH(Emissions!$D82,EF!$D$100:$D$115,0))*INDEX(EF!$H$132:$H$147,MATCH(Emissions!$D82,EF!$D$132:$D$147,0))*kgtoGg</f>
        <v>6.5083674793923713E-2</v>
      </c>
      <c r="S82" s="22">
        <f>INDEX('Activity data'!S$24:S$39,MATCH(Emissions!$D82,'Activity data'!$D$24:$D$39,0))*INDEX(EF!$H$84:$H$99,MATCH(Emissions!$D82,EF!$D$84:$D$99,0))*INDEX(EF!$H$100:$H$115,MATCH(Emissions!$D82,EF!$D$100:$D$115,0))*INDEX(EF!$H$132:$H$147,MATCH(Emissions!$D82,EF!$D$132:$D$147,0))*kgtoGg</f>
        <v>7.8612973491927987E-2</v>
      </c>
      <c r="T82" s="22">
        <f>INDEX('Activity data'!T$24:T$39,MATCH(Emissions!$D82,'Activity data'!$D$24:$D$39,0))*INDEX(EF!$H$84:$H$99,MATCH(Emissions!$D82,EF!$D$84:$D$99,0))*INDEX(EF!$H$100:$H$115,MATCH(Emissions!$D82,EF!$D$100:$D$115,0))*INDEX(EF!$H$132:$H$147,MATCH(Emissions!$D82,EF!$D$132:$D$147,0))*kgtoGg</f>
        <v>8.8983449145904836E-2</v>
      </c>
      <c r="U82" s="22">
        <f>INDEX('Activity data'!U$24:U$39,MATCH(Emissions!$D82,'Activity data'!$D$24:$D$39,0))*INDEX(EF!$H$84:$H$99,MATCH(Emissions!$D82,EF!$D$84:$D$99,0))*INDEX(EF!$H$100:$H$115,MATCH(Emissions!$D82,EF!$D$100:$D$115,0))*INDEX(EF!$H$132:$H$147,MATCH(Emissions!$D82,EF!$D$132:$D$147,0))*kgtoGg</f>
        <v>7.2791997693814531E-2</v>
      </c>
      <c r="V82" s="22">
        <f>INDEX('Activity data'!V$24:V$39,MATCH(Emissions!$D82,'Activity data'!$D$24:$D$39,0))*INDEX(EF!$H$84:$H$99,MATCH(Emissions!$D82,EF!$D$84:$D$99,0))*INDEX(EF!$H$100:$H$115,MATCH(Emissions!$D82,EF!$D$100:$D$115,0))*INDEX(EF!$H$132:$H$147,MATCH(Emissions!$D82,EF!$D$132:$D$147,0))*kgtoGg</f>
        <v>6.2381788416642367E-2</v>
      </c>
      <c r="W82" s="22">
        <f>INDEX('Activity data'!W$24:W$39,MATCH(Emissions!$D82,'Activity data'!$D$24:$D$39,0))*INDEX(EF!$H$84:$H$99,MATCH(Emissions!$D82,EF!$D$84:$D$99,0))*INDEX(EF!$H$100:$H$115,MATCH(Emissions!$D82,EF!$D$100:$D$115,0))*INDEX(EF!$H$132:$H$147,MATCH(Emissions!$D82,EF!$D$132:$D$147,0))*kgtoGg</f>
        <v>9.2301206682713535E-2</v>
      </c>
      <c r="X82" s="22">
        <f>INDEX('Activity data'!X$24:X$39,MATCH(Emissions!$D82,'Activity data'!$D$24:$D$39,0))*INDEX(EF!$H$84:$H$99,MATCH(Emissions!$D82,EF!$D$84:$D$99,0))*INDEX(EF!$H$100:$H$115,MATCH(Emissions!$D82,EF!$D$100:$D$115,0))*INDEX(EF!$H$132:$H$147,MATCH(Emissions!$D82,EF!$D$132:$D$147,0))*kgtoGg</f>
        <v>8.1930731028736672E-2</v>
      </c>
      <c r="Y82" s="22">
        <f>INDEX('Activity data'!Y$24:Y$39,MATCH(Emissions!$D82,'Activity data'!$D$24:$D$39,0))*INDEX(EF!$H$84:$H$99,MATCH(Emissions!$D82,EF!$D$84:$D$99,0))*INDEX(EF!$H$100:$H$115,MATCH(Emissions!$D82,EF!$D$100:$D$115,0))*INDEX(EF!$H$132:$H$147,MATCH(Emissions!$D82,EF!$D$132:$D$147,0))*kgtoGg</f>
        <v>7.2176126534287191E-2</v>
      </c>
      <c r="Z82" s="22">
        <f>INDEX('Activity data'!Z$24:Z$39,MATCH(Emissions!$D82,'Activity data'!$D$24:$D$39,0))*INDEX(EF!$H$84:$H$99,MATCH(Emissions!$D82,EF!$D$84:$D$99,0))*INDEX(EF!$H$100:$H$115,MATCH(Emissions!$D82,EF!$D$100:$D$115,0))*INDEX(EF!$H$132:$H$147,MATCH(Emissions!$D82,EF!$D$132:$D$147,0))*kgtoGg</f>
        <v>6.5818746823036997E-2</v>
      </c>
      <c r="AA82" s="22">
        <f>INDEX('Activity data'!AA$24:AA$39,MATCH(Emissions!$D82,'Activity data'!$D$24:$D$39,0))*INDEX(EF!$H$84:$H$99,MATCH(Emissions!$D82,EF!$D$84:$D$99,0))*INDEX(EF!$H$100:$H$115,MATCH(Emissions!$D82,EF!$D$100:$D$115,0))*INDEX(EF!$H$132:$H$147,MATCH(Emissions!$D82,EF!$D$132:$D$147,0))*kgtoGg</f>
        <v>7.3924405954880992E-2</v>
      </c>
      <c r="AB82" s="22">
        <f>INDEX('Activity data'!AB$24:AB$39,MATCH(Emissions!$D82,'Activity data'!$D$24:$D$39,0))*INDEX(EF!$H$84:$H$99,MATCH(Emissions!$D82,EF!$D$84:$D$99,0))*INDEX(EF!$H$100:$H$115,MATCH(Emissions!$D82,EF!$D$100:$D$115,0))*INDEX(EF!$H$132:$H$147,MATCH(Emissions!$D82,EF!$D$132:$D$147,0))*kgtoGg</f>
        <v>9.8940084389999974E-2</v>
      </c>
      <c r="AC82" s="22">
        <f>INDEX('Activity data'!AC$24:AC$39,MATCH(Emissions!$D82,'Activity data'!$D$24:$D$39,0))*INDEX(EF!$H$84:$H$99,MATCH(Emissions!$D82,EF!$D$84:$D$99,0))*INDEX(EF!$H$100:$H$115,MATCH(Emissions!$D82,EF!$D$100:$D$115,0))*INDEX(EF!$H$132:$H$147,MATCH(Emissions!$D82,EF!$D$132:$D$147,0))*kgtoGg</f>
        <v>0.10685917493999998</v>
      </c>
      <c r="AD82" s="22">
        <f>INDEX('Activity data'!AD$24:AD$39,MATCH(Emissions!$D82,'Activity data'!$D$24:$D$39,0))*INDEX(EF!$H$84:$H$99,MATCH(Emissions!$D82,EF!$D$84:$D$99,0))*INDEX(EF!$H$100:$H$115,MATCH(Emissions!$D82,EF!$D$100:$D$115,0))*INDEX(EF!$H$132:$H$147,MATCH(Emissions!$D82,EF!$D$132:$D$147,0))*kgtoGg</f>
        <v>7.8813449993659371E-2</v>
      </c>
      <c r="AE82" s="22">
        <f>INDEX('Activity data'!AE$24:AE$39,MATCH(Emissions!$D82,'Activity data'!$D$24:$D$39,0))*INDEX(EF!$H$84:$H$99,MATCH(Emissions!$D82,EF!$D$84:$D$99,0))*INDEX(EF!$H$100:$H$115,MATCH(Emissions!$D82,EF!$D$100:$D$115,0))*INDEX(EF!$H$132:$H$147,MATCH(Emissions!$D82,EF!$D$132:$D$147,0))*kgtoGg</f>
        <v>7.8813449993659371E-2</v>
      </c>
      <c r="AF82" s="22">
        <f>INDEX('Activity data'!AF$24:AF$39,MATCH(Emissions!$D82,'Activity data'!$D$24:$D$39,0))*INDEX(EF!$H$84:$H$99,MATCH(Emissions!$D82,EF!$D$84:$D$99,0))*INDEX(EF!$H$100:$H$115,MATCH(Emissions!$D82,EF!$D$100:$D$115,0))*INDEX(EF!$H$132:$H$147,MATCH(Emissions!$D82,EF!$D$132:$D$147,0))*kgtoGg</f>
        <v>7.8813449993659371E-2</v>
      </c>
      <c r="AG82" s="22">
        <f>INDEX('Activity data'!AG$24:AG$39,MATCH(Emissions!$D82,'Activity data'!$D$24:$D$39,0))*INDEX(EF!$H$84:$H$99,MATCH(Emissions!$D82,EF!$D$84:$D$99,0))*INDEX(EF!$H$100:$H$115,MATCH(Emissions!$D82,EF!$D$100:$D$115,0))*INDEX(EF!$H$132:$H$147,MATCH(Emissions!$D82,EF!$D$132:$D$147,0))*kgtoGg</f>
        <v>7.8813449993659371E-2</v>
      </c>
      <c r="AH82" s="22">
        <f>INDEX('Activity data'!AH$24:AH$39,MATCH(Emissions!$D82,'Activity data'!$D$24:$D$39,0))*INDEX(EF!$H$84:$H$99,MATCH(Emissions!$D82,EF!$D$84:$D$99,0))*INDEX(EF!$H$100:$H$115,MATCH(Emissions!$D82,EF!$D$100:$D$115,0))*INDEX(EF!$H$132:$H$147,MATCH(Emissions!$D82,EF!$D$132:$D$147,0))*kgtoGg</f>
        <v>7.8813449993659371E-2</v>
      </c>
      <c r="AI82" s="22">
        <f>INDEX('Activity data'!AI$24:AI$39,MATCH(Emissions!$D82,'Activity data'!$D$24:$D$39,0))*INDEX(EF!$H$84:$H$99,MATCH(Emissions!$D82,EF!$D$84:$D$99,0))*INDEX(EF!$H$100:$H$115,MATCH(Emissions!$D82,EF!$D$100:$D$115,0))*INDEX(EF!$H$132:$H$147,MATCH(Emissions!$D82,EF!$D$132:$D$147,0))*kgtoGg</f>
        <v>7.8813449993659371E-2</v>
      </c>
      <c r="AJ82" s="22">
        <f>INDEX('Activity data'!AJ$24:AJ$39,MATCH(Emissions!$D82,'Activity data'!$D$24:$D$39,0))*INDEX(EF!$H$84:$H$99,MATCH(Emissions!$D82,EF!$D$84:$D$99,0))*INDEX(EF!$H$100:$H$115,MATCH(Emissions!$D82,EF!$D$100:$D$115,0))*INDEX(EF!$H$132:$H$147,MATCH(Emissions!$D82,EF!$D$132:$D$147,0))*kgtoGg</f>
        <v>7.8813449993659371E-2</v>
      </c>
      <c r="AK82" s="22">
        <f>INDEX('Activity data'!AK$24:AK$39,MATCH(Emissions!$D82,'Activity data'!$D$24:$D$39,0))*INDEX(EF!$H$84:$H$99,MATCH(Emissions!$D82,EF!$D$84:$D$99,0))*INDEX(EF!$H$100:$H$115,MATCH(Emissions!$D82,EF!$D$100:$D$115,0))*INDEX(EF!$H$132:$H$147,MATCH(Emissions!$D82,EF!$D$132:$D$147,0))*kgtoGg</f>
        <v>7.8813449993659371E-2</v>
      </c>
      <c r="AL82" s="22">
        <f>INDEX('Activity data'!AL$24:AL$39,MATCH(Emissions!$D82,'Activity data'!$D$24:$D$39,0))*INDEX(EF!$H$84:$H$99,MATCH(Emissions!$D82,EF!$D$84:$D$99,0))*INDEX(EF!$H$100:$H$115,MATCH(Emissions!$D82,EF!$D$100:$D$115,0))*INDEX(EF!$H$132:$H$147,MATCH(Emissions!$D82,EF!$D$132:$D$147,0))*kgtoGg</f>
        <v>7.8813449993659371E-2</v>
      </c>
      <c r="AM82" s="22">
        <f>INDEX('Activity data'!AM$24:AM$39,MATCH(Emissions!$D82,'Activity data'!$D$24:$D$39,0))*INDEX(EF!$H$84:$H$99,MATCH(Emissions!$D82,EF!$D$84:$D$99,0))*INDEX(EF!$H$100:$H$115,MATCH(Emissions!$D82,EF!$D$100:$D$115,0))*INDEX(EF!$H$132:$H$147,MATCH(Emissions!$D82,EF!$D$132:$D$147,0))*kgtoGg</f>
        <v>7.8813449993659371E-2</v>
      </c>
      <c r="AN82" s="22">
        <f>INDEX('Activity data'!AN$24:AN$39,MATCH(Emissions!$D82,'Activity data'!$D$24:$D$39,0))*INDEX(EF!$H$84:$H$99,MATCH(Emissions!$D82,EF!$D$84:$D$99,0))*INDEX(EF!$H$100:$H$115,MATCH(Emissions!$D82,EF!$D$100:$D$115,0))*INDEX(EF!$H$132:$H$147,MATCH(Emissions!$D82,EF!$D$132:$D$147,0))*kgtoGg</f>
        <v>7.8813449993659371E-2</v>
      </c>
      <c r="AO82" s="22">
        <f>INDEX('Activity data'!AO$24:AO$39,MATCH(Emissions!$D82,'Activity data'!$D$24:$D$39,0))*INDEX(EF!$H$84:$H$99,MATCH(Emissions!$D82,EF!$D$84:$D$99,0))*INDEX(EF!$H$100:$H$115,MATCH(Emissions!$D82,EF!$D$100:$D$115,0))*INDEX(EF!$H$132:$H$147,MATCH(Emissions!$D82,EF!$D$132:$D$147,0))*kgtoGg</f>
        <v>7.8813449993659371E-2</v>
      </c>
      <c r="AP82" s="22">
        <f>INDEX('Activity data'!AP$24:AP$39,MATCH(Emissions!$D82,'Activity data'!$D$24:$D$39,0))*INDEX(EF!$H$84:$H$99,MATCH(Emissions!$D82,EF!$D$84:$D$99,0))*INDEX(EF!$H$100:$H$115,MATCH(Emissions!$D82,EF!$D$100:$D$115,0))*INDEX(EF!$H$132:$H$147,MATCH(Emissions!$D82,EF!$D$132:$D$147,0))*kgtoGg</f>
        <v>7.8813449993659371E-2</v>
      </c>
      <c r="AQ82" s="22">
        <f>INDEX('Activity data'!AQ$24:AQ$39,MATCH(Emissions!$D82,'Activity data'!$D$24:$D$39,0))*INDEX(EF!$H$84:$H$99,MATCH(Emissions!$D82,EF!$D$84:$D$99,0))*INDEX(EF!$H$100:$H$115,MATCH(Emissions!$D82,EF!$D$100:$D$115,0))*INDEX(EF!$H$132:$H$147,MATCH(Emissions!$D82,EF!$D$132:$D$147,0))*kgtoGg</f>
        <v>7.8813449993659371E-2</v>
      </c>
      <c r="AR82" s="22">
        <f>INDEX('Activity data'!AR$24:AR$39,MATCH(Emissions!$D82,'Activity data'!$D$24:$D$39,0))*INDEX(EF!$H$84:$H$99,MATCH(Emissions!$D82,EF!$D$84:$D$99,0))*INDEX(EF!$H$100:$H$115,MATCH(Emissions!$D82,EF!$D$100:$D$115,0))*INDEX(EF!$H$132:$H$147,MATCH(Emissions!$D82,EF!$D$132:$D$147,0))*kgtoGg</f>
        <v>7.8813449993659371E-2</v>
      </c>
      <c r="AS82" s="22">
        <f>INDEX('Activity data'!AS$24:AS$39,MATCH(Emissions!$D82,'Activity data'!$D$24:$D$39,0))*INDEX(EF!$H$84:$H$99,MATCH(Emissions!$D82,EF!$D$84:$D$99,0))*INDEX(EF!$H$100:$H$115,MATCH(Emissions!$D82,EF!$D$100:$D$115,0))*INDEX(EF!$H$132:$H$147,MATCH(Emissions!$D82,EF!$D$132:$D$147,0))*kgtoGg</f>
        <v>7.8813449993659371E-2</v>
      </c>
      <c r="AT82" s="22">
        <f>INDEX('Activity data'!AT$24:AT$39,MATCH(Emissions!$D82,'Activity data'!$D$24:$D$39,0))*INDEX(EF!$H$84:$H$99,MATCH(Emissions!$D82,EF!$D$84:$D$99,0))*INDEX(EF!$H$100:$H$115,MATCH(Emissions!$D82,EF!$D$100:$D$115,0))*INDEX(EF!$H$132:$H$147,MATCH(Emissions!$D82,EF!$D$132:$D$147,0))*kgtoGg</f>
        <v>7.8813449993659371E-2</v>
      </c>
      <c r="AU82" s="22">
        <f>INDEX('Activity data'!AU$24:AU$39,MATCH(Emissions!$D82,'Activity data'!$D$24:$D$39,0))*INDEX(EF!$H$84:$H$99,MATCH(Emissions!$D82,EF!$D$84:$D$99,0))*INDEX(EF!$H$100:$H$115,MATCH(Emissions!$D82,EF!$D$100:$D$115,0))*INDEX(EF!$H$132:$H$147,MATCH(Emissions!$D82,EF!$D$132:$D$147,0))*kgtoGg</f>
        <v>7.8813449993659371E-2</v>
      </c>
      <c r="AV82" s="22">
        <f>INDEX('Activity data'!AV$24:AV$39,MATCH(Emissions!$D82,'Activity data'!$D$24:$D$39,0))*INDEX(EF!$H$84:$H$99,MATCH(Emissions!$D82,EF!$D$84:$D$99,0))*INDEX(EF!$H$100:$H$115,MATCH(Emissions!$D82,EF!$D$100:$D$115,0))*INDEX(EF!$H$132:$H$147,MATCH(Emissions!$D82,EF!$D$132:$D$147,0))*kgtoGg</f>
        <v>7.8813449993659371E-2</v>
      </c>
      <c r="AW82" s="22">
        <f>INDEX('Activity data'!AW$24:AW$39,MATCH(Emissions!$D82,'Activity data'!$D$24:$D$39,0))*INDEX(EF!$H$84:$H$99,MATCH(Emissions!$D82,EF!$D$84:$D$99,0))*INDEX(EF!$H$100:$H$115,MATCH(Emissions!$D82,EF!$D$100:$D$115,0))*INDEX(EF!$H$132:$H$147,MATCH(Emissions!$D82,EF!$D$132:$D$147,0))*kgtoGg</f>
        <v>7.8813449993659371E-2</v>
      </c>
      <c r="AX82" s="22">
        <f>INDEX('Activity data'!AX$24:AX$39,MATCH(Emissions!$D82,'Activity data'!$D$24:$D$39,0))*INDEX(EF!$H$84:$H$99,MATCH(Emissions!$D82,EF!$D$84:$D$99,0))*INDEX(EF!$H$100:$H$115,MATCH(Emissions!$D82,EF!$D$100:$D$115,0))*INDEX(EF!$H$132:$H$147,MATCH(Emissions!$D82,EF!$D$132:$D$147,0))*kgtoGg</f>
        <v>7.8813449993659371E-2</v>
      </c>
      <c r="AY82" s="22">
        <f>INDEX('Activity data'!AY$24:AY$39,MATCH(Emissions!$D82,'Activity data'!$D$24:$D$39,0))*INDEX(EF!$H$84:$H$99,MATCH(Emissions!$D82,EF!$D$84:$D$99,0))*INDEX(EF!$H$100:$H$115,MATCH(Emissions!$D82,EF!$D$100:$D$115,0))*INDEX(EF!$H$132:$H$147,MATCH(Emissions!$D82,EF!$D$132:$D$147,0))*kgtoGg</f>
        <v>7.8813449993659371E-2</v>
      </c>
      <c r="AZ82" s="22">
        <f>INDEX('Activity data'!AZ$24:AZ$39,MATCH(Emissions!$D82,'Activity data'!$D$24:$D$39,0))*INDEX(EF!$H$84:$H$99,MATCH(Emissions!$D82,EF!$D$84:$D$99,0))*INDEX(EF!$H$100:$H$115,MATCH(Emissions!$D82,EF!$D$100:$D$115,0))*INDEX(EF!$H$132:$H$147,MATCH(Emissions!$D82,EF!$D$132:$D$147,0))*kgtoGg</f>
        <v>7.8813449993659371E-2</v>
      </c>
      <c r="BA82" s="22">
        <f>INDEX('Activity data'!BA$24:BA$39,MATCH(Emissions!$D82,'Activity data'!$D$24:$D$39,0))*INDEX(EF!$H$84:$H$99,MATCH(Emissions!$D82,EF!$D$84:$D$99,0))*INDEX(EF!$H$100:$H$115,MATCH(Emissions!$D82,EF!$D$100:$D$115,0))*INDEX(EF!$H$132:$H$147,MATCH(Emissions!$D82,EF!$D$132:$D$147,0))*kgtoGg</f>
        <v>7.8813449993659371E-2</v>
      </c>
      <c r="BB82" s="22">
        <f>INDEX('Activity data'!BB$24:BB$39,MATCH(Emissions!$D82,'Activity data'!$D$24:$D$39,0))*INDEX(EF!$H$84:$H$99,MATCH(Emissions!$D82,EF!$D$84:$D$99,0))*INDEX(EF!$H$100:$H$115,MATCH(Emissions!$D82,EF!$D$100:$D$115,0))*INDEX(EF!$H$132:$H$147,MATCH(Emissions!$D82,EF!$D$132:$D$147,0))*kgtoGg</f>
        <v>7.8813449993659371E-2</v>
      </c>
      <c r="BC82" s="22">
        <f>INDEX('Activity data'!BC$24:BC$39,MATCH(Emissions!$D82,'Activity data'!$D$24:$D$39,0))*INDEX(EF!$H$84:$H$99,MATCH(Emissions!$D82,EF!$D$84:$D$99,0))*INDEX(EF!$H$100:$H$115,MATCH(Emissions!$D82,EF!$D$100:$D$115,0))*INDEX(EF!$H$132:$H$147,MATCH(Emissions!$D82,EF!$D$132:$D$147,0))*kgtoGg</f>
        <v>7.8813449993659371E-2</v>
      </c>
      <c r="BD82" s="22">
        <f>INDEX('Activity data'!BD$24:BD$39,MATCH(Emissions!$D82,'Activity data'!$D$24:$D$39,0))*INDEX(EF!$H$84:$H$99,MATCH(Emissions!$D82,EF!$D$84:$D$99,0))*INDEX(EF!$H$100:$H$115,MATCH(Emissions!$D82,EF!$D$100:$D$115,0))*INDEX(EF!$H$132:$H$147,MATCH(Emissions!$D82,EF!$D$132:$D$147,0))*kgtoGg</f>
        <v>7.8813449993659371E-2</v>
      </c>
      <c r="BE82" s="22">
        <f>INDEX('Activity data'!BE$24:BE$39,MATCH(Emissions!$D82,'Activity data'!$D$24:$D$39,0))*INDEX(EF!$H$84:$H$99,MATCH(Emissions!$D82,EF!$D$84:$D$99,0))*INDEX(EF!$H$100:$H$115,MATCH(Emissions!$D82,EF!$D$100:$D$115,0))*INDEX(EF!$H$132:$H$147,MATCH(Emissions!$D82,EF!$D$132:$D$147,0))*kgtoGg</f>
        <v>7.8813449993659371E-2</v>
      </c>
      <c r="BF82" s="22">
        <f>INDEX('Activity data'!BF$24:BF$39,MATCH(Emissions!$D82,'Activity data'!$D$24:$D$39,0))*INDEX(EF!$H$84:$H$99,MATCH(Emissions!$D82,EF!$D$84:$D$99,0))*INDEX(EF!$H$100:$H$115,MATCH(Emissions!$D82,EF!$D$100:$D$115,0))*INDEX(EF!$H$132:$H$147,MATCH(Emissions!$D82,EF!$D$132:$D$147,0))*kgtoGg</f>
        <v>7.8813449993659371E-2</v>
      </c>
      <c r="BG82" s="22">
        <f>INDEX('Activity data'!BG$24:BG$39,MATCH(Emissions!$D82,'Activity data'!$D$24:$D$39,0))*INDEX(EF!$H$84:$H$99,MATCH(Emissions!$D82,EF!$D$84:$D$99,0))*INDEX(EF!$H$100:$H$115,MATCH(Emissions!$D82,EF!$D$100:$D$115,0))*INDEX(EF!$H$132:$H$147,MATCH(Emissions!$D82,EF!$D$132:$D$147,0))*kgtoGg</f>
        <v>7.8813449993659371E-2</v>
      </c>
      <c r="BH82" s="22">
        <f>INDEX('Activity data'!BH$24:BH$39,MATCH(Emissions!$D82,'Activity data'!$D$24:$D$39,0))*INDEX(EF!$H$84:$H$99,MATCH(Emissions!$D82,EF!$D$84:$D$99,0))*INDEX(EF!$H$100:$H$115,MATCH(Emissions!$D82,EF!$D$100:$D$115,0))*INDEX(EF!$H$132:$H$147,MATCH(Emissions!$D82,EF!$D$132:$D$147,0))*kgtoGg</f>
        <v>7.8813449993659371E-2</v>
      </c>
      <c r="BI82" s="22">
        <f>INDEX('Activity data'!BI$24:BI$39,MATCH(Emissions!$D82,'Activity data'!$D$24:$D$39,0))*INDEX(EF!$H$84:$H$99,MATCH(Emissions!$D82,EF!$D$84:$D$99,0))*INDEX(EF!$H$100:$H$115,MATCH(Emissions!$D82,EF!$D$100:$D$115,0))*INDEX(EF!$H$132:$H$147,MATCH(Emissions!$D82,EF!$D$132:$D$147,0))*kgtoGg</f>
        <v>7.8813449993659371E-2</v>
      </c>
      <c r="BJ82" s="22">
        <f>INDEX('Activity data'!BJ$24:BJ$39,MATCH(Emissions!$D82,'Activity data'!$D$24:$D$39,0))*INDEX(EF!$H$84:$H$99,MATCH(Emissions!$D82,EF!$D$84:$D$99,0))*INDEX(EF!$H$100:$H$115,MATCH(Emissions!$D82,EF!$D$100:$D$115,0))*INDEX(EF!$H$132:$H$147,MATCH(Emissions!$D82,EF!$D$132:$D$147,0))*kgtoGg</f>
        <v>7.8813449993659371E-2</v>
      </c>
      <c r="BK82" s="22">
        <f>INDEX('Activity data'!BK$24:BK$39,MATCH(Emissions!$D82,'Activity data'!$D$24:$D$39,0))*INDEX(EF!$H$84:$H$99,MATCH(Emissions!$D82,EF!$D$84:$D$99,0))*INDEX(EF!$H$100:$H$115,MATCH(Emissions!$D82,EF!$D$100:$D$115,0))*INDEX(EF!$H$132:$H$147,MATCH(Emissions!$D82,EF!$D$132:$D$147,0))*kgtoGg</f>
        <v>7.8813449993659371E-2</v>
      </c>
      <c r="BL82" s="22">
        <f>INDEX('Activity data'!BL$24:BL$39,MATCH(Emissions!$D82,'Activity data'!$D$24:$D$39,0))*INDEX(EF!$H$84:$H$99,MATCH(Emissions!$D82,EF!$D$84:$D$99,0))*INDEX(EF!$H$100:$H$115,MATCH(Emissions!$D82,EF!$D$100:$D$115,0))*INDEX(EF!$H$132:$H$147,MATCH(Emissions!$D82,EF!$D$132:$D$147,0))*kgtoGg</f>
        <v>7.8813449993659371E-2</v>
      </c>
      <c r="BM82" s="22">
        <f>INDEX('Activity data'!BM$24:BM$39,MATCH(Emissions!$D82,'Activity data'!$D$24:$D$39,0))*INDEX(EF!$H$84:$H$99,MATCH(Emissions!$D82,EF!$D$84:$D$99,0))*INDEX(EF!$H$100:$H$115,MATCH(Emissions!$D82,EF!$D$100:$D$115,0))*INDEX(EF!$H$132:$H$147,MATCH(Emissions!$D82,EF!$D$132:$D$147,0))*kgtoGg</f>
        <v>7.8813449993659371E-2</v>
      </c>
      <c r="BN82" s="22">
        <f>INDEX('Activity data'!BN$24:BN$39,MATCH(Emissions!$D82,'Activity data'!$D$24:$D$39,0))*INDEX(EF!$H$84:$H$99,MATCH(Emissions!$D82,EF!$D$84:$D$99,0))*INDEX(EF!$H$100:$H$115,MATCH(Emissions!$D82,EF!$D$100:$D$115,0))*INDEX(EF!$H$132:$H$147,MATCH(Emissions!$D82,EF!$D$132:$D$147,0))*kgtoGg</f>
        <v>7.8813449993659371E-2</v>
      </c>
      <c r="BO82" s="22">
        <f>INDEX('Activity data'!BO$24:BO$39,MATCH(Emissions!$D82,'Activity data'!$D$24:$D$39,0))*INDEX(EF!$H$84:$H$99,MATCH(Emissions!$D82,EF!$D$84:$D$99,0))*INDEX(EF!$H$100:$H$115,MATCH(Emissions!$D82,EF!$D$100:$D$115,0))*INDEX(EF!$H$132:$H$147,MATCH(Emissions!$D82,EF!$D$132:$D$147,0))*kgtoGg</f>
        <v>7.8813449993659371E-2</v>
      </c>
      <c r="BP82" s="22">
        <f>INDEX('Activity data'!BP$24:BP$39,MATCH(Emissions!$D82,'Activity data'!$D$24:$D$39,0))*INDEX(EF!$H$84:$H$99,MATCH(Emissions!$D82,EF!$D$84:$D$99,0))*INDEX(EF!$H$100:$H$115,MATCH(Emissions!$D82,EF!$D$100:$D$115,0))*INDEX(EF!$H$132:$H$147,MATCH(Emissions!$D82,EF!$D$132:$D$147,0))*kgtoGg</f>
        <v>7.8813449993659371E-2</v>
      </c>
    </row>
    <row r="83" spans="1:68" x14ac:dyDescent="0.25">
      <c r="A83" t="str">
        <f t="shared" si="19"/>
        <v>3C Aggregated and non-CO2 emissions on land</v>
      </c>
      <c r="B83" t="str">
        <f t="shared" si="26"/>
        <v>3C1 Biomass burning (N2O)</v>
      </c>
      <c r="C83" t="str">
        <f t="shared" si="25"/>
        <v>3C1e Biomass burning in Settlements</v>
      </c>
      <c r="D83" t="str">
        <f>EF!D113</f>
        <v>Settlements</v>
      </c>
      <c r="E83" t="s">
        <v>659</v>
      </c>
      <c r="F83" t="str">
        <f t="shared" si="27"/>
        <v>N2O</v>
      </c>
      <c r="G83" t="str">
        <f t="shared" si="28"/>
        <v>Gg N2O</v>
      </c>
      <c r="H83" s="22">
        <f>INDEX('Activity data'!H$24:H$39,MATCH(Emissions!$D83,'Activity data'!$D$24:$D$39,0))*INDEX(EF!$H$84:$H$99,MATCH(Emissions!$D83,EF!$D$84:$D$99,0))*INDEX(EF!$H$100:$H$115,MATCH(Emissions!$D83,EF!$D$100:$D$115,0))*INDEX(EF!$H$132:$H$147,MATCH(Emissions!$D83,EF!$D$132:$D$147,0))*kgtoGg</f>
        <v>4.462880557297625E-2</v>
      </c>
      <c r="I83" s="22">
        <f>INDEX('Activity data'!I$24:I$39,MATCH(Emissions!$D83,'Activity data'!$D$24:$D$39,0))*INDEX(EF!$H$84:$H$99,MATCH(Emissions!$D83,EF!$D$84:$D$99,0))*INDEX(EF!$H$100:$H$115,MATCH(Emissions!$D83,EF!$D$100:$D$115,0))*INDEX(EF!$H$132:$H$147,MATCH(Emissions!$D83,EF!$D$132:$D$147,0))*kgtoGg</f>
        <v>4.462880557297625E-2</v>
      </c>
      <c r="J83" s="22">
        <f>INDEX('Activity data'!J$24:J$39,MATCH(Emissions!$D83,'Activity data'!$D$24:$D$39,0))*INDEX(EF!$H$84:$H$99,MATCH(Emissions!$D83,EF!$D$84:$D$99,0))*INDEX(EF!$H$100:$H$115,MATCH(Emissions!$D83,EF!$D$100:$D$115,0))*INDEX(EF!$H$132:$H$147,MATCH(Emissions!$D83,EF!$D$132:$D$147,0))*kgtoGg</f>
        <v>4.462880557297625E-2</v>
      </c>
      <c r="K83" s="22">
        <f>INDEX('Activity data'!K$24:K$39,MATCH(Emissions!$D83,'Activity data'!$D$24:$D$39,0))*INDEX(EF!$H$84:$H$99,MATCH(Emissions!$D83,EF!$D$84:$D$99,0))*INDEX(EF!$H$100:$H$115,MATCH(Emissions!$D83,EF!$D$100:$D$115,0))*INDEX(EF!$H$132:$H$147,MATCH(Emissions!$D83,EF!$D$132:$D$147,0))*kgtoGg</f>
        <v>4.462880557297625E-2</v>
      </c>
      <c r="L83" s="22">
        <f>INDEX('Activity data'!L$24:L$39,MATCH(Emissions!$D83,'Activity data'!$D$24:$D$39,0))*INDEX(EF!$H$84:$H$99,MATCH(Emissions!$D83,EF!$D$84:$D$99,0))*INDEX(EF!$H$100:$H$115,MATCH(Emissions!$D83,EF!$D$100:$D$115,0))*INDEX(EF!$H$132:$H$147,MATCH(Emissions!$D83,EF!$D$132:$D$147,0))*kgtoGg</f>
        <v>4.462880557297625E-2</v>
      </c>
      <c r="M83" s="22">
        <f>INDEX('Activity data'!M$24:M$39,MATCH(Emissions!$D83,'Activity data'!$D$24:$D$39,0))*INDEX(EF!$H$84:$H$99,MATCH(Emissions!$D83,EF!$D$84:$D$99,0))*INDEX(EF!$H$100:$H$115,MATCH(Emissions!$D83,EF!$D$100:$D$115,0))*INDEX(EF!$H$132:$H$147,MATCH(Emissions!$D83,EF!$D$132:$D$147,0))*kgtoGg</f>
        <v>4.462880557297625E-2</v>
      </c>
      <c r="N83" s="22">
        <f>INDEX('Activity data'!N$24:N$39,MATCH(Emissions!$D83,'Activity data'!$D$24:$D$39,0))*INDEX(EF!$H$84:$H$99,MATCH(Emissions!$D83,EF!$D$84:$D$99,0))*INDEX(EF!$H$100:$H$115,MATCH(Emissions!$D83,EF!$D$100:$D$115,0))*INDEX(EF!$H$132:$H$147,MATCH(Emissions!$D83,EF!$D$132:$D$147,0))*kgtoGg</f>
        <v>4.462880557297625E-2</v>
      </c>
      <c r="O83" s="22">
        <f>INDEX('Activity data'!O$24:O$39,MATCH(Emissions!$D83,'Activity data'!$D$24:$D$39,0))*INDEX(EF!$H$84:$H$99,MATCH(Emissions!$D83,EF!$D$84:$D$99,0))*INDEX(EF!$H$100:$H$115,MATCH(Emissions!$D83,EF!$D$100:$D$115,0))*INDEX(EF!$H$132:$H$147,MATCH(Emissions!$D83,EF!$D$132:$D$147,0))*kgtoGg</f>
        <v>4.462880557297625E-2</v>
      </c>
      <c r="P83" s="22">
        <f>INDEX('Activity data'!P$24:P$39,MATCH(Emissions!$D83,'Activity data'!$D$24:$D$39,0))*INDEX(EF!$H$84:$H$99,MATCH(Emissions!$D83,EF!$D$84:$D$99,0))*INDEX(EF!$H$100:$H$115,MATCH(Emissions!$D83,EF!$D$100:$D$115,0))*INDEX(EF!$H$132:$H$147,MATCH(Emissions!$D83,EF!$D$132:$D$147,0))*kgtoGg</f>
        <v>4.462880557297625E-2</v>
      </c>
      <c r="Q83" s="22">
        <f>INDEX('Activity data'!Q$24:Q$39,MATCH(Emissions!$D83,'Activity data'!$D$24:$D$39,0))*INDEX(EF!$H$84:$H$99,MATCH(Emissions!$D83,EF!$D$84:$D$99,0))*INDEX(EF!$H$100:$H$115,MATCH(Emissions!$D83,EF!$D$100:$D$115,0))*INDEX(EF!$H$132:$H$147,MATCH(Emissions!$D83,EF!$D$132:$D$147,0))*kgtoGg</f>
        <v>4.462880557297625E-2</v>
      </c>
      <c r="R83" s="22">
        <f>INDEX('Activity data'!R$24:R$39,MATCH(Emissions!$D83,'Activity data'!$D$24:$D$39,0))*INDEX(EF!$H$84:$H$99,MATCH(Emissions!$D83,EF!$D$84:$D$99,0))*INDEX(EF!$H$100:$H$115,MATCH(Emissions!$D83,EF!$D$100:$D$115,0))*INDEX(EF!$H$132:$H$147,MATCH(Emissions!$D83,EF!$D$132:$D$147,0))*kgtoGg</f>
        <v>4.8614087979466203E-2</v>
      </c>
      <c r="S83" s="22">
        <f>INDEX('Activity data'!S$24:S$39,MATCH(Emissions!$D83,'Activity data'!$D$24:$D$39,0))*INDEX(EF!$H$84:$H$99,MATCH(Emissions!$D83,EF!$D$84:$D$99,0))*INDEX(EF!$H$100:$H$115,MATCH(Emissions!$D83,EF!$D$100:$D$115,0))*INDEX(EF!$H$132:$H$147,MATCH(Emissions!$D83,EF!$D$132:$D$147,0))*kgtoGg</f>
        <v>5.3839059429649942E-2</v>
      </c>
      <c r="T83" s="22">
        <f>INDEX('Activity data'!T$24:T$39,MATCH(Emissions!$D83,'Activity data'!$D$24:$D$39,0))*INDEX(EF!$H$84:$H$99,MATCH(Emissions!$D83,EF!$D$84:$D$99,0))*INDEX(EF!$H$100:$H$115,MATCH(Emissions!$D83,EF!$D$100:$D$115,0))*INDEX(EF!$H$132:$H$147,MATCH(Emissions!$D83,EF!$D$132:$D$147,0))*kgtoGg</f>
        <v>4.76008805879857E-2</v>
      </c>
      <c r="U83" s="22">
        <f>INDEX('Activity data'!U$24:U$39,MATCH(Emissions!$D83,'Activity data'!$D$24:$D$39,0))*INDEX(EF!$H$84:$H$99,MATCH(Emissions!$D83,EF!$D$84:$D$99,0))*INDEX(EF!$H$100:$H$115,MATCH(Emissions!$D83,EF!$D$100:$D$115,0))*INDEX(EF!$H$132:$H$147,MATCH(Emissions!$D83,EF!$D$132:$D$147,0))*kgtoGg</f>
        <v>4.1064699572356617E-2</v>
      </c>
      <c r="V83" s="22">
        <f>INDEX('Activity data'!V$24:V$39,MATCH(Emissions!$D83,'Activity data'!$D$24:$D$39,0))*INDEX(EF!$H$84:$H$99,MATCH(Emissions!$D83,EF!$D$84:$D$99,0))*INDEX(EF!$H$100:$H$115,MATCH(Emissions!$D83,EF!$D$100:$D$115,0))*INDEX(EF!$H$132:$H$147,MATCH(Emissions!$D83,EF!$D$132:$D$147,0))*kgtoGg</f>
        <v>3.2025300295422769E-2</v>
      </c>
      <c r="W83" s="22">
        <f>INDEX('Activity data'!W$24:W$39,MATCH(Emissions!$D83,'Activity data'!$D$24:$D$39,0))*INDEX(EF!$H$84:$H$99,MATCH(Emissions!$D83,EF!$D$84:$D$99,0))*INDEX(EF!$H$100:$H$115,MATCH(Emissions!$D83,EF!$D$100:$D$115,0))*INDEX(EF!$H$132:$H$147,MATCH(Emissions!$D83,EF!$D$132:$D$147,0))*kgtoGg</f>
        <v>7.2513862331447368E-2</v>
      </c>
      <c r="X83" s="22">
        <f>INDEX('Activity data'!X$24:X$39,MATCH(Emissions!$D83,'Activity data'!$D$24:$D$39,0))*INDEX(EF!$H$84:$H$99,MATCH(Emissions!$D83,EF!$D$84:$D$99,0))*INDEX(EF!$H$100:$H$115,MATCH(Emissions!$D83,EF!$D$100:$D$115,0))*INDEX(EF!$H$132:$H$147,MATCH(Emissions!$D83,EF!$D$132:$D$147,0))*kgtoGg</f>
        <v>6.3514196677708815E-2</v>
      </c>
      <c r="Y83" s="22">
        <f>INDEX('Activity data'!Y$24:Y$39,MATCH(Emissions!$D83,'Activity data'!$D$24:$D$39,0))*INDEX(EF!$H$84:$H$99,MATCH(Emissions!$D83,EF!$D$84:$D$99,0))*INDEX(EF!$H$100:$H$115,MATCH(Emissions!$D83,EF!$D$100:$D$115,0))*INDEX(EF!$H$132:$H$147,MATCH(Emissions!$D83,EF!$D$132:$D$147,0))*kgtoGg</f>
        <v>7.0249045809314473E-2</v>
      </c>
      <c r="Z83" s="22">
        <f>INDEX('Activity data'!Z$24:Z$39,MATCH(Emissions!$D83,'Activity data'!$D$24:$D$39,0))*INDEX(EF!$H$84:$H$99,MATCH(Emissions!$D83,EF!$D$84:$D$99,0))*INDEX(EF!$H$100:$H$115,MATCH(Emissions!$D83,EF!$D$100:$D$115,0))*INDEX(EF!$H$132:$H$147,MATCH(Emissions!$D83,EF!$D$132:$D$147,0))*kgtoGg</f>
        <v>4.3369249717684813E-2</v>
      </c>
      <c r="AA83" s="22">
        <f>INDEX('Activity data'!AA$24:AA$39,MATCH(Emissions!$D83,'Activity data'!$D$24:$D$39,0))*INDEX(EF!$H$84:$H$99,MATCH(Emissions!$D83,EF!$D$84:$D$99,0))*INDEX(EF!$H$100:$H$115,MATCH(Emissions!$D83,EF!$D$100:$D$115,0))*INDEX(EF!$H$132:$H$147,MATCH(Emissions!$D83,EF!$D$132:$D$147,0))*kgtoGg</f>
        <v>5.2190114067044435E-2</v>
      </c>
      <c r="AB83" s="22">
        <f>INDEX('Activity data'!AB$24:AB$39,MATCH(Emissions!$D83,'Activity data'!$D$24:$D$39,0))*INDEX(EF!$H$84:$H$99,MATCH(Emissions!$D83,EF!$D$84:$D$99,0))*INDEX(EF!$H$100:$H$115,MATCH(Emissions!$D83,EF!$D$100:$D$115,0))*INDEX(EF!$H$132:$H$147,MATCH(Emissions!$D83,EF!$D$132:$D$147,0))*kgtoGg</f>
        <v>3.9028768379999995E-2</v>
      </c>
      <c r="AC83" s="22">
        <f>INDEX('Activity data'!AC$24:AC$39,MATCH(Emissions!$D83,'Activity data'!$D$24:$D$39,0))*INDEX(EF!$H$84:$H$99,MATCH(Emissions!$D83,EF!$D$84:$D$99,0))*INDEX(EF!$H$100:$H$115,MATCH(Emissions!$D83,EF!$D$100:$D$115,0))*INDEX(EF!$H$132:$H$147,MATCH(Emissions!$D83,EF!$D$132:$D$147,0))*kgtoGg</f>
        <v>2.72036394E-2</v>
      </c>
      <c r="AD83" s="22">
        <f>INDEX('Activity data'!AD$24:AD$39,MATCH(Emissions!$D83,'Activity data'!$D$24:$D$39,0))*INDEX(EF!$H$84:$H$99,MATCH(Emissions!$D83,EF!$D$84:$D$99,0))*INDEX(EF!$H$100:$H$115,MATCH(Emissions!$D83,EF!$D$100:$D$115,0))*INDEX(EF!$H$132:$H$147,MATCH(Emissions!$D83,EF!$D$132:$D$147,0))*kgtoGg</f>
        <v>3.9235523819963862E-2</v>
      </c>
      <c r="AE83" s="22">
        <f>INDEX('Activity data'!AE$24:AE$39,MATCH(Emissions!$D83,'Activity data'!$D$24:$D$39,0))*INDEX(EF!$H$84:$H$99,MATCH(Emissions!$D83,EF!$D$84:$D$99,0))*INDEX(EF!$H$100:$H$115,MATCH(Emissions!$D83,EF!$D$100:$D$115,0))*INDEX(EF!$H$132:$H$147,MATCH(Emissions!$D83,EF!$D$132:$D$147,0))*kgtoGg</f>
        <v>3.9318445103539788E-2</v>
      </c>
      <c r="AF83" s="22">
        <f>INDEX('Activity data'!AF$24:AF$39,MATCH(Emissions!$D83,'Activity data'!$D$24:$D$39,0))*INDEX(EF!$H$84:$H$99,MATCH(Emissions!$D83,EF!$D$84:$D$99,0))*INDEX(EF!$H$100:$H$115,MATCH(Emissions!$D83,EF!$D$100:$D$115,0))*INDEX(EF!$H$132:$H$147,MATCH(Emissions!$D83,EF!$D$132:$D$147,0))*kgtoGg</f>
        <v>3.9401366387115715E-2</v>
      </c>
      <c r="AG83" s="22">
        <f>INDEX('Activity data'!AG$24:AG$39,MATCH(Emissions!$D83,'Activity data'!$D$24:$D$39,0))*INDEX(EF!$H$84:$H$99,MATCH(Emissions!$D83,EF!$D$84:$D$99,0))*INDEX(EF!$H$100:$H$115,MATCH(Emissions!$D83,EF!$D$100:$D$115,0))*INDEX(EF!$H$132:$H$147,MATCH(Emissions!$D83,EF!$D$132:$D$147,0))*kgtoGg</f>
        <v>3.9484287670691648E-2</v>
      </c>
      <c r="AH83" s="22">
        <f>INDEX('Activity data'!AH$24:AH$39,MATCH(Emissions!$D83,'Activity data'!$D$24:$D$39,0))*INDEX(EF!$H$84:$H$99,MATCH(Emissions!$D83,EF!$D$84:$D$99,0))*INDEX(EF!$H$100:$H$115,MATCH(Emissions!$D83,EF!$D$100:$D$115,0))*INDEX(EF!$H$132:$H$147,MATCH(Emissions!$D83,EF!$D$132:$D$147,0))*kgtoGg</f>
        <v>3.9567208954267574E-2</v>
      </c>
      <c r="AI83" s="22">
        <f>INDEX('Activity data'!AI$24:AI$39,MATCH(Emissions!$D83,'Activity data'!$D$24:$D$39,0))*INDEX(EF!$H$84:$H$99,MATCH(Emissions!$D83,EF!$D$84:$D$99,0))*INDEX(EF!$H$100:$H$115,MATCH(Emissions!$D83,EF!$D$100:$D$115,0))*INDEX(EF!$H$132:$H$147,MATCH(Emissions!$D83,EF!$D$132:$D$147,0))*kgtoGg</f>
        <v>3.9650130237843507E-2</v>
      </c>
      <c r="AJ83" s="22">
        <f>INDEX('Activity data'!AJ$24:AJ$39,MATCH(Emissions!$D83,'Activity data'!$D$24:$D$39,0))*INDEX(EF!$H$84:$H$99,MATCH(Emissions!$D83,EF!$D$84:$D$99,0))*INDEX(EF!$H$100:$H$115,MATCH(Emissions!$D83,EF!$D$100:$D$115,0))*INDEX(EF!$H$132:$H$147,MATCH(Emissions!$D83,EF!$D$132:$D$147,0))*kgtoGg</f>
        <v>3.9733051521419427E-2</v>
      </c>
      <c r="AK83" s="22">
        <f>INDEX('Activity data'!AK$24:AK$39,MATCH(Emissions!$D83,'Activity data'!$D$24:$D$39,0))*INDEX(EF!$H$84:$H$99,MATCH(Emissions!$D83,EF!$D$84:$D$99,0))*INDEX(EF!$H$100:$H$115,MATCH(Emissions!$D83,EF!$D$100:$D$115,0))*INDEX(EF!$H$132:$H$147,MATCH(Emissions!$D83,EF!$D$132:$D$147,0))*kgtoGg</f>
        <v>3.9812821048201767E-2</v>
      </c>
      <c r="AL83" s="22">
        <f>INDEX('Activity data'!AL$24:AL$39,MATCH(Emissions!$D83,'Activity data'!$D$24:$D$39,0))*INDEX(EF!$H$84:$H$99,MATCH(Emissions!$D83,EF!$D$84:$D$99,0))*INDEX(EF!$H$100:$H$115,MATCH(Emissions!$D83,EF!$D$100:$D$115,0))*INDEX(EF!$H$132:$H$147,MATCH(Emissions!$D83,EF!$D$132:$D$147,0))*kgtoGg</f>
        <v>3.9892590574984101E-2</v>
      </c>
      <c r="AM83" s="22">
        <f>INDEX('Activity data'!AM$24:AM$39,MATCH(Emissions!$D83,'Activity data'!$D$24:$D$39,0))*INDEX(EF!$H$84:$H$99,MATCH(Emissions!$D83,EF!$D$84:$D$99,0))*INDEX(EF!$H$100:$H$115,MATCH(Emissions!$D83,EF!$D$100:$D$115,0))*INDEX(EF!$H$132:$H$147,MATCH(Emissions!$D83,EF!$D$132:$D$147,0))*kgtoGg</f>
        <v>3.9972360101766448E-2</v>
      </c>
      <c r="AN83" s="22">
        <f>INDEX('Activity data'!AN$24:AN$39,MATCH(Emissions!$D83,'Activity data'!$D$24:$D$39,0))*INDEX(EF!$H$84:$H$99,MATCH(Emissions!$D83,EF!$D$84:$D$99,0))*INDEX(EF!$H$100:$H$115,MATCH(Emissions!$D83,EF!$D$100:$D$115,0))*INDEX(EF!$H$132:$H$147,MATCH(Emissions!$D83,EF!$D$132:$D$147,0))*kgtoGg</f>
        <v>4.0052129628548781E-2</v>
      </c>
      <c r="AO83" s="22">
        <f>INDEX('Activity data'!AO$24:AO$39,MATCH(Emissions!$D83,'Activity data'!$D$24:$D$39,0))*INDEX(EF!$H$84:$H$99,MATCH(Emissions!$D83,EF!$D$84:$D$99,0))*INDEX(EF!$H$100:$H$115,MATCH(Emissions!$D83,EF!$D$100:$D$115,0))*INDEX(EF!$H$132:$H$147,MATCH(Emissions!$D83,EF!$D$132:$D$147,0))*kgtoGg</f>
        <v>4.0131899155331122E-2</v>
      </c>
      <c r="AP83" s="22">
        <f>INDEX('Activity data'!AP$24:AP$39,MATCH(Emissions!$D83,'Activity data'!$D$24:$D$39,0))*INDEX(EF!$H$84:$H$99,MATCH(Emissions!$D83,EF!$D$84:$D$99,0))*INDEX(EF!$H$100:$H$115,MATCH(Emissions!$D83,EF!$D$100:$D$115,0))*INDEX(EF!$H$132:$H$147,MATCH(Emissions!$D83,EF!$D$132:$D$147,0))*kgtoGg</f>
        <v>4.0211668682113448E-2</v>
      </c>
      <c r="AQ83" s="22">
        <f>INDEX('Activity data'!AQ$24:AQ$39,MATCH(Emissions!$D83,'Activity data'!$D$24:$D$39,0))*INDEX(EF!$H$84:$H$99,MATCH(Emissions!$D83,EF!$D$84:$D$99,0))*INDEX(EF!$H$100:$H$115,MATCH(Emissions!$D83,EF!$D$100:$D$115,0))*INDEX(EF!$H$132:$H$147,MATCH(Emissions!$D83,EF!$D$132:$D$147,0))*kgtoGg</f>
        <v>4.0291438208895788E-2</v>
      </c>
      <c r="AR83" s="22">
        <f>INDEX('Activity data'!AR$24:AR$39,MATCH(Emissions!$D83,'Activity data'!$D$24:$D$39,0))*INDEX(EF!$H$84:$H$99,MATCH(Emissions!$D83,EF!$D$84:$D$99,0))*INDEX(EF!$H$100:$H$115,MATCH(Emissions!$D83,EF!$D$100:$D$115,0))*INDEX(EF!$H$132:$H$147,MATCH(Emissions!$D83,EF!$D$132:$D$147,0))*kgtoGg</f>
        <v>4.0371207735678129E-2</v>
      </c>
      <c r="AS83" s="22">
        <f>INDEX('Activity data'!AS$24:AS$39,MATCH(Emissions!$D83,'Activity data'!$D$24:$D$39,0))*INDEX(EF!$H$84:$H$99,MATCH(Emissions!$D83,EF!$D$84:$D$99,0))*INDEX(EF!$H$100:$H$115,MATCH(Emissions!$D83,EF!$D$100:$D$115,0))*INDEX(EF!$H$132:$H$147,MATCH(Emissions!$D83,EF!$D$132:$D$147,0))*kgtoGg</f>
        <v>4.0450977262460462E-2</v>
      </c>
      <c r="AT83" s="22">
        <f>INDEX('Activity data'!AT$24:AT$39,MATCH(Emissions!$D83,'Activity data'!$D$24:$D$39,0))*INDEX(EF!$H$84:$H$99,MATCH(Emissions!$D83,EF!$D$84:$D$99,0))*INDEX(EF!$H$100:$H$115,MATCH(Emissions!$D83,EF!$D$100:$D$115,0))*INDEX(EF!$H$132:$H$147,MATCH(Emissions!$D83,EF!$D$132:$D$147,0))*kgtoGg</f>
        <v>4.0530746789242802E-2</v>
      </c>
      <c r="AU83" s="22">
        <f>INDEX('Activity data'!AU$24:AU$39,MATCH(Emissions!$D83,'Activity data'!$D$24:$D$39,0))*INDEX(EF!$H$84:$H$99,MATCH(Emissions!$D83,EF!$D$84:$D$99,0))*INDEX(EF!$H$100:$H$115,MATCH(Emissions!$D83,EF!$D$100:$D$115,0))*INDEX(EF!$H$132:$H$147,MATCH(Emissions!$D83,EF!$D$132:$D$147,0))*kgtoGg</f>
        <v>4.0610516316025136E-2</v>
      </c>
      <c r="AV83" s="22">
        <f>INDEX('Activity data'!AV$24:AV$39,MATCH(Emissions!$D83,'Activity data'!$D$24:$D$39,0))*INDEX(EF!$H$84:$H$99,MATCH(Emissions!$D83,EF!$D$84:$D$99,0))*INDEX(EF!$H$100:$H$115,MATCH(Emissions!$D83,EF!$D$100:$D$115,0))*INDEX(EF!$H$132:$H$147,MATCH(Emissions!$D83,EF!$D$132:$D$147,0))*kgtoGg</f>
        <v>4.0690285842807469E-2</v>
      </c>
      <c r="AW83" s="22">
        <f>INDEX('Activity data'!AW$24:AW$39,MATCH(Emissions!$D83,'Activity data'!$D$24:$D$39,0))*INDEX(EF!$H$84:$H$99,MATCH(Emissions!$D83,EF!$D$84:$D$99,0))*INDEX(EF!$H$100:$H$115,MATCH(Emissions!$D83,EF!$D$100:$D$115,0))*INDEX(EF!$H$132:$H$147,MATCH(Emissions!$D83,EF!$D$132:$D$147,0))*kgtoGg</f>
        <v>4.0770055369589803E-2</v>
      </c>
      <c r="AX83" s="22">
        <f>INDEX('Activity data'!AX$24:AX$39,MATCH(Emissions!$D83,'Activity data'!$D$24:$D$39,0))*INDEX(EF!$H$84:$H$99,MATCH(Emissions!$D83,EF!$D$84:$D$99,0))*INDEX(EF!$H$100:$H$115,MATCH(Emissions!$D83,EF!$D$100:$D$115,0))*INDEX(EF!$H$132:$H$147,MATCH(Emissions!$D83,EF!$D$132:$D$147,0))*kgtoGg</f>
        <v>4.084982489637215E-2</v>
      </c>
      <c r="AY83" s="22">
        <f>INDEX('Activity data'!AY$24:AY$39,MATCH(Emissions!$D83,'Activity data'!$D$24:$D$39,0))*INDEX(EF!$H$84:$H$99,MATCH(Emissions!$D83,EF!$D$84:$D$99,0))*INDEX(EF!$H$100:$H$115,MATCH(Emissions!$D83,EF!$D$100:$D$115,0))*INDEX(EF!$H$132:$H$147,MATCH(Emissions!$D83,EF!$D$132:$D$147,0))*kgtoGg</f>
        <v>4.0929594423154476E-2</v>
      </c>
      <c r="AZ83" s="22">
        <f>INDEX('Activity data'!AZ$24:AZ$39,MATCH(Emissions!$D83,'Activity data'!$D$24:$D$39,0))*INDEX(EF!$H$84:$H$99,MATCH(Emissions!$D83,EF!$D$84:$D$99,0))*INDEX(EF!$H$100:$H$115,MATCH(Emissions!$D83,EF!$D$100:$D$115,0))*INDEX(EF!$H$132:$H$147,MATCH(Emissions!$D83,EF!$D$132:$D$147,0))*kgtoGg</f>
        <v>4.100936394993681E-2</v>
      </c>
      <c r="BA83" s="22">
        <f>INDEX('Activity data'!BA$24:BA$39,MATCH(Emissions!$D83,'Activity data'!$D$24:$D$39,0))*INDEX(EF!$H$84:$H$99,MATCH(Emissions!$D83,EF!$D$84:$D$99,0))*INDEX(EF!$H$100:$H$115,MATCH(Emissions!$D83,EF!$D$100:$D$115,0))*INDEX(EF!$H$132:$H$147,MATCH(Emissions!$D83,EF!$D$132:$D$147,0))*kgtoGg</f>
        <v>4.1089133476719157E-2</v>
      </c>
      <c r="BB83" s="22">
        <f>INDEX('Activity data'!BB$24:BB$39,MATCH(Emissions!$D83,'Activity data'!$D$24:$D$39,0))*INDEX(EF!$H$84:$H$99,MATCH(Emissions!$D83,EF!$D$84:$D$99,0))*INDEX(EF!$H$100:$H$115,MATCH(Emissions!$D83,EF!$D$100:$D$115,0))*INDEX(EF!$H$132:$H$147,MATCH(Emissions!$D83,EF!$D$132:$D$147,0))*kgtoGg</f>
        <v>4.1168903003501491E-2</v>
      </c>
      <c r="BC83" s="22">
        <f>INDEX('Activity data'!BC$24:BC$39,MATCH(Emissions!$D83,'Activity data'!$D$24:$D$39,0))*INDEX(EF!$H$84:$H$99,MATCH(Emissions!$D83,EF!$D$84:$D$99,0))*INDEX(EF!$H$100:$H$115,MATCH(Emissions!$D83,EF!$D$100:$D$115,0))*INDEX(EF!$H$132:$H$147,MATCH(Emissions!$D83,EF!$D$132:$D$147,0))*kgtoGg</f>
        <v>4.1248672530283824E-2</v>
      </c>
      <c r="BD83" s="22">
        <f>INDEX('Activity data'!BD$24:BD$39,MATCH(Emissions!$D83,'Activity data'!$D$24:$D$39,0))*INDEX(EF!$H$84:$H$99,MATCH(Emissions!$D83,EF!$D$84:$D$99,0))*INDEX(EF!$H$100:$H$115,MATCH(Emissions!$D83,EF!$D$100:$D$115,0))*INDEX(EF!$H$132:$H$147,MATCH(Emissions!$D83,EF!$D$132:$D$147,0))*kgtoGg</f>
        <v>4.1328442057066164E-2</v>
      </c>
      <c r="BE83" s="22">
        <f>INDEX('Activity data'!BE$24:BE$39,MATCH(Emissions!$D83,'Activity data'!$D$24:$D$39,0))*INDEX(EF!$H$84:$H$99,MATCH(Emissions!$D83,EF!$D$84:$D$99,0))*INDEX(EF!$H$100:$H$115,MATCH(Emissions!$D83,EF!$D$100:$D$115,0))*INDEX(EF!$H$132:$H$147,MATCH(Emissions!$D83,EF!$D$132:$D$147,0))*kgtoGg</f>
        <v>4.1408211583848505E-2</v>
      </c>
      <c r="BF83" s="22">
        <f>INDEX('Activity data'!BF$24:BF$39,MATCH(Emissions!$D83,'Activity data'!$D$24:$D$39,0))*INDEX(EF!$H$84:$H$99,MATCH(Emissions!$D83,EF!$D$84:$D$99,0))*INDEX(EF!$H$100:$H$115,MATCH(Emissions!$D83,EF!$D$100:$D$115,0))*INDEX(EF!$H$132:$H$147,MATCH(Emissions!$D83,EF!$D$132:$D$147,0))*kgtoGg</f>
        <v>4.1487981110630831E-2</v>
      </c>
      <c r="BG83" s="22">
        <f>INDEX('Activity data'!BG$24:BG$39,MATCH(Emissions!$D83,'Activity data'!$D$24:$D$39,0))*INDEX(EF!$H$84:$H$99,MATCH(Emissions!$D83,EF!$D$84:$D$99,0))*INDEX(EF!$H$100:$H$115,MATCH(Emissions!$D83,EF!$D$100:$D$115,0))*INDEX(EF!$H$132:$H$147,MATCH(Emissions!$D83,EF!$D$132:$D$147,0))*kgtoGg</f>
        <v>4.1567750637413178E-2</v>
      </c>
      <c r="BH83" s="22">
        <f>INDEX('Activity data'!BH$24:BH$39,MATCH(Emissions!$D83,'Activity data'!$D$24:$D$39,0))*INDEX(EF!$H$84:$H$99,MATCH(Emissions!$D83,EF!$D$84:$D$99,0))*INDEX(EF!$H$100:$H$115,MATCH(Emissions!$D83,EF!$D$100:$D$115,0))*INDEX(EF!$H$132:$H$147,MATCH(Emissions!$D83,EF!$D$132:$D$147,0))*kgtoGg</f>
        <v>4.1647520164195512E-2</v>
      </c>
      <c r="BI83" s="22">
        <f>INDEX('Activity data'!BI$24:BI$39,MATCH(Emissions!$D83,'Activity data'!$D$24:$D$39,0))*INDEX(EF!$H$84:$H$99,MATCH(Emissions!$D83,EF!$D$84:$D$99,0))*INDEX(EF!$H$100:$H$115,MATCH(Emissions!$D83,EF!$D$100:$D$115,0))*INDEX(EF!$H$132:$H$147,MATCH(Emissions!$D83,EF!$D$132:$D$147,0))*kgtoGg</f>
        <v>4.1727289690977845E-2</v>
      </c>
      <c r="BJ83" s="22">
        <f>INDEX('Activity data'!BJ$24:BJ$39,MATCH(Emissions!$D83,'Activity data'!$D$24:$D$39,0))*INDEX(EF!$H$84:$H$99,MATCH(Emissions!$D83,EF!$D$84:$D$99,0))*INDEX(EF!$H$100:$H$115,MATCH(Emissions!$D83,EF!$D$100:$D$115,0))*INDEX(EF!$H$132:$H$147,MATCH(Emissions!$D83,EF!$D$132:$D$147,0))*kgtoGg</f>
        <v>4.1807059217760185E-2</v>
      </c>
      <c r="BK83" s="22">
        <f>INDEX('Activity data'!BK$24:BK$39,MATCH(Emissions!$D83,'Activity data'!$D$24:$D$39,0))*INDEX(EF!$H$84:$H$99,MATCH(Emissions!$D83,EF!$D$84:$D$99,0))*INDEX(EF!$H$100:$H$115,MATCH(Emissions!$D83,EF!$D$100:$D$115,0))*INDEX(EF!$H$132:$H$147,MATCH(Emissions!$D83,EF!$D$132:$D$147,0))*kgtoGg</f>
        <v>4.1886828744542519E-2</v>
      </c>
      <c r="BL83" s="22">
        <f>INDEX('Activity data'!BL$24:BL$39,MATCH(Emissions!$D83,'Activity data'!$D$24:$D$39,0))*INDEX(EF!$H$84:$H$99,MATCH(Emissions!$D83,EF!$D$84:$D$99,0))*INDEX(EF!$H$100:$H$115,MATCH(Emissions!$D83,EF!$D$100:$D$115,0))*INDEX(EF!$H$132:$H$147,MATCH(Emissions!$D83,EF!$D$132:$D$147,0))*kgtoGg</f>
        <v>4.1966598271324866E-2</v>
      </c>
      <c r="BM83" s="22">
        <f>INDEX('Activity data'!BM$24:BM$39,MATCH(Emissions!$D83,'Activity data'!$D$24:$D$39,0))*INDEX(EF!$H$84:$H$99,MATCH(Emissions!$D83,EF!$D$84:$D$99,0))*INDEX(EF!$H$100:$H$115,MATCH(Emissions!$D83,EF!$D$100:$D$115,0))*INDEX(EF!$H$132:$H$147,MATCH(Emissions!$D83,EF!$D$132:$D$147,0))*kgtoGg</f>
        <v>4.2046367798107193E-2</v>
      </c>
      <c r="BN83" s="22">
        <f>INDEX('Activity data'!BN$24:BN$39,MATCH(Emissions!$D83,'Activity data'!$D$24:$D$39,0))*INDEX(EF!$H$84:$H$99,MATCH(Emissions!$D83,EF!$D$84:$D$99,0))*INDEX(EF!$H$100:$H$115,MATCH(Emissions!$D83,EF!$D$100:$D$115,0))*INDEX(EF!$H$132:$H$147,MATCH(Emissions!$D83,EF!$D$132:$D$147,0))*kgtoGg</f>
        <v>4.2126137324889533E-2</v>
      </c>
      <c r="BO83" s="22">
        <f>INDEX('Activity data'!BO$24:BO$39,MATCH(Emissions!$D83,'Activity data'!$D$24:$D$39,0))*INDEX(EF!$H$84:$H$99,MATCH(Emissions!$D83,EF!$D$84:$D$99,0))*INDEX(EF!$H$100:$H$115,MATCH(Emissions!$D83,EF!$D$100:$D$115,0))*INDEX(EF!$H$132:$H$147,MATCH(Emissions!$D83,EF!$D$132:$D$147,0))*kgtoGg</f>
        <v>4.2205906851671873E-2</v>
      </c>
      <c r="BP83" s="22">
        <f>INDEX('Activity data'!BP$24:BP$39,MATCH(Emissions!$D83,'Activity data'!$D$24:$D$39,0))*INDEX(EF!$H$84:$H$99,MATCH(Emissions!$D83,EF!$D$84:$D$99,0))*INDEX(EF!$H$100:$H$115,MATCH(Emissions!$D83,EF!$D$100:$D$115,0))*INDEX(EF!$H$132:$H$147,MATCH(Emissions!$D83,EF!$D$132:$D$147,0))*kgtoGg</f>
        <v>4.2285676378454207E-2</v>
      </c>
    </row>
    <row r="84" spans="1:68" x14ac:dyDescent="0.25">
      <c r="A84" t="str">
        <f t="shared" si="19"/>
        <v>3C Aggregated and non-CO2 emissions on land</v>
      </c>
      <c r="B84" t="str">
        <f t="shared" si="26"/>
        <v>3C1 Biomass burning (N2O)</v>
      </c>
      <c r="C84" t="str">
        <f t="shared" si="25"/>
        <v>3C1e Biomass burning in Settlements</v>
      </c>
      <c r="D84" t="str">
        <f>EF!D114</f>
        <v>Mines</v>
      </c>
      <c r="E84" t="s">
        <v>660</v>
      </c>
      <c r="F84" t="str">
        <f t="shared" si="27"/>
        <v>N2O</v>
      </c>
      <c r="G84" t="str">
        <f t="shared" si="28"/>
        <v>Gg N2O</v>
      </c>
      <c r="H84" s="22">
        <f>INDEX('Activity data'!H$24:H$39,MATCH(Emissions!$D84,'Activity data'!$D$24:$D$39,0))*INDEX(EF!$H$84:$H$99,MATCH(Emissions!$D84,EF!$D$84:$D$99,0))*INDEX(EF!$H$100:$H$115,MATCH(Emissions!$D84,EF!$D$100:$D$115,0))*INDEX(EF!$H$132:$H$147,MATCH(Emissions!$D84,EF!$D$132:$D$147,0))*kgtoGg</f>
        <v>0</v>
      </c>
      <c r="I84" s="22">
        <f>INDEX('Activity data'!I$24:I$39,MATCH(Emissions!$D84,'Activity data'!$D$24:$D$39,0))*INDEX(EF!$H$84:$H$99,MATCH(Emissions!$D84,EF!$D$84:$D$99,0))*INDEX(EF!$H$100:$H$115,MATCH(Emissions!$D84,EF!$D$100:$D$115,0))*INDEX(EF!$H$132:$H$147,MATCH(Emissions!$D84,EF!$D$132:$D$147,0))*kgtoGg</f>
        <v>0</v>
      </c>
      <c r="J84" s="22">
        <f>INDEX('Activity data'!J$24:J$39,MATCH(Emissions!$D84,'Activity data'!$D$24:$D$39,0))*INDEX(EF!$H$84:$H$99,MATCH(Emissions!$D84,EF!$D$84:$D$99,0))*INDEX(EF!$H$100:$H$115,MATCH(Emissions!$D84,EF!$D$100:$D$115,0))*INDEX(EF!$H$132:$H$147,MATCH(Emissions!$D84,EF!$D$132:$D$147,0))*kgtoGg</f>
        <v>0</v>
      </c>
      <c r="K84" s="22">
        <f>INDEX('Activity data'!K$24:K$39,MATCH(Emissions!$D84,'Activity data'!$D$24:$D$39,0))*INDEX(EF!$H$84:$H$99,MATCH(Emissions!$D84,EF!$D$84:$D$99,0))*INDEX(EF!$H$100:$H$115,MATCH(Emissions!$D84,EF!$D$100:$D$115,0))*INDEX(EF!$H$132:$H$147,MATCH(Emissions!$D84,EF!$D$132:$D$147,0))*kgtoGg</f>
        <v>0</v>
      </c>
      <c r="L84" s="22">
        <f>INDEX('Activity data'!L$24:L$39,MATCH(Emissions!$D84,'Activity data'!$D$24:$D$39,0))*INDEX(EF!$H$84:$H$99,MATCH(Emissions!$D84,EF!$D$84:$D$99,0))*INDEX(EF!$H$100:$H$115,MATCH(Emissions!$D84,EF!$D$100:$D$115,0))*INDEX(EF!$H$132:$H$147,MATCH(Emissions!$D84,EF!$D$132:$D$147,0))*kgtoGg</f>
        <v>0</v>
      </c>
      <c r="M84" s="22">
        <f>INDEX('Activity data'!M$24:M$39,MATCH(Emissions!$D84,'Activity data'!$D$24:$D$39,0))*INDEX(EF!$H$84:$H$99,MATCH(Emissions!$D84,EF!$D$84:$D$99,0))*INDEX(EF!$H$100:$H$115,MATCH(Emissions!$D84,EF!$D$100:$D$115,0))*INDEX(EF!$H$132:$H$147,MATCH(Emissions!$D84,EF!$D$132:$D$147,0))*kgtoGg</f>
        <v>0</v>
      </c>
      <c r="N84" s="22">
        <f>INDEX('Activity data'!N$24:N$39,MATCH(Emissions!$D84,'Activity data'!$D$24:$D$39,0))*INDEX(EF!$H$84:$H$99,MATCH(Emissions!$D84,EF!$D$84:$D$99,0))*INDEX(EF!$H$100:$H$115,MATCH(Emissions!$D84,EF!$D$100:$D$115,0))*INDEX(EF!$H$132:$H$147,MATCH(Emissions!$D84,EF!$D$132:$D$147,0))*kgtoGg</f>
        <v>0</v>
      </c>
      <c r="O84" s="22">
        <f>INDEX('Activity data'!O$24:O$39,MATCH(Emissions!$D84,'Activity data'!$D$24:$D$39,0))*INDEX(EF!$H$84:$H$99,MATCH(Emissions!$D84,EF!$D$84:$D$99,0))*INDEX(EF!$H$100:$H$115,MATCH(Emissions!$D84,EF!$D$100:$D$115,0))*INDEX(EF!$H$132:$H$147,MATCH(Emissions!$D84,EF!$D$132:$D$147,0))*kgtoGg</f>
        <v>0</v>
      </c>
      <c r="P84" s="22">
        <f>INDEX('Activity data'!P$24:P$39,MATCH(Emissions!$D84,'Activity data'!$D$24:$D$39,0))*INDEX(EF!$H$84:$H$99,MATCH(Emissions!$D84,EF!$D$84:$D$99,0))*INDEX(EF!$H$100:$H$115,MATCH(Emissions!$D84,EF!$D$100:$D$115,0))*INDEX(EF!$H$132:$H$147,MATCH(Emissions!$D84,EF!$D$132:$D$147,0))*kgtoGg</f>
        <v>0</v>
      </c>
      <c r="Q84" s="22">
        <f>INDEX('Activity data'!Q$24:Q$39,MATCH(Emissions!$D84,'Activity data'!$D$24:$D$39,0))*INDEX(EF!$H$84:$H$99,MATCH(Emissions!$D84,EF!$D$84:$D$99,0))*INDEX(EF!$H$100:$H$115,MATCH(Emissions!$D84,EF!$D$100:$D$115,0))*INDEX(EF!$H$132:$H$147,MATCH(Emissions!$D84,EF!$D$132:$D$147,0))*kgtoGg</f>
        <v>0</v>
      </c>
      <c r="R84" s="22">
        <f>INDEX('Activity data'!R$24:R$39,MATCH(Emissions!$D84,'Activity data'!$D$24:$D$39,0))*INDEX(EF!$H$84:$H$99,MATCH(Emissions!$D84,EF!$D$84:$D$99,0))*INDEX(EF!$H$100:$H$115,MATCH(Emissions!$D84,EF!$D$100:$D$115,0))*INDEX(EF!$H$132:$H$147,MATCH(Emissions!$D84,EF!$D$132:$D$147,0))*kgtoGg</f>
        <v>0</v>
      </c>
      <c r="S84" s="22">
        <f>INDEX('Activity data'!S$24:S$39,MATCH(Emissions!$D84,'Activity data'!$D$24:$D$39,0))*INDEX(EF!$H$84:$H$99,MATCH(Emissions!$D84,EF!$D$84:$D$99,0))*INDEX(EF!$H$100:$H$115,MATCH(Emissions!$D84,EF!$D$100:$D$115,0))*INDEX(EF!$H$132:$H$147,MATCH(Emissions!$D84,EF!$D$132:$D$147,0))*kgtoGg</f>
        <v>0</v>
      </c>
      <c r="T84" s="22">
        <f>INDEX('Activity data'!T$24:T$39,MATCH(Emissions!$D84,'Activity data'!$D$24:$D$39,0))*INDEX(EF!$H$84:$H$99,MATCH(Emissions!$D84,EF!$D$84:$D$99,0))*INDEX(EF!$H$100:$H$115,MATCH(Emissions!$D84,EF!$D$100:$D$115,0))*INDEX(EF!$H$132:$H$147,MATCH(Emissions!$D84,EF!$D$132:$D$147,0))*kgtoGg</f>
        <v>0</v>
      </c>
      <c r="U84" s="22">
        <f>INDEX('Activity data'!U$24:U$39,MATCH(Emissions!$D84,'Activity data'!$D$24:$D$39,0))*INDEX(EF!$H$84:$H$99,MATCH(Emissions!$D84,EF!$D$84:$D$99,0))*INDEX(EF!$H$100:$H$115,MATCH(Emissions!$D84,EF!$D$100:$D$115,0))*INDEX(EF!$H$132:$H$147,MATCH(Emissions!$D84,EF!$D$132:$D$147,0))*kgtoGg</f>
        <v>0</v>
      </c>
      <c r="V84" s="22">
        <f>INDEX('Activity data'!V$24:V$39,MATCH(Emissions!$D84,'Activity data'!$D$24:$D$39,0))*INDEX(EF!$H$84:$H$99,MATCH(Emissions!$D84,EF!$D$84:$D$99,0))*INDEX(EF!$H$100:$H$115,MATCH(Emissions!$D84,EF!$D$100:$D$115,0))*INDEX(EF!$H$132:$H$147,MATCH(Emissions!$D84,EF!$D$132:$D$147,0))*kgtoGg</f>
        <v>0</v>
      </c>
      <c r="W84" s="22">
        <f>INDEX('Activity data'!W$24:W$39,MATCH(Emissions!$D84,'Activity data'!$D$24:$D$39,0))*INDEX(EF!$H$84:$H$99,MATCH(Emissions!$D84,EF!$D$84:$D$99,0))*INDEX(EF!$H$100:$H$115,MATCH(Emissions!$D84,EF!$D$100:$D$115,0))*INDEX(EF!$H$132:$H$147,MATCH(Emissions!$D84,EF!$D$132:$D$147,0))*kgtoGg</f>
        <v>0</v>
      </c>
      <c r="X84" s="22">
        <f>INDEX('Activity data'!X$24:X$39,MATCH(Emissions!$D84,'Activity data'!$D$24:$D$39,0))*INDEX(EF!$H$84:$H$99,MATCH(Emissions!$D84,EF!$D$84:$D$99,0))*INDEX(EF!$H$100:$H$115,MATCH(Emissions!$D84,EF!$D$100:$D$115,0))*INDEX(EF!$H$132:$H$147,MATCH(Emissions!$D84,EF!$D$132:$D$147,0))*kgtoGg</f>
        <v>0</v>
      </c>
      <c r="Y84" s="22">
        <f>INDEX('Activity data'!Y$24:Y$39,MATCH(Emissions!$D84,'Activity data'!$D$24:$D$39,0))*INDEX(EF!$H$84:$H$99,MATCH(Emissions!$D84,EF!$D$84:$D$99,0))*INDEX(EF!$H$100:$H$115,MATCH(Emissions!$D84,EF!$D$100:$D$115,0))*INDEX(EF!$H$132:$H$147,MATCH(Emissions!$D84,EF!$D$132:$D$147,0))*kgtoGg</f>
        <v>0</v>
      </c>
      <c r="Z84" s="22">
        <f>INDEX('Activity data'!Z$24:Z$39,MATCH(Emissions!$D84,'Activity data'!$D$24:$D$39,0))*INDEX(EF!$H$84:$H$99,MATCH(Emissions!$D84,EF!$D$84:$D$99,0))*INDEX(EF!$H$100:$H$115,MATCH(Emissions!$D84,EF!$D$100:$D$115,0))*INDEX(EF!$H$132:$H$147,MATCH(Emissions!$D84,EF!$D$132:$D$147,0))*kgtoGg</f>
        <v>0</v>
      </c>
      <c r="AA84" s="22">
        <f>INDEX('Activity data'!AA$24:AA$39,MATCH(Emissions!$D84,'Activity data'!$D$24:$D$39,0))*INDEX(EF!$H$84:$H$99,MATCH(Emissions!$D84,EF!$D$84:$D$99,0))*INDEX(EF!$H$100:$H$115,MATCH(Emissions!$D84,EF!$D$100:$D$115,0))*INDEX(EF!$H$132:$H$147,MATCH(Emissions!$D84,EF!$D$132:$D$147,0))*kgtoGg</f>
        <v>0</v>
      </c>
      <c r="AB84" s="22">
        <f>INDEX('Activity data'!AB$24:AB$39,MATCH(Emissions!$D84,'Activity data'!$D$24:$D$39,0))*INDEX(EF!$H$84:$H$99,MATCH(Emissions!$D84,EF!$D$84:$D$99,0))*INDEX(EF!$H$100:$H$115,MATCH(Emissions!$D84,EF!$D$100:$D$115,0))*INDEX(EF!$H$132:$H$147,MATCH(Emissions!$D84,EF!$D$132:$D$147,0))*kgtoGg</f>
        <v>0</v>
      </c>
      <c r="AC84" s="22">
        <f>INDEX('Activity data'!AC$24:AC$39,MATCH(Emissions!$D84,'Activity data'!$D$24:$D$39,0))*INDEX(EF!$H$84:$H$99,MATCH(Emissions!$D84,EF!$D$84:$D$99,0))*INDEX(EF!$H$100:$H$115,MATCH(Emissions!$D84,EF!$D$100:$D$115,0))*INDEX(EF!$H$132:$H$147,MATCH(Emissions!$D84,EF!$D$132:$D$147,0))*kgtoGg</f>
        <v>0</v>
      </c>
      <c r="AD84" s="22">
        <f>INDEX('Activity data'!AD$24:AD$39,MATCH(Emissions!$D84,'Activity data'!$D$24:$D$39,0))*INDEX(EF!$H$84:$H$99,MATCH(Emissions!$D84,EF!$D$84:$D$99,0))*INDEX(EF!$H$100:$H$115,MATCH(Emissions!$D84,EF!$D$100:$D$115,0))*INDEX(EF!$H$132:$H$147,MATCH(Emissions!$D84,EF!$D$132:$D$147,0))*kgtoGg</f>
        <v>0</v>
      </c>
      <c r="AE84" s="22">
        <f>INDEX('Activity data'!AE$24:AE$39,MATCH(Emissions!$D84,'Activity data'!$D$24:$D$39,0))*INDEX(EF!$H$84:$H$99,MATCH(Emissions!$D84,EF!$D$84:$D$99,0))*INDEX(EF!$H$100:$H$115,MATCH(Emissions!$D84,EF!$D$100:$D$115,0))*INDEX(EF!$H$132:$H$147,MATCH(Emissions!$D84,EF!$D$132:$D$147,0))*kgtoGg</f>
        <v>0</v>
      </c>
      <c r="AF84" s="22">
        <f>INDEX('Activity data'!AF$24:AF$39,MATCH(Emissions!$D84,'Activity data'!$D$24:$D$39,0))*INDEX(EF!$H$84:$H$99,MATCH(Emissions!$D84,EF!$D$84:$D$99,0))*INDEX(EF!$H$100:$H$115,MATCH(Emissions!$D84,EF!$D$100:$D$115,0))*INDEX(EF!$H$132:$H$147,MATCH(Emissions!$D84,EF!$D$132:$D$147,0))*kgtoGg</f>
        <v>0</v>
      </c>
      <c r="AG84" s="22">
        <f>INDEX('Activity data'!AG$24:AG$39,MATCH(Emissions!$D84,'Activity data'!$D$24:$D$39,0))*INDEX(EF!$H$84:$H$99,MATCH(Emissions!$D84,EF!$D$84:$D$99,0))*INDEX(EF!$H$100:$H$115,MATCH(Emissions!$D84,EF!$D$100:$D$115,0))*INDEX(EF!$H$132:$H$147,MATCH(Emissions!$D84,EF!$D$132:$D$147,0))*kgtoGg</f>
        <v>0</v>
      </c>
      <c r="AH84" s="22">
        <f>INDEX('Activity data'!AH$24:AH$39,MATCH(Emissions!$D84,'Activity data'!$D$24:$D$39,0))*INDEX(EF!$H$84:$H$99,MATCH(Emissions!$D84,EF!$D$84:$D$99,0))*INDEX(EF!$H$100:$H$115,MATCH(Emissions!$D84,EF!$D$100:$D$115,0))*INDEX(EF!$H$132:$H$147,MATCH(Emissions!$D84,EF!$D$132:$D$147,0))*kgtoGg</f>
        <v>0</v>
      </c>
      <c r="AI84" s="22">
        <f>INDEX('Activity data'!AI$24:AI$39,MATCH(Emissions!$D84,'Activity data'!$D$24:$D$39,0))*INDEX(EF!$H$84:$H$99,MATCH(Emissions!$D84,EF!$D$84:$D$99,0))*INDEX(EF!$H$100:$H$115,MATCH(Emissions!$D84,EF!$D$100:$D$115,0))*INDEX(EF!$H$132:$H$147,MATCH(Emissions!$D84,EF!$D$132:$D$147,0))*kgtoGg</f>
        <v>0</v>
      </c>
      <c r="AJ84" s="22">
        <f>INDEX('Activity data'!AJ$24:AJ$39,MATCH(Emissions!$D84,'Activity data'!$D$24:$D$39,0))*INDEX(EF!$H$84:$H$99,MATCH(Emissions!$D84,EF!$D$84:$D$99,0))*INDEX(EF!$H$100:$H$115,MATCH(Emissions!$D84,EF!$D$100:$D$115,0))*INDEX(EF!$H$132:$H$147,MATCH(Emissions!$D84,EF!$D$132:$D$147,0))*kgtoGg</f>
        <v>0</v>
      </c>
      <c r="AK84" s="22">
        <f>INDEX('Activity data'!AK$24:AK$39,MATCH(Emissions!$D84,'Activity data'!$D$24:$D$39,0))*INDEX(EF!$H$84:$H$99,MATCH(Emissions!$D84,EF!$D$84:$D$99,0))*INDEX(EF!$H$100:$H$115,MATCH(Emissions!$D84,EF!$D$100:$D$115,0))*INDEX(EF!$H$132:$H$147,MATCH(Emissions!$D84,EF!$D$132:$D$147,0))*kgtoGg</f>
        <v>0</v>
      </c>
      <c r="AL84" s="22">
        <f>INDEX('Activity data'!AL$24:AL$39,MATCH(Emissions!$D84,'Activity data'!$D$24:$D$39,0))*INDEX(EF!$H$84:$H$99,MATCH(Emissions!$D84,EF!$D$84:$D$99,0))*INDEX(EF!$H$100:$H$115,MATCH(Emissions!$D84,EF!$D$100:$D$115,0))*INDEX(EF!$H$132:$H$147,MATCH(Emissions!$D84,EF!$D$132:$D$147,0))*kgtoGg</f>
        <v>0</v>
      </c>
      <c r="AM84" s="22">
        <f>INDEX('Activity data'!AM$24:AM$39,MATCH(Emissions!$D84,'Activity data'!$D$24:$D$39,0))*INDEX(EF!$H$84:$H$99,MATCH(Emissions!$D84,EF!$D$84:$D$99,0))*INDEX(EF!$H$100:$H$115,MATCH(Emissions!$D84,EF!$D$100:$D$115,0))*INDEX(EF!$H$132:$H$147,MATCH(Emissions!$D84,EF!$D$132:$D$147,0))*kgtoGg</f>
        <v>0</v>
      </c>
      <c r="AN84" s="22">
        <f>INDEX('Activity data'!AN$24:AN$39,MATCH(Emissions!$D84,'Activity data'!$D$24:$D$39,0))*INDEX(EF!$H$84:$H$99,MATCH(Emissions!$D84,EF!$D$84:$D$99,0))*INDEX(EF!$H$100:$H$115,MATCH(Emissions!$D84,EF!$D$100:$D$115,0))*INDEX(EF!$H$132:$H$147,MATCH(Emissions!$D84,EF!$D$132:$D$147,0))*kgtoGg</f>
        <v>0</v>
      </c>
      <c r="AO84" s="22">
        <f>INDEX('Activity data'!AO$24:AO$39,MATCH(Emissions!$D84,'Activity data'!$D$24:$D$39,0))*INDEX(EF!$H$84:$H$99,MATCH(Emissions!$D84,EF!$D$84:$D$99,0))*INDEX(EF!$H$100:$H$115,MATCH(Emissions!$D84,EF!$D$100:$D$115,0))*INDEX(EF!$H$132:$H$147,MATCH(Emissions!$D84,EF!$D$132:$D$147,0))*kgtoGg</f>
        <v>0</v>
      </c>
      <c r="AP84" s="22">
        <f>INDEX('Activity data'!AP$24:AP$39,MATCH(Emissions!$D84,'Activity data'!$D$24:$D$39,0))*INDEX(EF!$H$84:$H$99,MATCH(Emissions!$D84,EF!$D$84:$D$99,0))*INDEX(EF!$H$100:$H$115,MATCH(Emissions!$D84,EF!$D$100:$D$115,0))*INDEX(EF!$H$132:$H$147,MATCH(Emissions!$D84,EF!$D$132:$D$147,0))*kgtoGg</f>
        <v>0</v>
      </c>
      <c r="AQ84" s="22">
        <f>INDEX('Activity data'!AQ$24:AQ$39,MATCH(Emissions!$D84,'Activity data'!$D$24:$D$39,0))*INDEX(EF!$H$84:$H$99,MATCH(Emissions!$D84,EF!$D$84:$D$99,0))*INDEX(EF!$H$100:$H$115,MATCH(Emissions!$D84,EF!$D$100:$D$115,0))*INDEX(EF!$H$132:$H$147,MATCH(Emissions!$D84,EF!$D$132:$D$147,0))*kgtoGg</f>
        <v>0</v>
      </c>
      <c r="AR84" s="22">
        <f>INDEX('Activity data'!AR$24:AR$39,MATCH(Emissions!$D84,'Activity data'!$D$24:$D$39,0))*INDEX(EF!$H$84:$H$99,MATCH(Emissions!$D84,EF!$D$84:$D$99,0))*INDEX(EF!$H$100:$H$115,MATCH(Emissions!$D84,EF!$D$100:$D$115,0))*INDEX(EF!$H$132:$H$147,MATCH(Emissions!$D84,EF!$D$132:$D$147,0))*kgtoGg</f>
        <v>0</v>
      </c>
      <c r="AS84" s="22">
        <f>INDEX('Activity data'!AS$24:AS$39,MATCH(Emissions!$D84,'Activity data'!$D$24:$D$39,0))*INDEX(EF!$H$84:$H$99,MATCH(Emissions!$D84,EF!$D$84:$D$99,0))*INDEX(EF!$H$100:$H$115,MATCH(Emissions!$D84,EF!$D$100:$D$115,0))*INDEX(EF!$H$132:$H$147,MATCH(Emissions!$D84,EF!$D$132:$D$147,0))*kgtoGg</f>
        <v>0</v>
      </c>
      <c r="AT84" s="22">
        <f>INDEX('Activity data'!AT$24:AT$39,MATCH(Emissions!$D84,'Activity data'!$D$24:$D$39,0))*INDEX(EF!$H$84:$H$99,MATCH(Emissions!$D84,EF!$D$84:$D$99,0))*INDEX(EF!$H$100:$H$115,MATCH(Emissions!$D84,EF!$D$100:$D$115,0))*INDEX(EF!$H$132:$H$147,MATCH(Emissions!$D84,EF!$D$132:$D$147,0))*kgtoGg</f>
        <v>0</v>
      </c>
      <c r="AU84" s="22">
        <f>INDEX('Activity data'!AU$24:AU$39,MATCH(Emissions!$D84,'Activity data'!$D$24:$D$39,0))*INDEX(EF!$H$84:$H$99,MATCH(Emissions!$D84,EF!$D$84:$D$99,0))*INDEX(EF!$H$100:$H$115,MATCH(Emissions!$D84,EF!$D$100:$D$115,0))*INDEX(EF!$H$132:$H$147,MATCH(Emissions!$D84,EF!$D$132:$D$147,0))*kgtoGg</f>
        <v>0</v>
      </c>
      <c r="AV84" s="22">
        <f>INDEX('Activity data'!AV$24:AV$39,MATCH(Emissions!$D84,'Activity data'!$D$24:$D$39,0))*INDEX(EF!$H$84:$H$99,MATCH(Emissions!$D84,EF!$D$84:$D$99,0))*INDEX(EF!$H$100:$H$115,MATCH(Emissions!$D84,EF!$D$100:$D$115,0))*INDEX(EF!$H$132:$H$147,MATCH(Emissions!$D84,EF!$D$132:$D$147,0))*kgtoGg</f>
        <v>0</v>
      </c>
      <c r="AW84" s="22">
        <f>INDEX('Activity data'!AW$24:AW$39,MATCH(Emissions!$D84,'Activity data'!$D$24:$D$39,0))*INDEX(EF!$H$84:$H$99,MATCH(Emissions!$D84,EF!$D$84:$D$99,0))*INDEX(EF!$H$100:$H$115,MATCH(Emissions!$D84,EF!$D$100:$D$115,0))*INDEX(EF!$H$132:$H$147,MATCH(Emissions!$D84,EF!$D$132:$D$147,0))*kgtoGg</f>
        <v>0</v>
      </c>
      <c r="AX84" s="22">
        <f>INDEX('Activity data'!AX$24:AX$39,MATCH(Emissions!$D84,'Activity data'!$D$24:$D$39,0))*INDEX(EF!$H$84:$H$99,MATCH(Emissions!$D84,EF!$D$84:$D$99,0))*INDEX(EF!$H$100:$H$115,MATCH(Emissions!$D84,EF!$D$100:$D$115,0))*INDEX(EF!$H$132:$H$147,MATCH(Emissions!$D84,EF!$D$132:$D$147,0))*kgtoGg</f>
        <v>0</v>
      </c>
      <c r="AY84" s="22">
        <f>INDEX('Activity data'!AY$24:AY$39,MATCH(Emissions!$D84,'Activity data'!$D$24:$D$39,0))*INDEX(EF!$H$84:$H$99,MATCH(Emissions!$D84,EF!$D$84:$D$99,0))*INDEX(EF!$H$100:$H$115,MATCH(Emissions!$D84,EF!$D$100:$D$115,0))*INDEX(EF!$H$132:$H$147,MATCH(Emissions!$D84,EF!$D$132:$D$147,0))*kgtoGg</f>
        <v>0</v>
      </c>
      <c r="AZ84" s="22">
        <f>INDEX('Activity data'!AZ$24:AZ$39,MATCH(Emissions!$D84,'Activity data'!$D$24:$D$39,0))*INDEX(EF!$H$84:$H$99,MATCH(Emissions!$D84,EF!$D$84:$D$99,0))*INDEX(EF!$H$100:$H$115,MATCH(Emissions!$D84,EF!$D$100:$D$115,0))*INDEX(EF!$H$132:$H$147,MATCH(Emissions!$D84,EF!$D$132:$D$147,0))*kgtoGg</f>
        <v>0</v>
      </c>
      <c r="BA84" s="22">
        <f>INDEX('Activity data'!BA$24:BA$39,MATCH(Emissions!$D84,'Activity data'!$D$24:$D$39,0))*INDEX(EF!$H$84:$H$99,MATCH(Emissions!$D84,EF!$D$84:$D$99,0))*INDEX(EF!$H$100:$H$115,MATCH(Emissions!$D84,EF!$D$100:$D$115,0))*INDEX(EF!$H$132:$H$147,MATCH(Emissions!$D84,EF!$D$132:$D$147,0))*kgtoGg</f>
        <v>0</v>
      </c>
      <c r="BB84" s="22">
        <f>INDEX('Activity data'!BB$24:BB$39,MATCH(Emissions!$D84,'Activity data'!$D$24:$D$39,0))*INDEX(EF!$H$84:$H$99,MATCH(Emissions!$D84,EF!$D$84:$D$99,0))*INDEX(EF!$H$100:$H$115,MATCH(Emissions!$D84,EF!$D$100:$D$115,0))*INDEX(EF!$H$132:$H$147,MATCH(Emissions!$D84,EF!$D$132:$D$147,0))*kgtoGg</f>
        <v>0</v>
      </c>
      <c r="BC84" s="22">
        <f>INDEX('Activity data'!BC$24:BC$39,MATCH(Emissions!$D84,'Activity data'!$D$24:$D$39,0))*INDEX(EF!$H$84:$H$99,MATCH(Emissions!$D84,EF!$D$84:$D$99,0))*INDEX(EF!$H$100:$H$115,MATCH(Emissions!$D84,EF!$D$100:$D$115,0))*INDEX(EF!$H$132:$H$147,MATCH(Emissions!$D84,EF!$D$132:$D$147,0))*kgtoGg</f>
        <v>0</v>
      </c>
      <c r="BD84" s="22">
        <f>INDEX('Activity data'!BD$24:BD$39,MATCH(Emissions!$D84,'Activity data'!$D$24:$D$39,0))*INDEX(EF!$H$84:$H$99,MATCH(Emissions!$D84,EF!$D$84:$D$99,0))*INDEX(EF!$H$100:$H$115,MATCH(Emissions!$D84,EF!$D$100:$D$115,0))*INDEX(EF!$H$132:$H$147,MATCH(Emissions!$D84,EF!$D$132:$D$147,0))*kgtoGg</f>
        <v>0</v>
      </c>
      <c r="BE84" s="22">
        <f>INDEX('Activity data'!BE$24:BE$39,MATCH(Emissions!$D84,'Activity data'!$D$24:$D$39,0))*INDEX(EF!$H$84:$H$99,MATCH(Emissions!$D84,EF!$D$84:$D$99,0))*INDEX(EF!$H$100:$H$115,MATCH(Emissions!$D84,EF!$D$100:$D$115,0))*INDEX(EF!$H$132:$H$147,MATCH(Emissions!$D84,EF!$D$132:$D$147,0))*kgtoGg</f>
        <v>0</v>
      </c>
      <c r="BF84" s="22">
        <f>INDEX('Activity data'!BF$24:BF$39,MATCH(Emissions!$D84,'Activity data'!$D$24:$D$39,0))*INDEX(EF!$H$84:$H$99,MATCH(Emissions!$D84,EF!$D$84:$D$99,0))*INDEX(EF!$H$100:$H$115,MATCH(Emissions!$D84,EF!$D$100:$D$115,0))*INDEX(EF!$H$132:$H$147,MATCH(Emissions!$D84,EF!$D$132:$D$147,0))*kgtoGg</f>
        <v>0</v>
      </c>
      <c r="BG84" s="22">
        <f>INDEX('Activity data'!BG$24:BG$39,MATCH(Emissions!$D84,'Activity data'!$D$24:$D$39,0))*INDEX(EF!$H$84:$H$99,MATCH(Emissions!$D84,EF!$D$84:$D$99,0))*INDEX(EF!$H$100:$H$115,MATCH(Emissions!$D84,EF!$D$100:$D$115,0))*INDEX(EF!$H$132:$H$147,MATCH(Emissions!$D84,EF!$D$132:$D$147,0))*kgtoGg</f>
        <v>0</v>
      </c>
      <c r="BH84" s="22">
        <f>INDEX('Activity data'!BH$24:BH$39,MATCH(Emissions!$D84,'Activity data'!$D$24:$D$39,0))*INDEX(EF!$H$84:$H$99,MATCH(Emissions!$D84,EF!$D$84:$D$99,0))*INDEX(EF!$H$100:$H$115,MATCH(Emissions!$D84,EF!$D$100:$D$115,0))*INDEX(EF!$H$132:$H$147,MATCH(Emissions!$D84,EF!$D$132:$D$147,0))*kgtoGg</f>
        <v>0</v>
      </c>
      <c r="BI84" s="22">
        <f>INDEX('Activity data'!BI$24:BI$39,MATCH(Emissions!$D84,'Activity data'!$D$24:$D$39,0))*INDEX(EF!$H$84:$H$99,MATCH(Emissions!$D84,EF!$D$84:$D$99,0))*INDEX(EF!$H$100:$H$115,MATCH(Emissions!$D84,EF!$D$100:$D$115,0))*INDEX(EF!$H$132:$H$147,MATCH(Emissions!$D84,EF!$D$132:$D$147,0))*kgtoGg</f>
        <v>0</v>
      </c>
      <c r="BJ84" s="22">
        <f>INDEX('Activity data'!BJ$24:BJ$39,MATCH(Emissions!$D84,'Activity data'!$D$24:$D$39,0))*INDEX(EF!$H$84:$H$99,MATCH(Emissions!$D84,EF!$D$84:$D$99,0))*INDEX(EF!$H$100:$H$115,MATCH(Emissions!$D84,EF!$D$100:$D$115,0))*INDEX(EF!$H$132:$H$147,MATCH(Emissions!$D84,EF!$D$132:$D$147,0))*kgtoGg</f>
        <v>0</v>
      </c>
      <c r="BK84" s="22">
        <f>INDEX('Activity data'!BK$24:BK$39,MATCH(Emissions!$D84,'Activity data'!$D$24:$D$39,0))*INDEX(EF!$H$84:$H$99,MATCH(Emissions!$D84,EF!$D$84:$D$99,0))*INDEX(EF!$H$100:$H$115,MATCH(Emissions!$D84,EF!$D$100:$D$115,0))*INDEX(EF!$H$132:$H$147,MATCH(Emissions!$D84,EF!$D$132:$D$147,0))*kgtoGg</f>
        <v>0</v>
      </c>
      <c r="BL84" s="22">
        <f>INDEX('Activity data'!BL$24:BL$39,MATCH(Emissions!$D84,'Activity data'!$D$24:$D$39,0))*INDEX(EF!$H$84:$H$99,MATCH(Emissions!$D84,EF!$D$84:$D$99,0))*INDEX(EF!$H$100:$H$115,MATCH(Emissions!$D84,EF!$D$100:$D$115,0))*INDEX(EF!$H$132:$H$147,MATCH(Emissions!$D84,EF!$D$132:$D$147,0))*kgtoGg</f>
        <v>0</v>
      </c>
      <c r="BM84" s="22">
        <f>INDEX('Activity data'!BM$24:BM$39,MATCH(Emissions!$D84,'Activity data'!$D$24:$D$39,0))*INDEX(EF!$H$84:$H$99,MATCH(Emissions!$D84,EF!$D$84:$D$99,0))*INDEX(EF!$H$100:$H$115,MATCH(Emissions!$D84,EF!$D$100:$D$115,0))*INDEX(EF!$H$132:$H$147,MATCH(Emissions!$D84,EF!$D$132:$D$147,0))*kgtoGg</f>
        <v>0</v>
      </c>
      <c r="BN84" s="22">
        <f>INDEX('Activity data'!BN$24:BN$39,MATCH(Emissions!$D84,'Activity data'!$D$24:$D$39,0))*INDEX(EF!$H$84:$H$99,MATCH(Emissions!$D84,EF!$D$84:$D$99,0))*INDEX(EF!$H$100:$H$115,MATCH(Emissions!$D84,EF!$D$100:$D$115,0))*INDEX(EF!$H$132:$H$147,MATCH(Emissions!$D84,EF!$D$132:$D$147,0))*kgtoGg</f>
        <v>0</v>
      </c>
      <c r="BO84" s="22">
        <f>INDEX('Activity data'!BO$24:BO$39,MATCH(Emissions!$D84,'Activity data'!$D$24:$D$39,0))*INDEX(EF!$H$84:$H$99,MATCH(Emissions!$D84,EF!$D$84:$D$99,0))*INDEX(EF!$H$100:$H$115,MATCH(Emissions!$D84,EF!$D$100:$D$115,0))*INDEX(EF!$H$132:$H$147,MATCH(Emissions!$D84,EF!$D$132:$D$147,0))*kgtoGg</f>
        <v>0</v>
      </c>
      <c r="BP84" s="22">
        <f>INDEX('Activity data'!BP$24:BP$39,MATCH(Emissions!$D84,'Activity data'!$D$24:$D$39,0))*INDEX(EF!$H$84:$H$99,MATCH(Emissions!$D84,EF!$D$84:$D$99,0))*INDEX(EF!$H$100:$H$115,MATCH(Emissions!$D84,EF!$D$100:$D$115,0))*INDEX(EF!$H$132:$H$147,MATCH(Emissions!$D84,EF!$D$132:$D$147,0))*kgtoGg</f>
        <v>0</v>
      </c>
    </row>
    <row r="85" spans="1:68" x14ac:dyDescent="0.25">
      <c r="A85" t="str">
        <f t="shared" si="19"/>
        <v>3C Aggregated and non-CO2 emissions on land</v>
      </c>
      <c r="B85" t="str">
        <f t="shared" si="26"/>
        <v>3C1 Biomass burning (N2O)</v>
      </c>
      <c r="C85" t="str">
        <f t="shared" si="25"/>
        <v>3C1f Biomass burning in Other lands</v>
      </c>
      <c r="D85" t="str">
        <f>EF!D115</f>
        <v>Bare ground</v>
      </c>
      <c r="E85" t="s">
        <v>661</v>
      </c>
      <c r="F85" t="str">
        <f t="shared" si="27"/>
        <v>N2O</v>
      </c>
      <c r="G85" t="str">
        <f t="shared" si="28"/>
        <v>Gg N2O</v>
      </c>
      <c r="H85" s="22">
        <f>INDEX('Activity data'!H$24:H$39,MATCH(Emissions!$D85,'Activity data'!$D$24:$D$39,0))*INDEX(EF!$H$84:$H$99,MATCH(Emissions!$D85,EF!$D$84:$D$99,0))*INDEX(EF!$H$100:$H$115,MATCH(Emissions!$D85,EF!$D$100:$D$115,0))*INDEX(EF!$H$132:$H$147,MATCH(Emissions!$D85,EF!$D$132:$D$147,0))*kgtoGg</f>
        <v>0</v>
      </c>
      <c r="I85" s="22">
        <f>INDEX('Activity data'!I$24:I$39,MATCH(Emissions!$D85,'Activity data'!$D$24:$D$39,0))*INDEX(EF!$H$84:$H$99,MATCH(Emissions!$D85,EF!$D$84:$D$99,0))*INDEX(EF!$H$100:$H$115,MATCH(Emissions!$D85,EF!$D$100:$D$115,0))*INDEX(EF!$H$132:$H$147,MATCH(Emissions!$D85,EF!$D$132:$D$147,0))*kgtoGg</f>
        <v>0</v>
      </c>
      <c r="J85" s="22">
        <f>INDEX('Activity data'!J$24:J$39,MATCH(Emissions!$D85,'Activity data'!$D$24:$D$39,0))*INDEX(EF!$H$84:$H$99,MATCH(Emissions!$D85,EF!$D$84:$D$99,0))*INDEX(EF!$H$100:$H$115,MATCH(Emissions!$D85,EF!$D$100:$D$115,0))*INDEX(EF!$H$132:$H$147,MATCH(Emissions!$D85,EF!$D$132:$D$147,0))*kgtoGg</f>
        <v>0</v>
      </c>
      <c r="K85" s="22">
        <f>INDEX('Activity data'!K$24:K$39,MATCH(Emissions!$D85,'Activity data'!$D$24:$D$39,0))*INDEX(EF!$H$84:$H$99,MATCH(Emissions!$D85,EF!$D$84:$D$99,0))*INDEX(EF!$H$100:$H$115,MATCH(Emissions!$D85,EF!$D$100:$D$115,0))*INDEX(EF!$H$132:$H$147,MATCH(Emissions!$D85,EF!$D$132:$D$147,0))*kgtoGg</f>
        <v>0</v>
      </c>
      <c r="L85" s="22">
        <f>INDEX('Activity data'!L$24:L$39,MATCH(Emissions!$D85,'Activity data'!$D$24:$D$39,0))*INDEX(EF!$H$84:$H$99,MATCH(Emissions!$D85,EF!$D$84:$D$99,0))*INDEX(EF!$H$100:$H$115,MATCH(Emissions!$D85,EF!$D$100:$D$115,0))*INDEX(EF!$H$132:$H$147,MATCH(Emissions!$D85,EF!$D$132:$D$147,0))*kgtoGg</f>
        <v>0</v>
      </c>
      <c r="M85" s="22">
        <f>INDEX('Activity data'!M$24:M$39,MATCH(Emissions!$D85,'Activity data'!$D$24:$D$39,0))*INDEX(EF!$H$84:$H$99,MATCH(Emissions!$D85,EF!$D$84:$D$99,0))*INDEX(EF!$H$100:$H$115,MATCH(Emissions!$D85,EF!$D$100:$D$115,0))*INDEX(EF!$H$132:$H$147,MATCH(Emissions!$D85,EF!$D$132:$D$147,0))*kgtoGg</f>
        <v>0</v>
      </c>
      <c r="N85" s="22">
        <f>INDEX('Activity data'!N$24:N$39,MATCH(Emissions!$D85,'Activity data'!$D$24:$D$39,0))*INDEX(EF!$H$84:$H$99,MATCH(Emissions!$D85,EF!$D$84:$D$99,0))*INDEX(EF!$H$100:$H$115,MATCH(Emissions!$D85,EF!$D$100:$D$115,0))*INDEX(EF!$H$132:$H$147,MATCH(Emissions!$D85,EF!$D$132:$D$147,0))*kgtoGg</f>
        <v>0</v>
      </c>
      <c r="O85" s="22">
        <f>INDEX('Activity data'!O$24:O$39,MATCH(Emissions!$D85,'Activity data'!$D$24:$D$39,0))*INDEX(EF!$H$84:$H$99,MATCH(Emissions!$D85,EF!$D$84:$D$99,0))*INDEX(EF!$H$100:$H$115,MATCH(Emissions!$D85,EF!$D$100:$D$115,0))*INDEX(EF!$H$132:$H$147,MATCH(Emissions!$D85,EF!$D$132:$D$147,0))*kgtoGg</f>
        <v>0</v>
      </c>
      <c r="P85" s="22">
        <f>INDEX('Activity data'!P$24:P$39,MATCH(Emissions!$D85,'Activity data'!$D$24:$D$39,0))*INDEX(EF!$H$84:$H$99,MATCH(Emissions!$D85,EF!$D$84:$D$99,0))*INDEX(EF!$H$100:$H$115,MATCH(Emissions!$D85,EF!$D$100:$D$115,0))*INDEX(EF!$H$132:$H$147,MATCH(Emissions!$D85,EF!$D$132:$D$147,0))*kgtoGg</f>
        <v>0</v>
      </c>
      <c r="Q85" s="22">
        <f>INDEX('Activity data'!Q$24:Q$39,MATCH(Emissions!$D85,'Activity data'!$D$24:$D$39,0))*INDEX(EF!$H$84:$H$99,MATCH(Emissions!$D85,EF!$D$84:$D$99,0))*INDEX(EF!$H$100:$H$115,MATCH(Emissions!$D85,EF!$D$100:$D$115,0))*INDEX(EF!$H$132:$H$147,MATCH(Emissions!$D85,EF!$D$132:$D$147,0))*kgtoGg</f>
        <v>0</v>
      </c>
      <c r="R85" s="22">
        <f>INDEX('Activity data'!R$24:R$39,MATCH(Emissions!$D85,'Activity data'!$D$24:$D$39,0))*INDEX(EF!$H$84:$H$99,MATCH(Emissions!$D85,EF!$D$84:$D$99,0))*INDEX(EF!$H$100:$H$115,MATCH(Emissions!$D85,EF!$D$100:$D$115,0))*INDEX(EF!$H$132:$H$147,MATCH(Emissions!$D85,EF!$D$132:$D$147,0))*kgtoGg</f>
        <v>0</v>
      </c>
      <c r="S85" s="22">
        <f>INDEX('Activity data'!S$24:S$39,MATCH(Emissions!$D85,'Activity data'!$D$24:$D$39,0))*INDEX(EF!$H$84:$H$99,MATCH(Emissions!$D85,EF!$D$84:$D$99,0))*INDEX(EF!$H$100:$H$115,MATCH(Emissions!$D85,EF!$D$100:$D$115,0))*INDEX(EF!$H$132:$H$147,MATCH(Emissions!$D85,EF!$D$132:$D$147,0))*kgtoGg</f>
        <v>0</v>
      </c>
      <c r="T85" s="22">
        <f>INDEX('Activity data'!T$24:T$39,MATCH(Emissions!$D85,'Activity data'!$D$24:$D$39,0))*INDEX(EF!$H$84:$H$99,MATCH(Emissions!$D85,EF!$D$84:$D$99,0))*INDEX(EF!$H$100:$H$115,MATCH(Emissions!$D85,EF!$D$100:$D$115,0))*INDEX(EF!$H$132:$H$147,MATCH(Emissions!$D85,EF!$D$132:$D$147,0))*kgtoGg</f>
        <v>0</v>
      </c>
      <c r="U85" s="22">
        <f>INDEX('Activity data'!U$24:U$39,MATCH(Emissions!$D85,'Activity data'!$D$24:$D$39,0))*INDEX(EF!$H$84:$H$99,MATCH(Emissions!$D85,EF!$D$84:$D$99,0))*INDEX(EF!$H$100:$H$115,MATCH(Emissions!$D85,EF!$D$100:$D$115,0))*INDEX(EF!$H$132:$H$147,MATCH(Emissions!$D85,EF!$D$132:$D$147,0))*kgtoGg</f>
        <v>0</v>
      </c>
      <c r="V85" s="22">
        <f>INDEX('Activity data'!V$24:V$39,MATCH(Emissions!$D85,'Activity data'!$D$24:$D$39,0))*INDEX(EF!$H$84:$H$99,MATCH(Emissions!$D85,EF!$D$84:$D$99,0))*INDEX(EF!$H$100:$H$115,MATCH(Emissions!$D85,EF!$D$100:$D$115,0))*INDEX(EF!$H$132:$H$147,MATCH(Emissions!$D85,EF!$D$132:$D$147,0))*kgtoGg</f>
        <v>0</v>
      </c>
      <c r="W85" s="22">
        <f>INDEX('Activity data'!W$24:W$39,MATCH(Emissions!$D85,'Activity data'!$D$24:$D$39,0))*INDEX(EF!$H$84:$H$99,MATCH(Emissions!$D85,EF!$D$84:$D$99,0))*INDEX(EF!$H$100:$H$115,MATCH(Emissions!$D85,EF!$D$100:$D$115,0))*INDEX(EF!$H$132:$H$147,MATCH(Emissions!$D85,EF!$D$132:$D$147,0))*kgtoGg</f>
        <v>0</v>
      </c>
      <c r="X85" s="22">
        <f>INDEX('Activity data'!X$24:X$39,MATCH(Emissions!$D85,'Activity data'!$D$24:$D$39,0))*INDEX(EF!$H$84:$H$99,MATCH(Emissions!$D85,EF!$D$84:$D$99,0))*INDEX(EF!$H$100:$H$115,MATCH(Emissions!$D85,EF!$D$100:$D$115,0))*INDEX(EF!$H$132:$H$147,MATCH(Emissions!$D85,EF!$D$132:$D$147,0))*kgtoGg</f>
        <v>0</v>
      </c>
      <c r="Y85" s="22">
        <f>INDEX('Activity data'!Y$24:Y$39,MATCH(Emissions!$D85,'Activity data'!$D$24:$D$39,0))*INDEX(EF!$H$84:$H$99,MATCH(Emissions!$D85,EF!$D$84:$D$99,0))*INDEX(EF!$H$100:$H$115,MATCH(Emissions!$D85,EF!$D$100:$D$115,0))*INDEX(EF!$H$132:$H$147,MATCH(Emissions!$D85,EF!$D$132:$D$147,0))*kgtoGg</f>
        <v>0</v>
      </c>
      <c r="Z85" s="22">
        <f>INDEX('Activity data'!Z$24:Z$39,MATCH(Emissions!$D85,'Activity data'!$D$24:$D$39,0))*INDEX(EF!$H$84:$H$99,MATCH(Emissions!$D85,EF!$D$84:$D$99,0))*INDEX(EF!$H$100:$H$115,MATCH(Emissions!$D85,EF!$D$100:$D$115,0))*INDEX(EF!$H$132:$H$147,MATCH(Emissions!$D85,EF!$D$132:$D$147,0))*kgtoGg</f>
        <v>0</v>
      </c>
      <c r="AA85" s="22">
        <f>INDEX('Activity data'!AA$24:AA$39,MATCH(Emissions!$D85,'Activity data'!$D$24:$D$39,0))*INDEX(EF!$H$84:$H$99,MATCH(Emissions!$D85,EF!$D$84:$D$99,0))*INDEX(EF!$H$100:$H$115,MATCH(Emissions!$D85,EF!$D$100:$D$115,0))*INDEX(EF!$H$132:$H$147,MATCH(Emissions!$D85,EF!$D$132:$D$147,0))*kgtoGg</f>
        <v>0</v>
      </c>
      <c r="AB85" s="22">
        <f>INDEX('Activity data'!AB$24:AB$39,MATCH(Emissions!$D85,'Activity data'!$D$24:$D$39,0))*INDEX(EF!$H$84:$H$99,MATCH(Emissions!$D85,EF!$D$84:$D$99,0))*INDEX(EF!$H$100:$H$115,MATCH(Emissions!$D85,EF!$D$100:$D$115,0))*INDEX(EF!$H$132:$H$147,MATCH(Emissions!$D85,EF!$D$132:$D$147,0))*kgtoGg</f>
        <v>0</v>
      </c>
      <c r="AC85" s="22">
        <f>INDEX('Activity data'!AC$24:AC$39,MATCH(Emissions!$D85,'Activity data'!$D$24:$D$39,0))*INDEX(EF!$H$84:$H$99,MATCH(Emissions!$D85,EF!$D$84:$D$99,0))*INDEX(EF!$H$100:$H$115,MATCH(Emissions!$D85,EF!$D$100:$D$115,0))*INDEX(EF!$H$132:$H$147,MATCH(Emissions!$D85,EF!$D$132:$D$147,0))*kgtoGg</f>
        <v>0</v>
      </c>
      <c r="AD85" s="22">
        <f>INDEX('Activity data'!AD$24:AD$39,MATCH(Emissions!$D85,'Activity data'!$D$24:$D$39,0))*INDEX(EF!$H$84:$H$99,MATCH(Emissions!$D85,EF!$D$84:$D$99,0))*INDEX(EF!$H$100:$H$115,MATCH(Emissions!$D85,EF!$D$100:$D$115,0))*INDEX(EF!$H$132:$H$147,MATCH(Emissions!$D85,EF!$D$132:$D$147,0))*kgtoGg</f>
        <v>0</v>
      </c>
      <c r="AE85" s="22">
        <f>INDEX('Activity data'!AE$24:AE$39,MATCH(Emissions!$D85,'Activity data'!$D$24:$D$39,0))*INDEX(EF!$H$84:$H$99,MATCH(Emissions!$D85,EF!$D$84:$D$99,0))*INDEX(EF!$H$100:$H$115,MATCH(Emissions!$D85,EF!$D$100:$D$115,0))*INDEX(EF!$H$132:$H$147,MATCH(Emissions!$D85,EF!$D$132:$D$147,0))*kgtoGg</f>
        <v>0</v>
      </c>
      <c r="AF85" s="22">
        <f>INDEX('Activity data'!AF$24:AF$39,MATCH(Emissions!$D85,'Activity data'!$D$24:$D$39,0))*INDEX(EF!$H$84:$H$99,MATCH(Emissions!$D85,EF!$D$84:$D$99,0))*INDEX(EF!$H$100:$H$115,MATCH(Emissions!$D85,EF!$D$100:$D$115,0))*INDEX(EF!$H$132:$H$147,MATCH(Emissions!$D85,EF!$D$132:$D$147,0))*kgtoGg</f>
        <v>0</v>
      </c>
      <c r="AG85" s="22">
        <f>INDEX('Activity data'!AG$24:AG$39,MATCH(Emissions!$D85,'Activity data'!$D$24:$D$39,0))*INDEX(EF!$H$84:$H$99,MATCH(Emissions!$D85,EF!$D$84:$D$99,0))*INDEX(EF!$H$100:$H$115,MATCH(Emissions!$D85,EF!$D$100:$D$115,0))*INDEX(EF!$H$132:$H$147,MATCH(Emissions!$D85,EF!$D$132:$D$147,0))*kgtoGg</f>
        <v>0</v>
      </c>
      <c r="AH85" s="22">
        <f>INDEX('Activity data'!AH$24:AH$39,MATCH(Emissions!$D85,'Activity data'!$D$24:$D$39,0))*INDEX(EF!$H$84:$H$99,MATCH(Emissions!$D85,EF!$D$84:$D$99,0))*INDEX(EF!$H$100:$H$115,MATCH(Emissions!$D85,EF!$D$100:$D$115,0))*INDEX(EF!$H$132:$H$147,MATCH(Emissions!$D85,EF!$D$132:$D$147,0))*kgtoGg</f>
        <v>0</v>
      </c>
      <c r="AI85" s="22">
        <f>INDEX('Activity data'!AI$24:AI$39,MATCH(Emissions!$D85,'Activity data'!$D$24:$D$39,0))*INDEX(EF!$H$84:$H$99,MATCH(Emissions!$D85,EF!$D$84:$D$99,0))*INDEX(EF!$H$100:$H$115,MATCH(Emissions!$D85,EF!$D$100:$D$115,0))*INDEX(EF!$H$132:$H$147,MATCH(Emissions!$D85,EF!$D$132:$D$147,0))*kgtoGg</f>
        <v>0</v>
      </c>
      <c r="AJ85" s="22">
        <f>INDEX('Activity data'!AJ$24:AJ$39,MATCH(Emissions!$D85,'Activity data'!$D$24:$D$39,0))*INDEX(EF!$H$84:$H$99,MATCH(Emissions!$D85,EF!$D$84:$D$99,0))*INDEX(EF!$H$100:$H$115,MATCH(Emissions!$D85,EF!$D$100:$D$115,0))*INDEX(EF!$H$132:$H$147,MATCH(Emissions!$D85,EF!$D$132:$D$147,0))*kgtoGg</f>
        <v>0</v>
      </c>
      <c r="AK85" s="22">
        <f>INDEX('Activity data'!AK$24:AK$39,MATCH(Emissions!$D85,'Activity data'!$D$24:$D$39,0))*INDEX(EF!$H$84:$H$99,MATCH(Emissions!$D85,EF!$D$84:$D$99,0))*INDEX(EF!$H$100:$H$115,MATCH(Emissions!$D85,EF!$D$100:$D$115,0))*INDEX(EF!$H$132:$H$147,MATCH(Emissions!$D85,EF!$D$132:$D$147,0))*kgtoGg</f>
        <v>0</v>
      </c>
      <c r="AL85" s="22">
        <f>INDEX('Activity data'!AL$24:AL$39,MATCH(Emissions!$D85,'Activity data'!$D$24:$D$39,0))*INDEX(EF!$H$84:$H$99,MATCH(Emissions!$D85,EF!$D$84:$D$99,0))*INDEX(EF!$H$100:$H$115,MATCH(Emissions!$D85,EF!$D$100:$D$115,0))*INDEX(EF!$H$132:$H$147,MATCH(Emissions!$D85,EF!$D$132:$D$147,0))*kgtoGg</f>
        <v>0</v>
      </c>
      <c r="AM85" s="22">
        <f>INDEX('Activity data'!AM$24:AM$39,MATCH(Emissions!$D85,'Activity data'!$D$24:$D$39,0))*INDEX(EF!$H$84:$H$99,MATCH(Emissions!$D85,EF!$D$84:$D$99,0))*INDEX(EF!$H$100:$H$115,MATCH(Emissions!$D85,EF!$D$100:$D$115,0))*INDEX(EF!$H$132:$H$147,MATCH(Emissions!$D85,EF!$D$132:$D$147,0))*kgtoGg</f>
        <v>0</v>
      </c>
      <c r="AN85" s="22">
        <f>INDEX('Activity data'!AN$24:AN$39,MATCH(Emissions!$D85,'Activity data'!$D$24:$D$39,0))*INDEX(EF!$H$84:$H$99,MATCH(Emissions!$D85,EF!$D$84:$D$99,0))*INDEX(EF!$H$100:$H$115,MATCH(Emissions!$D85,EF!$D$100:$D$115,0))*INDEX(EF!$H$132:$H$147,MATCH(Emissions!$D85,EF!$D$132:$D$147,0))*kgtoGg</f>
        <v>0</v>
      </c>
      <c r="AO85" s="22">
        <f>INDEX('Activity data'!AO$24:AO$39,MATCH(Emissions!$D85,'Activity data'!$D$24:$D$39,0))*INDEX(EF!$H$84:$H$99,MATCH(Emissions!$D85,EF!$D$84:$D$99,0))*INDEX(EF!$H$100:$H$115,MATCH(Emissions!$D85,EF!$D$100:$D$115,0))*INDEX(EF!$H$132:$H$147,MATCH(Emissions!$D85,EF!$D$132:$D$147,0))*kgtoGg</f>
        <v>0</v>
      </c>
      <c r="AP85" s="22">
        <f>INDEX('Activity data'!AP$24:AP$39,MATCH(Emissions!$D85,'Activity data'!$D$24:$D$39,0))*INDEX(EF!$H$84:$H$99,MATCH(Emissions!$D85,EF!$D$84:$D$99,0))*INDEX(EF!$H$100:$H$115,MATCH(Emissions!$D85,EF!$D$100:$D$115,0))*INDEX(EF!$H$132:$H$147,MATCH(Emissions!$D85,EF!$D$132:$D$147,0))*kgtoGg</f>
        <v>0</v>
      </c>
      <c r="AQ85" s="22">
        <f>INDEX('Activity data'!AQ$24:AQ$39,MATCH(Emissions!$D85,'Activity data'!$D$24:$D$39,0))*INDEX(EF!$H$84:$H$99,MATCH(Emissions!$D85,EF!$D$84:$D$99,0))*INDEX(EF!$H$100:$H$115,MATCH(Emissions!$D85,EF!$D$100:$D$115,0))*INDEX(EF!$H$132:$H$147,MATCH(Emissions!$D85,EF!$D$132:$D$147,0))*kgtoGg</f>
        <v>0</v>
      </c>
      <c r="AR85" s="22">
        <f>INDEX('Activity data'!AR$24:AR$39,MATCH(Emissions!$D85,'Activity data'!$D$24:$D$39,0))*INDEX(EF!$H$84:$H$99,MATCH(Emissions!$D85,EF!$D$84:$D$99,0))*INDEX(EF!$H$100:$H$115,MATCH(Emissions!$D85,EF!$D$100:$D$115,0))*INDEX(EF!$H$132:$H$147,MATCH(Emissions!$D85,EF!$D$132:$D$147,0))*kgtoGg</f>
        <v>0</v>
      </c>
      <c r="AS85" s="22">
        <f>INDEX('Activity data'!AS$24:AS$39,MATCH(Emissions!$D85,'Activity data'!$D$24:$D$39,0))*INDEX(EF!$H$84:$H$99,MATCH(Emissions!$D85,EF!$D$84:$D$99,0))*INDEX(EF!$H$100:$H$115,MATCH(Emissions!$D85,EF!$D$100:$D$115,0))*INDEX(EF!$H$132:$H$147,MATCH(Emissions!$D85,EF!$D$132:$D$147,0))*kgtoGg</f>
        <v>0</v>
      </c>
      <c r="AT85" s="22">
        <f>INDEX('Activity data'!AT$24:AT$39,MATCH(Emissions!$D85,'Activity data'!$D$24:$D$39,0))*INDEX(EF!$H$84:$H$99,MATCH(Emissions!$D85,EF!$D$84:$D$99,0))*INDEX(EF!$H$100:$H$115,MATCH(Emissions!$D85,EF!$D$100:$D$115,0))*INDEX(EF!$H$132:$H$147,MATCH(Emissions!$D85,EF!$D$132:$D$147,0))*kgtoGg</f>
        <v>0</v>
      </c>
      <c r="AU85" s="22">
        <f>INDEX('Activity data'!AU$24:AU$39,MATCH(Emissions!$D85,'Activity data'!$D$24:$D$39,0))*INDEX(EF!$H$84:$H$99,MATCH(Emissions!$D85,EF!$D$84:$D$99,0))*INDEX(EF!$H$100:$H$115,MATCH(Emissions!$D85,EF!$D$100:$D$115,0))*INDEX(EF!$H$132:$H$147,MATCH(Emissions!$D85,EF!$D$132:$D$147,0))*kgtoGg</f>
        <v>0</v>
      </c>
      <c r="AV85" s="22">
        <f>INDEX('Activity data'!AV$24:AV$39,MATCH(Emissions!$D85,'Activity data'!$D$24:$D$39,0))*INDEX(EF!$H$84:$H$99,MATCH(Emissions!$D85,EF!$D$84:$D$99,0))*INDEX(EF!$H$100:$H$115,MATCH(Emissions!$D85,EF!$D$100:$D$115,0))*INDEX(EF!$H$132:$H$147,MATCH(Emissions!$D85,EF!$D$132:$D$147,0))*kgtoGg</f>
        <v>0</v>
      </c>
      <c r="AW85" s="22">
        <f>INDEX('Activity data'!AW$24:AW$39,MATCH(Emissions!$D85,'Activity data'!$D$24:$D$39,0))*INDEX(EF!$H$84:$H$99,MATCH(Emissions!$D85,EF!$D$84:$D$99,0))*INDEX(EF!$H$100:$H$115,MATCH(Emissions!$D85,EF!$D$100:$D$115,0))*INDEX(EF!$H$132:$H$147,MATCH(Emissions!$D85,EF!$D$132:$D$147,0))*kgtoGg</f>
        <v>0</v>
      </c>
      <c r="AX85" s="22">
        <f>INDEX('Activity data'!AX$24:AX$39,MATCH(Emissions!$D85,'Activity data'!$D$24:$D$39,0))*INDEX(EF!$H$84:$H$99,MATCH(Emissions!$D85,EF!$D$84:$D$99,0))*INDEX(EF!$H$100:$H$115,MATCH(Emissions!$D85,EF!$D$100:$D$115,0))*INDEX(EF!$H$132:$H$147,MATCH(Emissions!$D85,EF!$D$132:$D$147,0))*kgtoGg</f>
        <v>0</v>
      </c>
      <c r="AY85" s="22">
        <f>INDEX('Activity data'!AY$24:AY$39,MATCH(Emissions!$D85,'Activity data'!$D$24:$D$39,0))*INDEX(EF!$H$84:$H$99,MATCH(Emissions!$D85,EF!$D$84:$D$99,0))*INDEX(EF!$H$100:$H$115,MATCH(Emissions!$D85,EF!$D$100:$D$115,0))*INDEX(EF!$H$132:$H$147,MATCH(Emissions!$D85,EF!$D$132:$D$147,0))*kgtoGg</f>
        <v>0</v>
      </c>
      <c r="AZ85" s="22">
        <f>INDEX('Activity data'!AZ$24:AZ$39,MATCH(Emissions!$D85,'Activity data'!$D$24:$D$39,0))*INDEX(EF!$H$84:$H$99,MATCH(Emissions!$D85,EF!$D$84:$D$99,0))*INDEX(EF!$H$100:$H$115,MATCH(Emissions!$D85,EF!$D$100:$D$115,0))*INDEX(EF!$H$132:$H$147,MATCH(Emissions!$D85,EF!$D$132:$D$147,0))*kgtoGg</f>
        <v>0</v>
      </c>
      <c r="BA85" s="22">
        <f>INDEX('Activity data'!BA$24:BA$39,MATCH(Emissions!$D85,'Activity data'!$D$24:$D$39,0))*INDEX(EF!$H$84:$H$99,MATCH(Emissions!$D85,EF!$D$84:$D$99,0))*INDEX(EF!$H$100:$H$115,MATCH(Emissions!$D85,EF!$D$100:$D$115,0))*INDEX(EF!$H$132:$H$147,MATCH(Emissions!$D85,EF!$D$132:$D$147,0))*kgtoGg</f>
        <v>0</v>
      </c>
      <c r="BB85" s="22">
        <f>INDEX('Activity data'!BB$24:BB$39,MATCH(Emissions!$D85,'Activity data'!$D$24:$D$39,0))*INDEX(EF!$H$84:$H$99,MATCH(Emissions!$D85,EF!$D$84:$D$99,0))*INDEX(EF!$H$100:$H$115,MATCH(Emissions!$D85,EF!$D$100:$D$115,0))*INDEX(EF!$H$132:$H$147,MATCH(Emissions!$D85,EF!$D$132:$D$147,0))*kgtoGg</f>
        <v>0</v>
      </c>
      <c r="BC85" s="22">
        <f>INDEX('Activity data'!BC$24:BC$39,MATCH(Emissions!$D85,'Activity data'!$D$24:$D$39,0))*INDEX(EF!$H$84:$H$99,MATCH(Emissions!$D85,EF!$D$84:$D$99,0))*INDEX(EF!$H$100:$H$115,MATCH(Emissions!$D85,EF!$D$100:$D$115,0))*INDEX(EF!$H$132:$H$147,MATCH(Emissions!$D85,EF!$D$132:$D$147,0))*kgtoGg</f>
        <v>0</v>
      </c>
      <c r="BD85" s="22">
        <f>INDEX('Activity data'!BD$24:BD$39,MATCH(Emissions!$D85,'Activity data'!$D$24:$D$39,0))*INDEX(EF!$H$84:$H$99,MATCH(Emissions!$D85,EF!$D$84:$D$99,0))*INDEX(EF!$H$100:$H$115,MATCH(Emissions!$D85,EF!$D$100:$D$115,0))*INDEX(EF!$H$132:$H$147,MATCH(Emissions!$D85,EF!$D$132:$D$147,0))*kgtoGg</f>
        <v>0</v>
      </c>
      <c r="BE85" s="22">
        <f>INDEX('Activity data'!BE$24:BE$39,MATCH(Emissions!$D85,'Activity data'!$D$24:$D$39,0))*INDEX(EF!$H$84:$H$99,MATCH(Emissions!$D85,EF!$D$84:$D$99,0))*INDEX(EF!$H$100:$H$115,MATCH(Emissions!$D85,EF!$D$100:$D$115,0))*INDEX(EF!$H$132:$H$147,MATCH(Emissions!$D85,EF!$D$132:$D$147,0))*kgtoGg</f>
        <v>0</v>
      </c>
      <c r="BF85" s="22">
        <f>INDEX('Activity data'!BF$24:BF$39,MATCH(Emissions!$D85,'Activity data'!$D$24:$D$39,0))*INDEX(EF!$H$84:$H$99,MATCH(Emissions!$D85,EF!$D$84:$D$99,0))*INDEX(EF!$H$100:$H$115,MATCH(Emissions!$D85,EF!$D$100:$D$115,0))*INDEX(EF!$H$132:$H$147,MATCH(Emissions!$D85,EF!$D$132:$D$147,0))*kgtoGg</f>
        <v>0</v>
      </c>
      <c r="BG85" s="22">
        <f>INDEX('Activity data'!BG$24:BG$39,MATCH(Emissions!$D85,'Activity data'!$D$24:$D$39,0))*INDEX(EF!$H$84:$H$99,MATCH(Emissions!$D85,EF!$D$84:$D$99,0))*INDEX(EF!$H$100:$H$115,MATCH(Emissions!$D85,EF!$D$100:$D$115,0))*INDEX(EF!$H$132:$H$147,MATCH(Emissions!$D85,EF!$D$132:$D$147,0))*kgtoGg</f>
        <v>0</v>
      </c>
      <c r="BH85" s="22">
        <f>INDEX('Activity data'!BH$24:BH$39,MATCH(Emissions!$D85,'Activity data'!$D$24:$D$39,0))*INDEX(EF!$H$84:$H$99,MATCH(Emissions!$D85,EF!$D$84:$D$99,0))*INDEX(EF!$H$100:$H$115,MATCH(Emissions!$D85,EF!$D$100:$D$115,0))*INDEX(EF!$H$132:$H$147,MATCH(Emissions!$D85,EF!$D$132:$D$147,0))*kgtoGg</f>
        <v>0</v>
      </c>
      <c r="BI85" s="22">
        <f>INDEX('Activity data'!BI$24:BI$39,MATCH(Emissions!$D85,'Activity data'!$D$24:$D$39,0))*INDEX(EF!$H$84:$H$99,MATCH(Emissions!$D85,EF!$D$84:$D$99,0))*INDEX(EF!$H$100:$H$115,MATCH(Emissions!$D85,EF!$D$100:$D$115,0))*INDEX(EF!$H$132:$H$147,MATCH(Emissions!$D85,EF!$D$132:$D$147,0))*kgtoGg</f>
        <v>0</v>
      </c>
      <c r="BJ85" s="22">
        <f>INDEX('Activity data'!BJ$24:BJ$39,MATCH(Emissions!$D85,'Activity data'!$D$24:$D$39,0))*INDEX(EF!$H$84:$H$99,MATCH(Emissions!$D85,EF!$D$84:$D$99,0))*INDEX(EF!$H$100:$H$115,MATCH(Emissions!$D85,EF!$D$100:$D$115,0))*INDEX(EF!$H$132:$H$147,MATCH(Emissions!$D85,EF!$D$132:$D$147,0))*kgtoGg</f>
        <v>0</v>
      </c>
      <c r="BK85" s="22">
        <f>INDEX('Activity data'!BK$24:BK$39,MATCH(Emissions!$D85,'Activity data'!$D$24:$D$39,0))*INDEX(EF!$H$84:$H$99,MATCH(Emissions!$D85,EF!$D$84:$D$99,0))*INDEX(EF!$H$100:$H$115,MATCH(Emissions!$D85,EF!$D$100:$D$115,0))*INDEX(EF!$H$132:$H$147,MATCH(Emissions!$D85,EF!$D$132:$D$147,0))*kgtoGg</f>
        <v>0</v>
      </c>
      <c r="BL85" s="22">
        <f>INDEX('Activity data'!BL$24:BL$39,MATCH(Emissions!$D85,'Activity data'!$D$24:$D$39,0))*INDEX(EF!$H$84:$H$99,MATCH(Emissions!$D85,EF!$D$84:$D$99,0))*INDEX(EF!$H$100:$H$115,MATCH(Emissions!$D85,EF!$D$100:$D$115,0))*INDEX(EF!$H$132:$H$147,MATCH(Emissions!$D85,EF!$D$132:$D$147,0))*kgtoGg</f>
        <v>0</v>
      </c>
      <c r="BM85" s="22">
        <f>INDEX('Activity data'!BM$24:BM$39,MATCH(Emissions!$D85,'Activity data'!$D$24:$D$39,0))*INDEX(EF!$H$84:$H$99,MATCH(Emissions!$D85,EF!$D$84:$D$99,0))*INDEX(EF!$H$100:$H$115,MATCH(Emissions!$D85,EF!$D$100:$D$115,0))*INDEX(EF!$H$132:$H$147,MATCH(Emissions!$D85,EF!$D$132:$D$147,0))*kgtoGg</f>
        <v>0</v>
      </c>
      <c r="BN85" s="22">
        <f>INDEX('Activity data'!BN$24:BN$39,MATCH(Emissions!$D85,'Activity data'!$D$24:$D$39,0))*INDEX(EF!$H$84:$H$99,MATCH(Emissions!$D85,EF!$D$84:$D$99,0))*INDEX(EF!$H$100:$H$115,MATCH(Emissions!$D85,EF!$D$100:$D$115,0))*INDEX(EF!$H$132:$H$147,MATCH(Emissions!$D85,EF!$D$132:$D$147,0))*kgtoGg</f>
        <v>0</v>
      </c>
      <c r="BO85" s="22">
        <f>INDEX('Activity data'!BO$24:BO$39,MATCH(Emissions!$D85,'Activity data'!$D$24:$D$39,0))*INDEX(EF!$H$84:$H$99,MATCH(Emissions!$D85,EF!$D$84:$D$99,0))*INDEX(EF!$H$100:$H$115,MATCH(Emissions!$D85,EF!$D$100:$D$115,0))*INDEX(EF!$H$132:$H$147,MATCH(Emissions!$D85,EF!$D$132:$D$147,0))*kgtoGg</f>
        <v>0</v>
      </c>
      <c r="BP85" s="22">
        <f>INDEX('Activity data'!BP$24:BP$39,MATCH(Emissions!$D85,'Activity data'!$D$24:$D$39,0))*INDEX(EF!$H$84:$H$99,MATCH(Emissions!$D85,EF!$D$84:$D$99,0))*INDEX(EF!$H$100:$H$115,MATCH(Emissions!$D85,EF!$D$100:$D$115,0))*INDEX(EF!$H$132:$H$147,MATCH(Emissions!$D85,EF!$D$132:$D$147,0))*kgtoGg</f>
        <v>0</v>
      </c>
    </row>
    <row r="86" spans="1:68" x14ac:dyDescent="0.25">
      <c r="A86" t="str">
        <f>A85</f>
        <v>3C Aggregated and non-CO2 emissions on land</v>
      </c>
      <c r="B86" t="str">
        <f>'IPCC Categories'!B71</f>
        <v>3C2 Liming (CO2)</v>
      </c>
      <c r="E86" t="s">
        <v>386</v>
      </c>
      <c r="F86" t="s">
        <v>385</v>
      </c>
      <c r="G86" t="s">
        <v>387</v>
      </c>
      <c r="H86" s="22">
        <f>'Activity data'!H45*EF!$H$149*CtoCO2*ttoGg</f>
        <v>357.5</v>
      </c>
      <c r="I86" s="22">
        <f>'Activity data'!I45*EF!$H$149*CtoCO2*ttoGg</f>
        <v>378.125</v>
      </c>
      <c r="J86" s="22">
        <f>'Activity data'!J45*EF!$H$149*CtoCO2*ttoGg</f>
        <v>261.25</v>
      </c>
      <c r="K86" s="22">
        <f>'Activity data'!K45*EF!$H$149*CtoCO2*ttoGg</f>
        <v>412.5</v>
      </c>
      <c r="L86" s="22">
        <f>'Activity data'!L45*EF!$H$149*CtoCO2*ttoGg</f>
        <v>595.58170833333327</v>
      </c>
      <c r="M86" s="22">
        <f>'Activity data'!M45*EF!$H$149*CtoCO2*ttoGg</f>
        <v>473.34145833333332</v>
      </c>
      <c r="N86" s="22">
        <f>'Activity data'!N45*EF!$H$149*CtoCO2*ttoGg</f>
        <v>579.13625000000002</v>
      </c>
      <c r="O86" s="22">
        <f>'Activity data'!O45*EF!$H$149*CtoCO2*ttoGg</f>
        <v>547.24312499999996</v>
      </c>
      <c r="P86" s="22">
        <f>'Activity data'!P45*EF!$H$149*CtoCO2*ttoGg</f>
        <v>570.31379166666659</v>
      </c>
      <c r="Q86" s="22">
        <f>'Activity data'!Q45*EF!$H$149*CtoCO2*ttoGg</f>
        <v>567.03808333333325</v>
      </c>
      <c r="R86" s="22">
        <f>'Activity data'!R45*EF!$H$149*CtoCO2*ttoGg</f>
        <v>378.2405</v>
      </c>
      <c r="S86" s="22">
        <f>'Activity data'!S45*EF!$H$149*CtoCO2*ttoGg</f>
        <v>489.66362500000002</v>
      </c>
      <c r="T86" s="22">
        <f>'Activity data'!T45*EF!$H$149*CtoCO2*ttoGg</f>
        <v>672.79437500000006</v>
      </c>
      <c r="U86" s="22">
        <f>'Activity data'!U45*EF!$H$149*CtoCO2*ttoGg</f>
        <v>580.13175000000001</v>
      </c>
      <c r="V86" s="22">
        <f>'Activity data'!V45*EF!$H$149*CtoCO2*ttoGg</f>
        <v>579.7403333333333</v>
      </c>
      <c r="W86" s="22">
        <f>'Activity data'!W45*EF!$H$149*CtoCO2*ttoGg</f>
        <v>266.03683333333333</v>
      </c>
      <c r="X86" s="22">
        <f>'Activity data'!X45*EF!$H$149*CtoCO2*ttoGg</f>
        <v>441.42908333333332</v>
      </c>
      <c r="Y86" s="22">
        <f>'Activity data'!Y45*EF!$H$149*CtoCO2*ttoGg</f>
        <v>521.42108333333329</v>
      </c>
      <c r="Z86" s="22">
        <f>'Activity data'!Z45*EF!$H$149*CtoCO2*ttoGg</f>
        <v>655.32637499999998</v>
      </c>
      <c r="AA86" s="22">
        <f>'Activity data'!AA45*EF!$H$149*CtoCO2*ttoGg</f>
        <v>695.56775237855516</v>
      </c>
      <c r="AB86" s="22">
        <f>'Activity data'!AB45*EF!$H$149*CtoCO2*ttoGg</f>
        <v>653.23730656422072</v>
      </c>
      <c r="AC86" s="22">
        <f>'Activity data'!AC45*EF!$H$149*CtoCO2*ttoGg</f>
        <v>722.61220387104663</v>
      </c>
      <c r="AD86" s="22">
        <f>'Activity data'!AD45*EF!$H$149*CtoCO2*ttoGg</f>
        <v>686.82166737777982</v>
      </c>
      <c r="AE86" s="22">
        <f>'Activity data'!AE45*EF!$H$149*CtoCO2*ttoGg</f>
        <v>690.46807135714243</v>
      </c>
      <c r="AF86" s="22">
        <f>'Activity data'!AF45*EF!$H$149*CtoCO2*ttoGg</f>
        <v>694.14759049189047</v>
      </c>
      <c r="AG86" s="22">
        <f>'Activity data'!AG45*EF!$H$149*CtoCO2*ttoGg</f>
        <v>697.86052552034892</v>
      </c>
      <c r="AH86" s="22">
        <f>'Activity data'!AH45*EF!$H$149*CtoCO2*ttoGg</f>
        <v>701.90718951194333</v>
      </c>
      <c r="AI86" s="22">
        <f>'Activity data'!AI45*EF!$H$149*CtoCO2*ttoGg</f>
        <v>705.95385350353752</v>
      </c>
      <c r="AJ86" s="22">
        <f>'Activity data'!AJ45*EF!$H$149*CtoCO2*ttoGg</f>
        <v>710.0005174951317</v>
      </c>
      <c r="AK86" s="22">
        <f>'Activity data'!AK45*EF!$H$149*CtoCO2*ttoGg</f>
        <v>714.047181486726</v>
      </c>
      <c r="AL86" s="22">
        <f>'Activity data'!AL45*EF!$H$149*CtoCO2*ttoGg</f>
        <v>718.0938454783203</v>
      </c>
      <c r="AM86" s="22">
        <f>'Activity data'!AM45*EF!$H$149*CtoCO2*ttoGg</f>
        <v>722.19557607453942</v>
      </c>
      <c r="AN86" s="22">
        <f>'Activity data'!AN45*EF!$H$149*CtoCO2*ttoGg</f>
        <v>726.29730659504719</v>
      </c>
      <c r="AO86" s="22">
        <f>'Activity data'!AO45*EF!$H$149*CtoCO2*ttoGg</f>
        <v>730.39903711555496</v>
      </c>
      <c r="AP86" s="22">
        <f>'Activity data'!AP45*EF!$H$149*CtoCO2*ttoGg</f>
        <v>730.39903711555496</v>
      </c>
      <c r="AQ86" s="22">
        <f>'Activity data'!AQ45*EF!$H$149*CtoCO2*ttoGg</f>
        <v>730.39903711555496</v>
      </c>
      <c r="AR86" s="22">
        <f>'Activity data'!AR45*EF!$H$149*CtoCO2*ttoGg</f>
        <v>730.39903711555496</v>
      </c>
      <c r="AS86" s="22">
        <f>'Activity data'!AS45*EF!$H$149*CtoCO2*ttoGg</f>
        <v>730.39903711555496</v>
      </c>
      <c r="AT86" s="22">
        <f>'Activity data'!AT45*EF!$H$149*CtoCO2*ttoGg</f>
        <v>730.39903711555496</v>
      </c>
      <c r="AU86" s="22">
        <f>'Activity data'!AU45*EF!$H$149*CtoCO2*ttoGg</f>
        <v>730.39903711555496</v>
      </c>
      <c r="AV86" s="22">
        <f>'Activity data'!AV45*EF!$H$149*CtoCO2*ttoGg</f>
        <v>730.39903711555496</v>
      </c>
      <c r="AW86" s="22">
        <f>'Activity data'!AW45*EF!$H$149*CtoCO2*ttoGg</f>
        <v>730.39903711555496</v>
      </c>
      <c r="AX86" s="22">
        <f>'Activity data'!AX45*EF!$H$149*CtoCO2*ttoGg</f>
        <v>730.39903711555496</v>
      </c>
      <c r="AY86" s="22">
        <f>'Activity data'!AY45*EF!$H$149*CtoCO2*ttoGg</f>
        <v>730.39903711555496</v>
      </c>
      <c r="AZ86" s="22">
        <f>'Activity data'!AZ45*EF!$H$149*CtoCO2*ttoGg</f>
        <v>730.39903711555496</v>
      </c>
      <c r="BA86" s="22">
        <f>'Activity data'!BA45*EF!$H$149*CtoCO2*ttoGg</f>
        <v>730.39903711555496</v>
      </c>
      <c r="BB86" s="22">
        <f>'Activity data'!BB45*EF!$H$149*CtoCO2*ttoGg</f>
        <v>730.39903711555496</v>
      </c>
      <c r="BC86" s="22">
        <f>'Activity data'!BC45*EF!$H$149*CtoCO2*ttoGg</f>
        <v>730.39903711555496</v>
      </c>
      <c r="BD86" s="22">
        <f>'Activity data'!BD45*EF!$H$149*CtoCO2*ttoGg</f>
        <v>730.39903711555496</v>
      </c>
      <c r="BE86" s="22">
        <f>'Activity data'!BE45*EF!$H$149*CtoCO2*ttoGg</f>
        <v>730.39903711555496</v>
      </c>
      <c r="BF86" s="22">
        <f>'Activity data'!BF45*EF!$H$149*CtoCO2*ttoGg</f>
        <v>730.39903711555496</v>
      </c>
      <c r="BG86" s="22">
        <f>'Activity data'!BG45*EF!$H$149*CtoCO2*ttoGg</f>
        <v>730.39903711555496</v>
      </c>
      <c r="BH86" s="22">
        <f>'Activity data'!BH45*EF!$H$149*CtoCO2*ttoGg</f>
        <v>730.39903711555496</v>
      </c>
      <c r="BI86" s="22">
        <f>'Activity data'!BI45*EF!$H$149*CtoCO2*ttoGg</f>
        <v>730.39903711555496</v>
      </c>
      <c r="BJ86" s="22">
        <f>'Activity data'!BJ45*EF!$H$149*CtoCO2*ttoGg</f>
        <v>730.39903711555496</v>
      </c>
      <c r="BK86" s="22">
        <f>'Activity data'!BK45*EF!$H$149*CtoCO2*ttoGg</f>
        <v>730.39903711555496</v>
      </c>
      <c r="BL86" s="22">
        <f>'Activity data'!BL45*EF!$H$149*CtoCO2*ttoGg</f>
        <v>730.39903711555496</v>
      </c>
      <c r="BM86" s="22">
        <f>'Activity data'!BM45*EF!$H$149*CtoCO2*ttoGg</f>
        <v>730.39903711555496</v>
      </c>
      <c r="BN86" s="22">
        <f>'Activity data'!BN45*EF!$H$149*CtoCO2*ttoGg</f>
        <v>730.39903711555496</v>
      </c>
      <c r="BO86" s="22">
        <f>'Activity data'!BO45*EF!$H$149*CtoCO2*ttoGg</f>
        <v>730.39903711555496</v>
      </c>
      <c r="BP86" s="22">
        <f>'Activity data'!BP45*EF!$H$149*CtoCO2*ttoGg</f>
        <v>730.39903711555496</v>
      </c>
    </row>
    <row r="87" spans="1:68" x14ac:dyDescent="0.25">
      <c r="A87" t="str">
        <f>A86</f>
        <v>3C Aggregated and non-CO2 emissions on land</v>
      </c>
      <c r="B87" t="str">
        <f>'IPCC Categories'!B72</f>
        <v>3C3 Urea application (CO2)</v>
      </c>
      <c r="E87" t="s">
        <v>392</v>
      </c>
      <c r="F87" t="s">
        <v>385</v>
      </c>
      <c r="G87" t="s">
        <v>387</v>
      </c>
      <c r="H87" s="22">
        <f>'Activity data'!H46*EF!$H$150*CtoCO2*ttoGg</f>
        <v>90.994567483487728</v>
      </c>
      <c r="I87" s="22">
        <f>'Activity data'!I46*EF!$H$150*CtoCO2*ttoGg</f>
        <v>111.62690198838213</v>
      </c>
      <c r="J87" s="22">
        <f>'Activity data'!J46*EF!$H$150*CtoCO2*ttoGg</f>
        <v>132.25923649327655</v>
      </c>
      <c r="K87" s="22">
        <f>'Activity data'!K46*EF!$H$150*CtoCO2*ttoGg</f>
        <v>152.89157099816552</v>
      </c>
      <c r="L87" s="22">
        <f>'Activity data'!L46*EF!$H$150*CtoCO2*ttoGg</f>
        <v>173.52390550305992</v>
      </c>
      <c r="M87" s="22">
        <f>'Activity data'!M46*EF!$H$150*CtoCO2*ttoGg</f>
        <v>194.15624000795432</v>
      </c>
      <c r="N87" s="22">
        <f>'Activity data'!N46*EF!$H$150*CtoCO2*ttoGg</f>
        <v>214.78857451284878</v>
      </c>
      <c r="O87" s="22">
        <f>'Activity data'!O46*EF!$H$150*CtoCO2*ttoGg</f>
        <v>235.42090901774316</v>
      </c>
      <c r="P87" s="22">
        <f>'Activity data'!P46*EF!$H$150*CtoCO2*ttoGg</f>
        <v>256.05324352263762</v>
      </c>
      <c r="Q87" s="22">
        <f>'Activity data'!Q46*EF!$H$150*CtoCO2*ttoGg</f>
        <v>276.68557802753202</v>
      </c>
      <c r="R87" s="22">
        <f>'Activity data'!R46*EF!$H$150*CtoCO2*ttoGg</f>
        <v>297.31791253242642</v>
      </c>
      <c r="S87" s="22">
        <f>'Activity data'!S46*EF!$H$150*CtoCO2*ttoGg</f>
        <v>317.95024703732088</v>
      </c>
      <c r="T87" s="22">
        <f>'Activity data'!T46*EF!$H$150*CtoCO2*ttoGg</f>
        <v>338.58258154220977</v>
      </c>
      <c r="U87" s="22">
        <f>'Activity data'!U46*EF!$H$150*CtoCO2*ttoGg</f>
        <v>359.21491604710423</v>
      </c>
      <c r="V87" s="22">
        <f>'Activity data'!V46*EF!$H$150*CtoCO2*ttoGg</f>
        <v>435.89846666666671</v>
      </c>
      <c r="W87" s="22">
        <f>'Activity data'!W46*EF!$H$150*CtoCO2*ttoGg</f>
        <v>355.08659999999998</v>
      </c>
      <c r="X87" s="22">
        <f>'Activity data'!X46*EF!$H$150*CtoCO2*ttoGg</f>
        <v>393.08573333333334</v>
      </c>
      <c r="Y87" s="22">
        <f>'Activity data'!Y46*EF!$H$150*CtoCO2*ttoGg</f>
        <v>484.55366666666663</v>
      </c>
      <c r="Z87" s="22">
        <f>'Activity data'!Z46*EF!$H$150*CtoCO2*ttoGg</f>
        <v>480.19253333333336</v>
      </c>
      <c r="AA87" s="22">
        <f>'Activity data'!AA46*EF!$H$150*CtoCO2*ttoGg</f>
        <v>380.54426666666666</v>
      </c>
      <c r="AB87" s="22">
        <f>'Activity data'!AB46*EF!$H$150*CtoCO2*ttoGg</f>
        <v>501.48046666666664</v>
      </c>
      <c r="AC87" s="22">
        <f>'Activity data'!AC46*EF!$H$150*CtoCO2*ttoGg</f>
        <v>571.19113333333337</v>
      </c>
      <c r="AD87" s="22">
        <f>'Activity data'!AD46*EF!$H$150*CtoCO2*ttoGg</f>
        <v>473.70201342711152</v>
      </c>
      <c r="AE87" s="22">
        <f>'Activity data'!AE46*EF!$H$150*CtoCO2*ttoGg</f>
        <v>473.87950816779028</v>
      </c>
      <c r="AF87" s="22">
        <f>'Activity data'!AF46*EF!$H$150*CtoCO2*ttoGg</f>
        <v>474.05861484339204</v>
      </c>
      <c r="AG87" s="22">
        <f>'Activity data'!AG46*EF!$H$150*CtoCO2*ttoGg</f>
        <v>474.2393480928518</v>
      </c>
      <c r="AH87" s="22">
        <f>'Activity data'!AH46*EF!$H$150*CtoCO2*ttoGg</f>
        <v>474.43632615119856</v>
      </c>
      <c r="AI87" s="22">
        <f>'Activity data'!AI46*EF!$H$150*CtoCO2*ttoGg</f>
        <v>474.63330420954514</v>
      </c>
      <c r="AJ87" s="22">
        <f>'Activity data'!AJ46*EF!$H$150*CtoCO2*ttoGg</f>
        <v>474.83028226789162</v>
      </c>
      <c r="AK87" s="22">
        <f>'Activity data'!AK46*EF!$H$150*CtoCO2*ttoGg</f>
        <v>475.02726032623832</v>
      </c>
      <c r="AL87" s="22">
        <f>'Activity data'!AL46*EF!$H$150*CtoCO2*ttoGg</f>
        <v>475.22423838458496</v>
      </c>
      <c r="AM87" s="22">
        <f>'Activity data'!AM46*EF!$H$150*CtoCO2*ttoGg</f>
        <v>475.42389690092881</v>
      </c>
      <c r="AN87" s="22">
        <f>'Activity data'!AN46*EF!$H$150*CtoCO2*ttoGg</f>
        <v>475.62355541358733</v>
      </c>
      <c r="AO87" s="22">
        <f>'Activity data'!AO46*EF!$H$150*CtoCO2*ttoGg</f>
        <v>475.82321392624596</v>
      </c>
      <c r="AP87" s="22">
        <f>'Activity data'!AP46*EF!$H$150*CtoCO2*ttoGg</f>
        <v>475.82321392624596</v>
      </c>
      <c r="AQ87" s="22">
        <f>'Activity data'!AQ46*EF!$H$150*CtoCO2*ttoGg</f>
        <v>475.82321392624596</v>
      </c>
      <c r="AR87" s="22">
        <f>'Activity data'!AR46*EF!$H$150*CtoCO2*ttoGg</f>
        <v>475.82321392624596</v>
      </c>
      <c r="AS87" s="22">
        <f>'Activity data'!AS46*EF!$H$150*CtoCO2*ttoGg</f>
        <v>475.82321392624596</v>
      </c>
      <c r="AT87" s="22">
        <f>'Activity data'!AT46*EF!$H$150*CtoCO2*ttoGg</f>
        <v>475.82321392624596</v>
      </c>
      <c r="AU87" s="22">
        <f>'Activity data'!AU46*EF!$H$150*CtoCO2*ttoGg</f>
        <v>475.82321392624596</v>
      </c>
      <c r="AV87" s="22">
        <f>'Activity data'!AV46*EF!$H$150*CtoCO2*ttoGg</f>
        <v>475.82321392624596</v>
      </c>
      <c r="AW87" s="22">
        <f>'Activity data'!AW46*EF!$H$150*CtoCO2*ttoGg</f>
        <v>475.82321392624596</v>
      </c>
      <c r="AX87" s="22">
        <f>'Activity data'!AX46*EF!$H$150*CtoCO2*ttoGg</f>
        <v>475.82321392624596</v>
      </c>
      <c r="AY87" s="22">
        <f>'Activity data'!AY46*EF!$H$150*CtoCO2*ttoGg</f>
        <v>475.82321392624596</v>
      </c>
      <c r="AZ87" s="22">
        <f>'Activity data'!AZ46*EF!$H$150*CtoCO2*ttoGg</f>
        <v>475.82321392624596</v>
      </c>
      <c r="BA87" s="22">
        <f>'Activity data'!BA46*EF!$H$150*CtoCO2*ttoGg</f>
        <v>475.82321392624596</v>
      </c>
      <c r="BB87" s="22">
        <f>'Activity data'!BB46*EF!$H$150*CtoCO2*ttoGg</f>
        <v>475.82321392624596</v>
      </c>
      <c r="BC87" s="22">
        <f>'Activity data'!BC46*EF!$H$150*CtoCO2*ttoGg</f>
        <v>475.82321392624596</v>
      </c>
      <c r="BD87" s="22">
        <f>'Activity data'!BD46*EF!$H$150*CtoCO2*ttoGg</f>
        <v>475.82321392624596</v>
      </c>
      <c r="BE87" s="22">
        <f>'Activity data'!BE46*EF!$H$150*CtoCO2*ttoGg</f>
        <v>475.82321392624596</v>
      </c>
      <c r="BF87" s="22">
        <f>'Activity data'!BF46*EF!$H$150*CtoCO2*ttoGg</f>
        <v>475.82321392624596</v>
      </c>
      <c r="BG87" s="22">
        <f>'Activity data'!BG46*EF!$H$150*CtoCO2*ttoGg</f>
        <v>475.82321392624596</v>
      </c>
      <c r="BH87" s="22">
        <f>'Activity data'!BH46*EF!$H$150*CtoCO2*ttoGg</f>
        <v>475.82321392624596</v>
      </c>
      <c r="BI87" s="22">
        <f>'Activity data'!BI46*EF!$H$150*CtoCO2*ttoGg</f>
        <v>475.82321392624596</v>
      </c>
      <c r="BJ87" s="22">
        <f>'Activity data'!BJ46*EF!$H$150*CtoCO2*ttoGg</f>
        <v>475.82321392624596</v>
      </c>
      <c r="BK87" s="22">
        <f>'Activity data'!BK46*EF!$H$150*CtoCO2*ttoGg</f>
        <v>475.82321392624596</v>
      </c>
      <c r="BL87" s="22">
        <f>'Activity data'!BL46*EF!$H$150*CtoCO2*ttoGg</f>
        <v>475.82321392624596</v>
      </c>
      <c r="BM87" s="22">
        <f>'Activity data'!BM46*EF!$H$150*CtoCO2*ttoGg</f>
        <v>475.82321392624596</v>
      </c>
      <c r="BN87" s="22">
        <f>'Activity data'!BN46*EF!$H$150*CtoCO2*ttoGg</f>
        <v>475.82321392624596</v>
      </c>
      <c r="BO87" s="22">
        <f>'Activity data'!BO46*EF!$H$150*CtoCO2*ttoGg</f>
        <v>475.82321392624596</v>
      </c>
      <c r="BP87" s="22">
        <f>'Activity data'!BP46*EF!$H$150*CtoCO2*ttoGg</f>
        <v>475.82321392624596</v>
      </c>
    </row>
    <row r="88" spans="1:68" x14ac:dyDescent="0.25">
      <c r="A88" t="str">
        <f>A87</f>
        <v>3C Aggregated and non-CO2 emissions on land</v>
      </c>
      <c r="B88" t="str">
        <f>'IPCC Categories'!B73</f>
        <v>3C4 Direct N2O from managed soils (N2O)</v>
      </c>
      <c r="E88" t="s">
        <v>424</v>
      </c>
      <c r="F88" t="s">
        <v>139</v>
      </c>
      <c r="G88" t="s">
        <v>287</v>
      </c>
      <c r="H88" s="22">
        <f>'Activity data'!H47*ttokg*SNEF*NtoN2O*kgtoGg</f>
        <v>5.4008271428571426</v>
      </c>
      <c r="I88" s="22">
        <f>'Activity data'!I47*ttokg*SNEF*NtoN2O*kgtoGg</f>
        <v>5.7362642857142854</v>
      </c>
      <c r="J88" s="22">
        <f>'Activity data'!J47*ttokg*SNEF*NtoN2O*kgtoGg</f>
        <v>5.4611071428571423</v>
      </c>
      <c r="K88" s="22">
        <f>'Activity data'!K47*ttokg*SNEF*NtoN2O*kgtoGg</f>
        <v>6.4186414285714282</v>
      </c>
      <c r="L88" s="22">
        <f>'Activity data'!L47*ttokg*SNEF*NtoN2O*kgtoGg</f>
        <v>5.8938942857142855</v>
      </c>
      <c r="M88" s="22">
        <f>'Activity data'!M47*ttokg*SNEF*NtoN2O*kgtoGg</f>
        <v>5.8377157142857143</v>
      </c>
      <c r="N88" s="22">
        <f>'Activity data'!N47*ttokg*SNEF*NtoN2O*kgtoGg</f>
        <v>6.5227485714285702</v>
      </c>
      <c r="O88" s="22">
        <f>'Activity data'!O47*ttokg*SNEF*NtoN2O*kgtoGg</f>
        <v>6.3943628571428572</v>
      </c>
      <c r="P88" s="22">
        <f>'Activity data'!P47*ttokg*SNEF*NtoN2O*kgtoGg</f>
        <v>6.5296157142857139</v>
      </c>
      <c r="Q88" s="22">
        <f>'Activity data'!Q47*ttokg*SNEF*NtoN2O*kgtoGg</f>
        <v>6.4907071428571426</v>
      </c>
      <c r="R88" s="22">
        <f>'Activity data'!R47*ttokg*SNEF*NtoN2O*kgtoGg</f>
        <v>6.5360899999999997</v>
      </c>
      <c r="S88" s="22">
        <f>'Activity data'!S47*ttokg*SNEF*NtoN2O*kgtoGg</f>
        <v>6.219918571428571</v>
      </c>
      <c r="T88" s="22">
        <f>'Activity data'!T47*ttokg*SNEF*NtoN2O*kgtoGg</f>
        <v>7.4968457142857146</v>
      </c>
      <c r="U88" s="22">
        <f>'Activity data'!U47*ttokg*SNEF*NtoN2O*kgtoGg</f>
        <v>6.6129957142857139</v>
      </c>
      <c r="V88" s="22">
        <f>'Activity data'!V47*ttokg*SNEF*NtoN2O*kgtoGg</f>
        <v>6.7189728571428571</v>
      </c>
      <c r="W88" s="22">
        <f>'Activity data'!W47*ttokg*SNEF*NtoN2O*kgtoGg</f>
        <v>5.4569428571428569</v>
      </c>
      <c r="X88" s="22">
        <f>'Activity data'!X47*ttokg*SNEF*NtoN2O*kgtoGg</f>
        <v>6.7370128571428571</v>
      </c>
      <c r="Y88" s="22">
        <f>'Activity data'!Y47*ttokg*SNEF*NtoN2O*kgtoGg</f>
        <v>6.9061142857142848</v>
      </c>
      <c r="Z88" s="22">
        <f>'Activity data'!Z47*ttokg*SNEF*NtoN2O*kgtoGg</f>
        <v>6.66479</v>
      </c>
      <c r="AA88" s="22">
        <f>'Activity data'!AA47*ttokg*SNEF*NtoN2O*kgtoGg</f>
        <v>7.1307814285714279</v>
      </c>
      <c r="AB88" s="22">
        <f>'Activity data'!AB47*ttokg*SNEF*NtoN2O*kgtoGg</f>
        <v>6.2071428571428573</v>
      </c>
      <c r="AC88" s="22">
        <f>'Activity data'!AC47*ttokg*SNEF*NtoN2O*kgtoGg</f>
        <v>6.5842857142857145</v>
      </c>
      <c r="AD88" s="22">
        <f>'Activity data'!AD47*ttokg*SNEF*NtoN2O*kgtoGg</f>
        <v>6.6633241162127703</v>
      </c>
      <c r="AE88" s="22">
        <f>'Activity data'!AE47*ttokg*SNEF*NtoN2O*kgtoGg</f>
        <v>6.6661216500394822</v>
      </c>
      <c r="AF88" s="22">
        <f>'Activity data'!AF47*ttokg*SNEF*NtoN2O*kgtoGg</f>
        <v>6.6689445899286861</v>
      </c>
      <c r="AG88" s="22">
        <f>'Activity data'!AG47*ttokg*SNEF*NtoN2O*kgtoGg</f>
        <v>6.6717931666078698</v>
      </c>
      <c r="AH88" s="22">
        <f>'Activity data'!AH47*ttokg*SNEF*NtoN2O*kgtoGg</f>
        <v>6.6748977813093378</v>
      </c>
      <c r="AI88" s="22">
        <f>'Activity data'!AI47*ttokg*SNEF*NtoN2O*kgtoGg</f>
        <v>6.6780023960108075</v>
      </c>
      <c r="AJ88" s="22">
        <f>'Activity data'!AJ47*ttokg*SNEF*NtoN2O*kgtoGg</f>
        <v>6.6811070107122754</v>
      </c>
      <c r="AK88" s="22">
        <f>'Activity data'!AK47*ttokg*SNEF*NtoN2O*kgtoGg</f>
        <v>6.6842116254137443</v>
      </c>
      <c r="AL88" s="22">
        <f>'Activity data'!AL47*ttokg*SNEF*NtoN2O*kgtoGg</f>
        <v>6.6873162401152131</v>
      </c>
      <c r="AM88" s="22">
        <f>'Activity data'!AM47*ttokg*SNEF*NtoN2O*kgtoGg</f>
        <v>6.6904631021074454</v>
      </c>
      <c r="AN88" s="22">
        <f>'Activity data'!AN47*ttokg*SNEF*NtoN2O*kgtoGg</f>
        <v>6.6936099640415918</v>
      </c>
      <c r="AO88" s="22">
        <f>'Activity data'!AO47*ttokg*SNEF*NtoN2O*kgtoGg</f>
        <v>6.6967568259757391</v>
      </c>
      <c r="AP88" s="22">
        <f>'Activity data'!AP47*ttokg*SNEF*NtoN2O*kgtoGg</f>
        <v>6.6967568259757391</v>
      </c>
      <c r="AQ88" s="22">
        <f>'Activity data'!AQ47*ttokg*SNEF*NtoN2O*kgtoGg</f>
        <v>6.6967568259757391</v>
      </c>
      <c r="AR88" s="22">
        <f>'Activity data'!AR47*ttokg*SNEF*NtoN2O*kgtoGg</f>
        <v>6.6967568259757391</v>
      </c>
      <c r="AS88" s="22">
        <f>'Activity data'!AS47*ttokg*SNEF*NtoN2O*kgtoGg</f>
        <v>6.6967568259757391</v>
      </c>
      <c r="AT88" s="22">
        <f>'Activity data'!AT47*ttokg*SNEF*NtoN2O*kgtoGg</f>
        <v>6.6967568259757391</v>
      </c>
      <c r="AU88" s="22">
        <f>'Activity data'!AU47*ttokg*SNEF*NtoN2O*kgtoGg</f>
        <v>6.6967568259757391</v>
      </c>
      <c r="AV88" s="22">
        <f>'Activity data'!AV47*ttokg*SNEF*NtoN2O*kgtoGg</f>
        <v>6.6967568259757391</v>
      </c>
      <c r="AW88" s="22">
        <f>'Activity data'!AW47*ttokg*SNEF*NtoN2O*kgtoGg</f>
        <v>6.6967568259757391</v>
      </c>
      <c r="AX88" s="22">
        <f>'Activity data'!AX47*ttokg*SNEF*NtoN2O*kgtoGg</f>
        <v>6.6967568259757391</v>
      </c>
      <c r="AY88" s="22">
        <f>'Activity data'!AY47*ttokg*SNEF*NtoN2O*kgtoGg</f>
        <v>6.6967568259757391</v>
      </c>
      <c r="AZ88" s="22">
        <f>'Activity data'!AZ47*ttokg*SNEF*NtoN2O*kgtoGg</f>
        <v>6.6967568259757391</v>
      </c>
      <c r="BA88" s="22">
        <f>'Activity data'!BA47*ttokg*SNEF*NtoN2O*kgtoGg</f>
        <v>6.6967568259757391</v>
      </c>
      <c r="BB88" s="22">
        <f>'Activity data'!BB47*ttokg*SNEF*NtoN2O*kgtoGg</f>
        <v>6.6967568259757391</v>
      </c>
      <c r="BC88" s="22">
        <f>'Activity data'!BC47*ttokg*SNEF*NtoN2O*kgtoGg</f>
        <v>6.6967568259757391</v>
      </c>
      <c r="BD88" s="22">
        <f>'Activity data'!BD47*ttokg*SNEF*NtoN2O*kgtoGg</f>
        <v>6.6967568259757391</v>
      </c>
      <c r="BE88" s="22">
        <f>'Activity data'!BE47*ttokg*SNEF*NtoN2O*kgtoGg</f>
        <v>6.6967568259757391</v>
      </c>
      <c r="BF88" s="22">
        <f>'Activity data'!BF47*ttokg*SNEF*NtoN2O*kgtoGg</f>
        <v>6.6967568259757391</v>
      </c>
      <c r="BG88" s="22">
        <f>'Activity data'!BG47*ttokg*SNEF*NtoN2O*kgtoGg</f>
        <v>6.6967568259757391</v>
      </c>
      <c r="BH88" s="22">
        <f>'Activity data'!BH47*ttokg*SNEF*NtoN2O*kgtoGg</f>
        <v>6.6967568259757391</v>
      </c>
      <c r="BI88" s="22">
        <f>'Activity data'!BI47*ttokg*SNEF*NtoN2O*kgtoGg</f>
        <v>6.6967568259757391</v>
      </c>
      <c r="BJ88" s="22">
        <f>'Activity data'!BJ47*ttokg*SNEF*NtoN2O*kgtoGg</f>
        <v>6.6967568259757391</v>
      </c>
      <c r="BK88" s="22">
        <f>'Activity data'!BK47*ttokg*SNEF*NtoN2O*kgtoGg</f>
        <v>6.6967568259757391</v>
      </c>
      <c r="BL88" s="22">
        <f>'Activity data'!BL47*ttokg*SNEF*NtoN2O*kgtoGg</f>
        <v>6.6967568259757391</v>
      </c>
      <c r="BM88" s="22">
        <f>'Activity data'!BM47*ttokg*SNEF*NtoN2O*kgtoGg</f>
        <v>6.6967568259757391</v>
      </c>
      <c r="BN88" s="22">
        <f>'Activity data'!BN47*ttokg*SNEF*NtoN2O*kgtoGg</f>
        <v>6.6967568259757391</v>
      </c>
      <c r="BO88" s="22">
        <f>'Activity data'!BO47*ttokg*SNEF*NtoN2O*kgtoGg</f>
        <v>6.6967568259757391</v>
      </c>
      <c r="BP88" s="22">
        <f>'Activity data'!BP47*ttokg*SNEF*NtoN2O*kgtoGg</f>
        <v>6.6967568259757391</v>
      </c>
    </row>
    <row r="89" spans="1:68" x14ac:dyDescent="0.25">
      <c r="A89" t="str">
        <f t="shared" ref="A89:A139" si="29">A88</f>
        <v>3C Aggregated and non-CO2 emissions on land</v>
      </c>
      <c r="B89" t="str">
        <f>B88</f>
        <v>3C4 Direct N2O from managed soils (N2O)</v>
      </c>
      <c r="E89" t="s">
        <v>425</v>
      </c>
      <c r="F89" t="str">
        <f>F88</f>
        <v>N2O</v>
      </c>
      <c r="G89" t="str">
        <f>G88</f>
        <v>Gg N2O</v>
      </c>
      <c r="H89" s="22">
        <f>'Activity data'!H48*ttokg*ONEF*NtoN2O*kgtoGg</f>
        <v>3.5645459142857133E-2</v>
      </c>
      <c r="I89" s="22">
        <f>'Activity data'!I48*ttokg*ONEF*NtoN2O*kgtoGg</f>
        <v>3.7859344285714289E-2</v>
      </c>
      <c r="J89" s="22">
        <f>'Activity data'!J48*ttokg*ONEF*NtoN2O*kgtoGg</f>
        <v>3.6043307142857146E-2</v>
      </c>
      <c r="K89" s="22">
        <f>'Activity data'!K48*ttokg*ONEF*NtoN2O*kgtoGg</f>
        <v>4.236303342857143E-2</v>
      </c>
      <c r="L89" s="22">
        <f>'Activity data'!L48*ttokg*ONEF*NtoN2O*kgtoGg</f>
        <v>3.8899702285714287E-2</v>
      </c>
      <c r="M89" s="22">
        <f>'Activity data'!M48*ttokg*ONEF*NtoN2O*kgtoGg</f>
        <v>3.8528923714285714E-2</v>
      </c>
      <c r="N89" s="22">
        <f>'Activity data'!N48*ttokg*ONEF*NtoN2O*kgtoGg</f>
        <v>4.3050140571428579E-2</v>
      </c>
      <c r="O89" s="22">
        <f>'Activity data'!O48*ttokg*ONEF*NtoN2O*kgtoGg</f>
        <v>4.2202794857142865E-2</v>
      </c>
      <c r="P89" s="22">
        <f>'Activity data'!P48*ttokg*ONEF*NtoN2O*kgtoGg</f>
        <v>4.3095463714285728E-2</v>
      </c>
      <c r="Q89" s="22">
        <f>'Activity data'!Q48*ttokg*ONEF*NtoN2O*kgtoGg</f>
        <v>4.283866714285714E-2</v>
      </c>
      <c r="R89" s="22">
        <f>'Activity data'!R48*ttokg*ONEF*NtoN2O*kgtoGg</f>
        <v>4.3138194000000012E-2</v>
      </c>
      <c r="S89" s="22">
        <f>'Activity data'!S48*ttokg*ONEF*NtoN2O*kgtoGg</f>
        <v>4.1051462571428568E-2</v>
      </c>
      <c r="T89" s="22">
        <f>'Activity data'!T48*ttokg*ONEF*NtoN2O*kgtoGg</f>
        <v>4.9479181714285725E-2</v>
      </c>
      <c r="U89" s="22">
        <f>'Activity data'!U48*ttokg*ONEF*NtoN2O*kgtoGg</f>
        <v>4.3645771714285735E-2</v>
      </c>
      <c r="V89" s="22">
        <f>'Activity data'!V48*ttokg*ONEF*NtoN2O*kgtoGg</f>
        <v>4.4345220857142861E-2</v>
      </c>
      <c r="W89" s="22">
        <f>'Activity data'!W48*ttokg*ONEF*NtoN2O*kgtoGg</f>
        <v>3.6015822857142853E-2</v>
      </c>
      <c r="X89" s="22">
        <f>'Activity data'!X48*ttokg*ONEF*NtoN2O*kgtoGg</f>
        <v>4.4464284857142863E-2</v>
      </c>
      <c r="Y89" s="22">
        <f>'Activity data'!Y48*ttokg*ONEF*NtoN2O*kgtoGg</f>
        <v>4.5580354285714282E-2</v>
      </c>
      <c r="Z89" s="22">
        <f>'Activity data'!Z48*ttokg*ONEF*NtoN2O*kgtoGg</f>
        <v>4.3987614000000001E-2</v>
      </c>
      <c r="AA89" s="22">
        <f>'Activity data'!AA48*ttokg*ONEF*NtoN2O*kgtoGg</f>
        <v>4.706315742857143E-2</v>
      </c>
      <c r="AB89" s="22">
        <f>'Activity data'!AB48*ttokg*ONEF*NtoN2O*kgtoGg</f>
        <v>4.0967142857142855E-2</v>
      </c>
      <c r="AC89" s="22">
        <f>'Activity data'!AC48*ttokg*ONEF*NtoN2O*kgtoGg</f>
        <v>4.3456285714285711E-2</v>
      </c>
      <c r="AD89" s="22">
        <f>'Activity data'!AD48*ttokg*ONEF*NtoN2O*kgtoGg</f>
        <v>4.3977939167004286E-2</v>
      </c>
      <c r="AE89" s="22">
        <f>'Activity data'!AE48*ttokg*ONEF*NtoN2O*kgtoGg</f>
        <v>4.3996402890260591E-2</v>
      </c>
      <c r="AF89" s="22">
        <f>'Activity data'!AF48*ttokg*ONEF*NtoN2O*kgtoGg</f>
        <v>4.4015034293529327E-2</v>
      </c>
      <c r="AG89" s="22">
        <f>'Activity data'!AG48*ttokg*ONEF*NtoN2O*kgtoGg</f>
        <v>4.4033834899611941E-2</v>
      </c>
      <c r="AH89" s="22">
        <f>'Activity data'!AH48*ttokg*ONEF*NtoN2O*kgtoGg</f>
        <v>4.4054325356641638E-2</v>
      </c>
      <c r="AI89" s="22">
        <f>'Activity data'!AI48*ttokg*ONEF*NtoN2O*kgtoGg</f>
        <v>4.4074815813671335E-2</v>
      </c>
      <c r="AJ89" s="22">
        <f>'Activity data'!AJ48*ttokg*ONEF*NtoN2O*kgtoGg</f>
        <v>4.4095306270701018E-2</v>
      </c>
      <c r="AK89" s="22">
        <f>'Activity data'!AK48*ttokg*ONEF*NtoN2O*kgtoGg</f>
        <v>4.4115796727730715E-2</v>
      </c>
      <c r="AL89" s="22">
        <f>'Activity data'!AL48*ttokg*ONEF*NtoN2O*kgtoGg</f>
        <v>4.4136287184760412E-2</v>
      </c>
      <c r="AM89" s="22">
        <f>'Activity data'!AM48*ttokg*ONEF*NtoN2O*kgtoGg</f>
        <v>4.4157056473909148E-2</v>
      </c>
      <c r="AN89" s="22">
        <f>'Activity data'!AN48*ttokg*ONEF*NtoN2O*kgtoGg</f>
        <v>4.4177825762674518E-2</v>
      </c>
      <c r="AO89" s="22">
        <f>'Activity data'!AO48*ttokg*ONEF*NtoN2O*kgtoGg</f>
        <v>4.4198595051439894E-2</v>
      </c>
      <c r="AP89" s="22">
        <f>'Activity data'!AP48*ttokg*ONEF*NtoN2O*kgtoGg</f>
        <v>4.4198595051439894E-2</v>
      </c>
      <c r="AQ89" s="22">
        <f>'Activity data'!AQ48*ttokg*ONEF*NtoN2O*kgtoGg</f>
        <v>4.4198595051439894E-2</v>
      </c>
      <c r="AR89" s="22">
        <f>'Activity data'!AR48*ttokg*ONEF*NtoN2O*kgtoGg</f>
        <v>4.4198595051439894E-2</v>
      </c>
      <c r="AS89" s="22">
        <f>'Activity data'!AS48*ttokg*ONEF*NtoN2O*kgtoGg</f>
        <v>4.4198595051439894E-2</v>
      </c>
      <c r="AT89" s="22">
        <f>'Activity data'!AT48*ttokg*ONEF*NtoN2O*kgtoGg</f>
        <v>4.4198595051439894E-2</v>
      </c>
      <c r="AU89" s="22">
        <f>'Activity data'!AU48*ttokg*ONEF*NtoN2O*kgtoGg</f>
        <v>4.4198595051439894E-2</v>
      </c>
      <c r="AV89" s="22">
        <f>'Activity data'!AV48*ttokg*ONEF*NtoN2O*kgtoGg</f>
        <v>4.4198595051439894E-2</v>
      </c>
      <c r="AW89" s="22">
        <f>'Activity data'!AW48*ttokg*ONEF*NtoN2O*kgtoGg</f>
        <v>4.4198595051439894E-2</v>
      </c>
      <c r="AX89" s="22">
        <f>'Activity data'!AX48*ttokg*ONEF*NtoN2O*kgtoGg</f>
        <v>4.4198595051439894E-2</v>
      </c>
      <c r="AY89" s="22">
        <f>'Activity data'!AY48*ttokg*ONEF*NtoN2O*kgtoGg</f>
        <v>4.4198595051439894E-2</v>
      </c>
      <c r="AZ89" s="22">
        <f>'Activity data'!AZ48*ttokg*ONEF*NtoN2O*kgtoGg</f>
        <v>4.4198595051439894E-2</v>
      </c>
      <c r="BA89" s="22">
        <f>'Activity data'!BA48*ttokg*ONEF*NtoN2O*kgtoGg</f>
        <v>4.4198595051439894E-2</v>
      </c>
      <c r="BB89" s="22">
        <f>'Activity data'!BB48*ttokg*ONEF*NtoN2O*kgtoGg</f>
        <v>4.4198595051439894E-2</v>
      </c>
      <c r="BC89" s="22">
        <f>'Activity data'!BC48*ttokg*ONEF*NtoN2O*kgtoGg</f>
        <v>4.4198595051439894E-2</v>
      </c>
      <c r="BD89" s="22">
        <f>'Activity data'!BD48*ttokg*ONEF*NtoN2O*kgtoGg</f>
        <v>4.4198595051439894E-2</v>
      </c>
      <c r="BE89" s="22">
        <f>'Activity data'!BE48*ttokg*ONEF*NtoN2O*kgtoGg</f>
        <v>4.4198595051439894E-2</v>
      </c>
      <c r="BF89" s="22">
        <f>'Activity data'!BF48*ttokg*ONEF*NtoN2O*kgtoGg</f>
        <v>4.4198595051439894E-2</v>
      </c>
      <c r="BG89" s="22">
        <f>'Activity data'!BG48*ttokg*ONEF*NtoN2O*kgtoGg</f>
        <v>4.4198595051439894E-2</v>
      </c>
      <c r="BH89" s="22">
        <f>'Activity data'!BH48*ttokg*ONEF*NtoN2O*kgtoGg</f>
        <v>4.4198595051439894E-2</v>
      </c>
      <c r="BI89" s="22">
        <f>'Activity data'!BI48*ttokg*ONEF*NtoN2O*kgtoGg</f>
        <v>4.4198595051439894E-2</v>
      </c>
      <c r="BJ89" s="22">
        <f>'Activity data'!BJ48*ttokg*ONEF*NtoN2O*kgtoGg</f>
        <v>4.4198595051439894E-2</v>
      </c>
      <c r="BK89" s="22">
        <f>'Activity data'!BK48*ttokg*ONEF*NtoN2O*kgtoGg</f>
        <v>4.4198595051439894E-2</v>
      </c>
      <c r="BL89" s="22">
        <f>'Activity data'!BL48*ttokg*ONEF*NtoN2O*kgtoGg</f>
        <v>4.4198595051439894E-2</v>
      </c>
      <c r="BM89" s="22">
        <f>'Activity data'!BM48*ttokg*ONEF*NtoN2O*kgtoGg</f>
        <v>4.4198595051439894E-2</v>
      </c>
      <c r="BN89" s="22">
        <f>'Activity data'!BN48*ttokg*ONEF*NtoN2O*kgtoGg</f>
        <v>4.4198595051439894E-2</v>
      </c>
      <c r="BO89" s="22">
        <f>'Activity data'!BO48*ttokg*ONEF*NtoN2O*kgtoGg</f>
        <v>4.4198595051439894E-2</v>
      </c>
      <c r="BP89" s="22">
        <f>'Activity data'!BP48*ttokg*ONEF*NtoN2O*kgtoGg</f>
        <v>4.4198595051439894E-2</v>
      </c>
    </row>
    <row r="90" spans="1:68" x14ac:dyDescent="0.25">
      <c r="A90" t="str">
        <f t="shared" ref="A90" si="30">A89</f>
        <v>3C Aggregated and non-CO2 emissions on land</v>
      </c>
      <c r="B90" t="str">
        <f>B89</f>
        <v>3C4 Direct N2O from managed soils (N2O)</v>
      </c>
      <c r="E90" t="s">
        <v>58</v>
      </c>
      <c r="F90" t="str">
        <f>F89</f>
        <v>N2O</v>
      </c>
      <c r="G90" t="str">
        <f>G89</f>
        <v>Gg N2O</v>
      </c>
      <c r="H90" s="22">
        <f>'Activity data'!H85*CREF*NtoN2O*kgtoGg</f>
        <v>9.5145328493987673</v>
      </c>
      <c r="I90" s="22">
        <f>'Activity data'!I85*CREF*NtoN2O*kgtoGg</f>
        <v>8.4807165475338557</v>
      </c>
      <c r="J90" s="22">
        <f>'Activity data'!J85*CREF*NtoN2O*kgtoGg</f>
        <v>8.8307250264890822</v>
      </c>
      <c r="K90" s="22">
        <f>'Activity data'!K85*CREF*NtoN2O*kgtoGg</f>
        <v>9.4837776749601197</v>
      </c>
      <c r="L90" s="22">
        <f>'Activity data'!L85*CREF*NtoN2O*kgtoGg</f>
        <v>10.001825653671295</v>
      </c>
      <c r="M90" s="22">
        <f>'Activity data'!M85*CREF*NtoN2O*kgtoGg</f>
        <v>7.7784758554023732</v>
      </c>
      <c r="N90" s="22">
        <f>'Activity data'!N85*CREF*NtoN2O*kgtoGg</f>
        <v>8.5678529665317189</v>
      </c>
      <c r="O90" s="22">
        <f>'Activity data'!O85*CREF*NtoN2O*kgtoGg</f>
        <v>9.0099546642841126</v>
      </c>
      <c r="P90" s="22">
        <f>'Activity data'!P85*CREF*NtoN2O*kgtoGg</f>
        <v>7.8511476996566865</v>
      </c>
      <c r="Q90" s="22">
        <f>'Activity data'!Q85*CREF*NtoN2O*kgtoGg</f>
        <v>7.7907864939862481</v>
      </c>
      <c r="R90" s="22">
        <f>'Activity data'!R85*CREF*NtoN2O*kgtoGg</f>
        <v>8.942157595447453</v>
      </c>
      <c r="S90" s="22">
        <f>'Activity data'!S85*CREF*NtoN2O*kgtoGg</f>
        <v>7.3038059468457632</v>
      </c>
      <c r="T90" s="22">
        <f>'Activity data'!T85*CREF*NtoN2O*kgtoGg</f>
        <v>7.9659865057844339</v>
      </c>
      <c r="U90" s="22">
        <f>'Activity data'!U85*CREF*NtoN2O*kgtoGg</f>
        <v>7.8603221261410496</v>
      </c>
      <c r="V90" s="22">
        <f>'Activity data'!V85*CREF*NtoN2O*kgtoGg</f>
        <v>7.0289769094831334</v>
      </c>
      <c r="W90" s="22">
        <f>'Activity data'!W85*CREF*NtoN2O*kgtoGg</f>
        <v>7.1397008149759484</v>
      </c>
      <c r="X90" s="22">
        <f>'Activity data'!X85*CREF*NtoN2O*kgtoGg</f>
        <v>4.8006705751691987</v>
      </c>
      <c r="Y90" s="22">
        <f>'Activity data'!Y85*CREF*NtoN2O*kgtoGg</f>
        <v>6.5079755078943382</v>
      </c>
      <c r="Z90" s="22">
        <f>'Activity data'!Z85*CREF*NtoN2O*kgtoGg</f>
        <v>7.4326985326734576</v>
      </c>
      <c r="AA90" s="22">
        <f>'Activity data'!AA85*CREF*NtoN2O*kgtoGg</f>
        <v>6.6040070990652842</v>
      </c>
      <c r="AB90" s="22">
        <f>'Activity data'!AB85*CREF*NtoN2O*kgtoGg</f>
        <v>7.210613978413642</v>
      </c>
      <c r="AC90" s="22">
        <f>'Activity data'!AC85*CREF*NtoN2O*kgtoGg</f>
        <v>6.6766473969928111</v>
      </c>
      <c r="AD90" s="22">
        <f>'Activity data'!AD85*CREF*NtoN2O*kgtoGg</f>
        <v>6.6773480553261297</v>
      </c>
      <c r="AE90" s="22">
        <f>'Activity data'!AE85*CREF*NtoN2O*kgtoGg</f>
        <v>6.6243993783399686</v>
      </c>
      <c r="AF90" s="22">
        <f>'Activity data'!AF85*CREF*NtoN2O*kgtoGg</f>
        <v>6.5713709003665777</v>
      </c>
      <c r="AG90" s="22">
        <f>'Activity data'!AG85*CREF*NtoN2O*kgtoGg</f>
        <v>6.5182030270312694</v>
      </c>
      <c r="AH90" s="22">
        <f>'Activity data'!AH85*CREF*NtoN2O*kgtoGg</f>
        <v>6.4605740040130772</v>
      </c>
      <c r="AI90" s="22">
        <f>'Activity data'!AI85*CREF*NtoN2O*kgtoGg</f>
        <v>6.4027229486533894</v>
      </c>
      <c r="AJ90" s="22">
        <f>'Activity data'!AJ85*CREF*NtoN2O*kgtoGg</f>
        <v>6.3449636266499745</v>
      </c>
      <c r="AK90" s="22">
        <f>'Activity data'!AK85*CREF*NtoN2O*kgtoGg</f>
        <v>6.2872937557017154</v>
      </c>
      <c r="AL90" s="22">
        <f>'Activity data'!AL85*CREF*NtoN2O*kgtoGg</f>
        <v>6.237702636124034</v>
      </c>
      <c r="AM90" s="22">
        <f>'Activity data'!AM85*CREF*NtoN2O*kgtoGg</f>
        <v>6.1777751512655694</v>
      </c>
      <c r="AN90" s="22">
        <f>'Activity data'!AN85*CREF*NtoN2O*kgtoGg</f>
        <v>6.1180708628197964</v>
      </c>
      <c r="AO90" s="22">
        <f>'Activity data'!AO85*CREF*NtoN2O*kgtoGg</f>
        <v>6.0584386779032826</v>
      </c>
      <c r="AP90" s="22">
        <f>'Activity data'!AP85*CREF*NtoN2O*kgtoGg</f>
        <v>6.057585066195343</v>
      </c>
      <c r="AQ90" s="22">
        <f>'Activity data'!AQ85*CREF*NtoN2O*kgtoGg</f>
        <v>6.0567222956503333</v>
      </c>
      <c r="AR90" s="22">
        <f>'Activity data'!AR85*CREF*NtoN2O*kgtoGg</f>
        <v>6.0556975826144663</v>
      </c>
      <c r="AS90" s="22">
        <f>'Activity data'!AS85*CREF*NtoN2O*kgtoGg</f>
        <v>6.0548068512347637</v>
      </c>
      <c r="AT90" s="22">
        <f>'Activity data'!AT85*CREF*NtoN2O*kgtoGg</f>
        <v>6.0539442487440125</v>
      </c>
      <c r="AU90" s="22">
        <f>'Activity data'!AU85*CREF*NtoN2O*kgtoGg</f>
        <v>6.0531413439167769</v>
      </c>
      <c r="AV90" s="22">
        <f>'Activity data'!AV85*CREF*NtoN2O*kgtoGg</f>
        <v>6.0523997109746182</v>
      </c>
      <c r="AW90" s="22">
        <f>'Activity data'!AW85*CREF*NtoN2O*kgtoGg</f>
        <v>6.0523997109746182</v>
      </c>
      <c r="AX90" s="22">
        <f>'Activity data'!AX85*CREF*NtoN2O*kgtoGg</f>
        <v>6.0523997109746182</v>
      </c>
      <c r="AY90" s="22">
        <f>'Activity data'!AY85*CREF*NtoN2O*kgtoGg</f>
        <v>6.0523997109746182</v>
      </c>
      <c r="AZ90" s="22">
        <f>'Activity data'!AZ85*CREF*NtoN2O*kgtoGg</f>
        <v>6.0523997109746182</v>
      </c>
      <c r="BA90" s="22">
        <f>'Activity data'!BA85*CREF*NtoN2O*kgtoGg</f>
        <v>6.0523997109746182</v>
      </c>
      <c r="BB90" s="22">
        <f>'Activity data'!BB85*CREF*NtoN2O*kgtoGg</f>
        <v>6.0523997109746182</v>
      </c>
      <c r="BC90" s="22">
        <f>'Activity data'!BC85*CREF*NtoN2O*kgtoGg</f>
        <v>6.0523997109746182</v>
      </c>
      <c r="BD90" s="22">
        <f>'Activity data'!BD85*CREF*NtoN2O*kgtoGg</f>
        <v>6.0523997109746182</v>
      </c>
      <c r="BE90" s="22">
        <f>'Activity data'!BE85*CREF*NtoN2O*kgtoGg</f>
        <v>6.0523997109746182</v>
      </c>
      <c r="BF90" s="22">
        <f>'Activity data'!BF85*CREF*NtoN2O*kgtoGg</f>
        <v>6.0523997109746182</v>
      </c>
      <c r="BG90" s="22">
        <f>'Activity data'!BG85*CREF*NtoN2O*kgtoGg</f>
        <v>6.0523997109746182</v>
      </c>
      <c r="BH90" s="22">
        <f>'Activity data'!BH85*CREF*NtoN2O*kgtoGg</f>
        <v>6.0523997109746182</v>
      </c>
      <c r="BI90" s="22">
        <f>'Activity data'!BI85*CREF*NtoN2O*kgtoGg</f>
        <v>6.0523997109746182</v>
      </c>
      <c r="BJ90" s="22">
        <f>'Activity data'!BJ85*CREF*NtoN2O*kgtoGg</f>
        <v>6.0523997109746182</v>
      </c>
      <c r="BK90" s="22">
        <f>'Activity data'!BK85*CREF*NtoN2O*kgtoGg</f>
        <v>6.0523997109746182</v>
      </c>
      <c r="BL90" s="22">
        <f>'Activity data'!BL85*CREF*NtoN2O*kgtoGg</f>
        <v>6.0523997109746182</v>
      </c>
      <c r="BM90" s="22">
        <f>'Activity data'!BM85*CREF*NtoN2O*kgtoGg</f>
        <v>6.0523997109746182</v>
      </c>
      <c r="BN90" s="22">
        <f>'Activity data'!BN85*CREF*NtoN2O*kgtoGg</f>
        <v>6.0523997109746182</v>
      </c>
      <c r="BO90" s="22">
        <f>'Activity data'!BO85*CREF*NtoN2O*kgtoGg</f>
        <v>6.0523997109746182</v>
      </c>
      <c r="BP90" s="22">
        <f>'Activity data'!BP85*CREF*NtoN2O*kgtoGg</f>
        <v>6.0523997109746182</v>
      </c>
    </row>
    <row r="91" spans="1:68" x14ac:dyDescent="0.25">
      <c r="A91" t="str">
        <f>A89</f>
        <v>3C Aggregated and non-CO2 emissions on land</v>
      </c>
      <c r="B91" t="str">
        <f>B89</f>
        <v>3C4 Direct N2O from managed soils (N2O)</v>
      </c>
      <c r="C91" t="s">
        <v>426</v>
      </c>
      <c r="D91" t="str">
        <f>'Activity data'!D50</f>
        <v xml:space="preserve"> - TMR</v>
      </c>
      <c r="E91" t="str">
        <f>C91&amp;D91</f>
        <v>MM emissions - TMR</v>
      </c>
      <c r="F91" t="str">
        <f>F89</f>
        <v>N2O</v>
      </c>
      <c r="G91" t="str">
        <f>G89</f>
        <v>Gg N2O</v>
      </c>
      <c r="H91" s="22">
        <f>'Activity data'!H50*ManureNEF*NtoN2O*kgtoGg</f>
        <v>0.26350583749371725</v>
      </c>
      <c r="I91" s="22">
        <f>'Activity data'!I50*ManureNEF*NtoN2O*kgtoGg</f>
        <v>0.30336366372659757</v>
      </c>
      <c r="J91" s="22">
        <f>'Activity data'!J50*ManureNEF*NtoN2O*kgtoGg</f>
        <v>0.26244882124379881</v>
      </c>
      <c r="K91" s="22">
        <f>'Activity data'!K50*ManureNEF*NtoN2O*kgtoGg</f>
        <v>0.27835157134088651</v>
      </c>
      <c r="L91" s="22">
        <f>'Activity data'!L50*ManureNEF*NtoN2O*kgtoGg</f>
        <v>0.25822075624412494</v>
      </c>
      <c r="M91" s="22">
        <f>'Activity data'!M50*ManureNEF*NtoN2O*kgtoGg</f>
        <v>0.27623753884104962</v>
      </c>
      <c r="N91" s="22">
        <f>'Activity data'!N50*ManureNEF*NtoN2O*kgtoGg</f>
        <v>0.27729455509096812</v>
      </c>
      <c r="O91" s="22">
        <f>'Activity data'!O50*ManureNEF*NtoN2O*kgtoGg</f>
        <v>0.26733009853274803</v>
      </c>
      <c r="P91" s="22">
        <f>'Activity data'!P50*ManureNEF*NtoN2O*kgtoGg</f>
        <v>0.26415904978299276</v>
      </c>
      <c r="Q91" s="22">
        <f>'Activity data'!Q50*ManureNEF*NtoN2O*kgtoGg</f>
        <v>0.25947967447436493</v>
      </c>
      <c r="R91" s="22">
        <f>'Activity data'!R50*ManureNEF*NtoN2O*kgtoGg</f>
        <v>0.33411214767085473</v>
      </c>
      <c r="S91" s="22">
        <f>'Activity data'!S50*ManureNEF*NtoN2O*kgtoGg</f>
        <v>0.33305513142093623</v>
      </c>
      <c r="T91" s="22">
        <f>'Activity data'!T50*ManureNEF*NtoN2O*kgtoGg</f>
        <v>0.29043006039894359</v>
      </c>
      <c r="U91" s="22">
        <f>'Activity data'!U50*ManureNEF*NtoN2O*kgtoGg</f>
        <v>0.26415904978299276</v>
      </c>
      <c r="V91" s="22">
        <f>'Activity data'!V50*ManureNEF*NtoN2O*kgtoGg</f>
        <v>0.25504970749436956</v>
      </c>
      <c r="W91" s="22">
        <f>'Activity data'!W50*ManureNEF*NtoN2O*kgtoGg</f>
        <v>0.27306649009129436</v>
      </c>
      <c r="X91" s="22">
        <f>'Activity data'!X50*ManureNEF*NtoN2O*kgtoGg</f>
        <v>0.26712819655242653</v>
      </c>
      <c r="Y91" s="22">
        <f>'Activity data'!Y50*ManureNEF*NtoN2O*kgtoGg</f>
        <v>0.26521606603291115</v>
      </c>
      <c r="Z91" s="22">
        <f>'Activity data'!Z50*ManureNEF*NtoN2O*kgtoGg</f>
        <v>0.32480090340191009</v>
      </c>
      <c r="AA91" s="22">
        <f>'Activity data'!AA50*ManureNEF*NtoN2O*kgtoGg</f>
        <v>0.33285322944061474</v>
      </c>
      <c r="AB91" s="22">
        <f>'Activity data'!AB50*ManureNEF*NtoN2O*kgtoGg</f>
        <v>0.33285322944061474</v>
      </c>
      <c r="AC91" s="22">
        <f>'Activity data'!AC50*ManureNEF*NtoN2O*kgtoGg</f>
        <v>0.32077474038255771</v>
      </c>
      <c r="AD91" s="22">
        <f>'Activity data'!AD50*ManureNEF*NtoN2O*kgtoGg</f>
        <v>0.3192154646047709</v>
      </c>
      <c r="AE91" s="22">
        <f>'Activity data'!AE50*ManureNEF*NtoN2O*kgtoGg</f>
        <v>0.32223693717257812</v>
      </c>
      <c r="AF91" s="22">
        <f>'Activity data'!AF50*ManureNEF*NtoN2O*kgtoGg</f>
        <v>0.32454314336285311</v>
      </c>
      <c r="AG91" s="22">
        <f>'Activity data'!AG50*ManureNEF*NtoN2O*kgtoGg</f>
        <v>0.32610263100987286</v>
      </c>
      <c r="AH91" s="22">
        <f>'Activity data'!AH50*ManureNEF*NtoN2O*kgtoGg</f>
        <v>0.32705407467334646</v>
      </c>
      <c r="AI91" s="22">
        <f>'Activity data'!AI50*ManureNEF*NtoN2O*kgtoGg</f>
        <v>0.32852557087813095</v>
      </c>
      <c r="AJ91" s="22">
        <f>'Activity data'!AJ50*ManureNEF*NtoN2O*kgtoGg</f>
        <v>0.32978602564919041</v>
      </c>
      <c r="AK91" s="22">
        <f>'Activity data'!AK50*ManureNEF*NtoN2O*kgtoGg</f>
        <v>0.33084865531506785</v>
      </c>
      <c r="AL91" s="22">
        <f>'Activity data'!AL50*ManureNEF*NtoN2O*kgtoGg</f>
        <v>0.32042331324023487</v>
      </c>
      <c r="AM91" s="22">
        <f>'Activity data'!AM50*ManureNEF*NtoN2O*kgtoGg</f>
        <v>0.32325221464333759</v>
      </c>
      <c r="AN91" s="22">
        <f>'Activity data'!AN50*ManureNEF*NtoN2O*kgtoGg</f>
        <v>0.32594118399746452</v>
      </c>
      <c r="AO91" s="22">
        <f>'Activity data'!AO50*ManureNEF*NtoN2O*kgtoGg</f>
        <v>0.32863927252804498</v>
      </c>
      <c r="AP91" s="22">
        <f>'Activity data'!AP50*ManureNEF*NtoN2O*kgtoGg</f>
        <v>0.33122014894033552</v>
      </c>
      <c r="AQ91" s="22">
        <f>'Activity data'!AQ50*ManureNEF*NtoN2O*kgtoGg</f>
        <v>0.33390193771435189</v>
      </c>
      <c r="AR91" s="22">
        <f>'Activity data'!AR50*ManureNEF*NtoN2O*kgtoGg</f>
        <v>0.337077934361183</v>
      </c>
      <c r="AS91" s="22">
        <f>'Activity data'!AS50*ManureNEF*NtoN2O*kgtoGg</f>
        <v>0.34019983514311752</v>
      </c>
      <c r="AT91" s="22">
        <f>'Activity data'!AT50*ManureNEF*NtoN2O*kgtoGg</f>
        <v>0.34344922657114729</v>
      </c>
      <c r="AU91" s="22">
        <f>'Activity data'!AU50*ManureNEF*NtoN2O*kgtoGg</f>
        <v>0.34678352273370616</v>
      </c>
      <c r="AV91" s="22">
        <f>'Activity data'!AV50*ManureNEF*NtoN2O*kgtoGg</f>
        <v>0.35020963078087275</v>
      </c>
      <c r="AW91" s="22">
        <f>'Activity data'!AW50*ManureNEF*NtoN2O*kgtoGg</f>
        <v>0.35429134470075313</v>
      </c>
      <c r="AX91" s="22">
        <f>'Activity data'!AX50*ManureNEF*NtoN2O*kgtoGg</f>
        <v>0.35813696675244644</v>
      </c>
      <c r="AY91" s="22">
        <f>'Activity data'!AY50*ManureNEF*NtoN2O*kgtoGg</f>
        <v>0.3623587618930672</v>
      </c>
      <c r="AZ91" s="22">
        <f>'Activity data'!AZ50*ManureNEF*NtoN2O*kgtoGg</f>
        <v>0.36681440074921057</v>
      </c>
      <c r="BA91" s="22">
        <f>'Activity data'!BA50*ManureNEF*NtoN2O*kgtoGg</f>
        <v>0.37150597723955858</v>
      </c>
      <c r="BB91" s="22">
        <f>'Activity data'!BB50*ManureNEF*NtoN2O*kgtoGg</f>
        <v>0.37626824290779104</v>
      </c>
      <c r="BC91" s="22">
        <f>'Activity data'!BC50*ManureNEF*NtoN2O*kgtoGg</f>
        <v>0.38115993060386988</v>
      </c>
      <c r="BD91" s="22">
        <f>'Activity data'!BD50*ManureNEF*NtoN2O*kgtoGg</f>
        <v>0.38605418281356768</v>
      </c>
      <c r="BE91" s="22">
        <f>'Activity data'!BE50*ManureNEF*NtoN2O*kgtoGg</f>
        <v>0.391069927773251</v>
      </c>
      <c r="BF91" s="22">
        <f>'Activity data'!BF50*ManureNEF*NtoN2O*kgtoGg</f>
        <v>0.39630291303716741</v>
      </c>
      <c r="BG91" s="22">
        <f>'Activity data'!BG50*ManureNEF*NtoN2O*kgtoGg</f>
        <v>0.40169667779651275</v>
      </c>
      <c r="BH91" s="22">
        <f>'Activity data'!BH50*ManureNEF*NtoN2O*kgtoGg</f>
        <v>0.40722983989616057</v>
      </c>
      <c r="BI91" s="22">
        <f>'Activity data'!BI50*ManureNEF*NtoN2O*kgtoGg</f>
        <v>0.41288247561859409</v>
      </c>
      <c r="BJ91" s="22">
        <f>'Activity data'!BJ50*ManureNEF*NtoN2O*kgtoGg</f>
        <v>0.41867590879398681</v>
      </c>
      <c r="BK91" s="22">
        <f>'Activity data'!BK50*ManureNEF*NtoN2O*kgtoGg</f>
        <v>0.42471147119475444</v>
      </c>
      <c r="BL91" s="22">
        <f>'Activity data'!BL50*ManureNEF*NtoN2O*kgtoGg</f>
        <v>0.43090842617842173</v>
      </c>
      <c r="BM91" s="22">
        <f>'Activity data'!BM50*ManureNEF*NtoN2O*kgtoGg</f>
        <v>0.43727333062485324</v>
      </c>
      <c r="BN91" s="22">
        <f>'Activity data'!BN50*ManureNEF*NtoN2O*kgtoGg</f>
        <v>0.44360030613859741</v>
      </c>
      <c r="BO91" s="22">
        <f>'Activity data'!BO50*ManureNEF*NtoN2O*kgtoGg</f>
        <v>0.45010475230254338</v>
      </c>
      <c r="BP91" s="22">
        <f>'Activity data'!BP50*ManureNEF*NtoN2O*kgtoGg</f>
        <v>0.45679664640822404</v>
      </c>
    </row>
    <row r="92" spans="1:68" x14ac:dyDescent="0.25">
      <c r="A92" t="str">
        <f t="shared" si="29"/>
        <v>3C Aggregated and non-CO2 emissions on land</v>
      </c>
      <c r="B92" t="str">
        <f t="shared" ref="B92:B135" si="31">B91</f>
        <v>3C4 Direct N2O from managed soils (N2O)</v>
      </c>
      <c r="C92" t="str">
        <f>C91</f>
        <v>MM emissions</v>
      </c>
      <c r="D92" t="str">
        <f>'Activity data'!D51</f>
        <v xml:space="preserve"> - Pasture</v>
      </c>
      <c r="E92" t="str">
        <f t="shared" ref="E92:E139" si="32">C92&amp;D92</f>
        <v>MM emissions - Pasture</v>
      </c>
      <c r="F92" t="str">
        <f t="shared" ref="F92:F106" si="33">F91</f>
        <v>N2O</v>
      </c>
      <c r="G92" t="str">
        <f t="shared" ref="G92:G106" si="34">G91</f>
        <v>Gg N2O</v>
      </c>
      <c r="H92" s="22">
        <f>'Activity data'!H51*ManureNEF*NtoN2O*kgtoGg</f>
        <v>0.76209725247791893</v>
      </c>
      <c r="I92" s="22">
        <f>'Activity data'!I51*ManureNEF*NtoN2O*kgtoGg</f>
        <v>0.87737188984736481</v>
      </c>
      <c r="J92" s="22">
        <f>'Activity data'!J51*ManureNEF*NtoN2O*kgtoGg</f>
        <v>0.75904020756555868</v>
      </c>
      <c r="K92" s="22">
        <f>'Activity data'!K51*ManureNEF*NtoN2O*kgtoGg</f>
        <v>0.80503327652792112</v>
      </c>
      <c r="L92" s="22">
        <f>'Activity data'!L51*ManureNEF*NtoN2O*kgtoGg</f>
        <v>0.74681202791611823</v>
      </c>
      <c r="M92" s="22">
        <f>'Activity data'!M51*ManureNEF*NtoN2O*kgtoGg</f>
        <v>0.79891918670320072</v>
      </c>
      <c r="N92" s="22">
        <f>'Activity data'!N51*ManureNEF*NtoN2O*kgtoGg</f>
        <v>0.80197623161556097</v>
      </c>
      <c r="O92" s="22">
        <f>'Activity data'!O51*ManureNEF*NtoN2O*kgtoGg</f>
        <v>0.77315757227319948</v>
      </c>
      <c r="P92" s="22">
        <f>'Activity data'!P51*ManureNEF*NtoN2O*kgtoGg</f>
        <v>0.76398643753611906</v>
      </c>
      <c r="Q92" s="22">
        <f>'Activity data'!Q51*ManureNEF*NtoN2O*kgtoGg</f>
        <v>0.75045300275555815</v>
      </c>
      <c r="R92" s="22">
        <f>'Activity data'!R51*ManureNEF*NtoN2O*kgtoGg</f>
        <v>0.96630098285972954</v>
      </c>
      <c r="S92" s="22">
        <f>'Activity data'!S51*ManureNEF*NtoN2O*kgtoGg</f>
        <v>0.9632439379473694</v>
      </c>
      <c r="T92" s="22">
        <f>'Activity data'!T51*ManureNEF*NtoN2O*kgtoGg</f>
        <v>0.83996602569500267</v>
      </c>
      <c r="U92" s="22">
        <f>'Activity data'!U51*ManureNEF*NtoN2O*kgtoGg</f>
        <v>0.76398643753611906</v>
      </c>
      <c r="V92" s="22">
        <f>'Activity data'!V51*ManureNEF*NtoN2O*kgtoGg</f>
        <v>0.73764089317903758</v>
      </c>
      <c r="W92" s="22">
        <f>'Activity data'!W51*ManureNEF*NtoN2O*kgtoGg</f>
        <v>0.78974805196612041</v>
      </c>
      <c r="X92" s="22">
        <f>'Activity data'!X51*ManureNEF*NtoN2O*kgtoGg</f>
        <v>0.77257364234611936</v>
      </c>
      <c r="Y92" s="22">
        <f>'Activity data'!Y51*ManureNEF*NtoN2O*kgtoGg</f>
        <v>0.7670434824484792</v>
      </c>
      <c r="Z92" s="22">
        <f>'Activity data'!Z51*ManureNEF*NtoN2O*kgtoGg</f>
        <v>0.93937150857556795</v>
      </c>
      <c r="AA92" s="22">
        <f>'Activity data'!AA51*ManureNEF*NtoN2O*kgtoGg</f>
        <v>0.96266000802028917</v>
      </c>
      <c r="AB92" s="22">
        <f>'Activity data'!AB51*ManureNEF*NtoN2O*kgtoGg</f>
        <v>0.96266000802028917</v>
      </c>
      <c r="AC92" s="22">
        <f>'Activity data'!AC51*ManureNEF*NtoN2O*kgtoGg</f>
        <v>0.92772725885320717</v>
      </c>
      <c r="AD92" s="22">
        <f>'Activity data'!AD51*ManureNEF*NtoN2O*kgtoGg</f>
        <v>0.92167290306016136</v>
      </c>
      <c r="AE92" s="22">
        <f>'Activity data'!AE51*ManureNEF*NtoN2O*kgtoGg</f>
        <v>0.93039682060762563</v>
      </c>
      <c r="AF92" s="22">
        <f>'Activity data'!AF51*ManureNEF*NtoN2O*kgtoGg</f>
        <v>0.93705554485545528</v>
      </c>
      <c r="AG92" s="22">
        <f>'Activity data'!AG51*ManureNEF*NtoN2O*kgtoGg</f>
        <v>0.94155826375942475</v>
      </c>
      <c r="AH92" s="22">
        <f>'Activity data'!AH51*ManureNEF*NtoN2O*kgtoGg</f>
        <v>0.94430537328464026</v>
      </c>
      <c r="AI92" s="22">
        <f>'Activity data'!AI51*ManureNEF*NtoN2O*kgtoGg</f>
        <v>0.94855403392075599</v>
      </c>
      <c r="AJ92" s="22">
        <f>'Activity data'!AJ51*ManureNEF*NtoN2O*kgtoGg</f>
        <v>0.95219335324213283</v>
      </c>
      <c r="AK92" s="22">
        <f>'Activity data'!AK51*ManureNEF*NtoN2O*kgtoGg</f>
        <v>0.95526149084079126</v>
      </c>
      <c r="AL92" s="22">
        <f>'Activity data'!AL51*ManureNEF*NtoN2O*kgtoGg</f>
        <v>0.92516033234145756</v>
      </c>
      <c r="AM92" s="22">
        <f>'Activity data'!AM51*ManureNEF*NtoN2O*kgtoGg</f>
        <v>0.93332823790297803</v>
      </c>
      <c r="AN92" s="22">
        <f>'Activity data'!AN51*ManureNEF*NtoN2O*kgtoGg</f>
        <v>0.94109211674238991</v>
      </c>
      <c r="AO92" s="22">
        <f>'Activity data'!AO51*ManureNEF*NtoN2O*kgtoGg</f>
        <v>0.94888232543974205</v>
      </c>
      <c r="AP92" s="22">
        <f>'Activity data'!AP51*ManureNEF*NtoN2O*kgtoGg</f>
        <v>0.95633410681975917</v>
      </c>
      <c r="AQ92" s="22">
        <f>'Activity data'!AQ51*ManureNEF*NtoN2O*kgtoGg</f>
        <v>0.96407725312315684</v>
      </c>
      <c r="AR92" s="22">
        <f>'Activity data'!AR51*ManureNEF*NtoN2O*kgtoGg</f>
        <v>0.97324732905672251</v>
      </c>
      <c r="AS92" s="22">
        <f>'Activity data'!AS51*ManureNEF*NtoN2O*kgtoGg</f>
        <v>0.98226121364503327</v>
      </c>
      <c r="AT92" s="22">
        <f>'Activity data'!AT51*ManureNEF*NtoN2O*kgtoGg</f>
        <v>0.9916432028113763</v>
      </c>
      <c r="AU92" s="22">
        <f>'Activity data'!AU51*ManureNEF*NtoN2O*kgtoGg</f>
        <v>1.0012703379741816</v>
      </c>
      <c r="AV92" s="22">
        <f>'Activity data'!AV51*ManureNEF*NtoN2O*kgtoGg</f>
        <v>1.0111625621931415</v>
      </c>
      <c r="AW92" s="22">
        <f>'Activity data'!AW51*ManureNEF*NtoN2O*kgtoGg</f>
        <v>1.0229477215451641</v>
      </c>
      <c r="AX92" s="22">
        <f>'Activity data'!AX51*ManureNEF*NtoN2O*kgtoGg</f>
        <v>1.0340512112988478</v>
      </c>
      <c r="AY92" s="22">
        <f>'Activity data'!AY51*ManureNEF*NtoN2O*kgtoGg</f>
        <v>1.046240828077593</v>
      </c>
      <c r="AZ92" s="22">
        <f>'Activity data'!AZ51*ManureNEF*NtoN2O*kgtoGg</f>
        <v>1.059105623348755</v>
      </c>
      <c r="BA92" s="22">
        <f>'Activity data'!BA51*ManureNEF*NtoN2O*kgtoGg</f>
        <v>1.0726516428974684</v>
      </c>
      <c r="BB92" s="22">
        <f>'Activity data'!BB51*ManureNEF*NtoN2O*kgtoGg</f>
        <v>1.0864017637727772</v>
      </c>
      <c r="BC92" s="22">
        <f>'Activity data'!BC51*ManureNEF*NtoN2O*kgtoGg</f>
        <v>1.100525565717307</v>
      </c>
      <c r="BD92" s="22">
        <f>'Activity data'!BD51*ManureNEF*NtoN2O*kgtoGg</f>
        <v>1.1146567721988159</v>
      </c>
      <c r="BE92" s="22">
        <f>'Activity data'!BE51*ManureNEF*NtoN2O*kgtoGg</f>
        <v>1.1291387654936089</v>
      </c>
      <c r="BF92" s="22">
        <f>'Activity data'!BF51*ManureNEF*NtoN2O*kgtoGg</f>
        <v>1.1442479981425864</v>
      </c>
      <c r="BG92" s="22">
        <f>'Activity data'!BG51*ManureNEF*NtoN2O*kgtoGg</f>
        <v>1.1598214504824489</v>
      </c>
      <c r="BH92" s="22">
        <f>'Activity data'!BH51*ManureNEF*NtoN2O*kgtoGg</f>
        <v>1.1757973856765627</v>
      </c>
      <c r="BI92" s="22">
        <f>'Activity data'!BI51*ManureNEF*NtoN2O*kgtoGg</f>
        <v>1.1921182778447645</v>
      </c>
      <c r="BJ92" s="22">
        <f>'Activity data'!BJ51*ManureNEF*NtoN2O*kgtoGg</f>
        <v>1.2088456954216678</v>
      </c>
      <c r="BK92" s="22">
        <f>'Activity data'!BK51*ManureNEF*NtoN2O*kgtoGg</f>
        <v>1.2262722142978881</v>
      </c>
      <c r="BL92" s="22">
        <f>'Activity data'!BL51*ManureNEF*NtoN2O*kgtoGg</f>
        <v>1.2441647230364647</v>
      </c>
      <c r="BM92" s="22">
        <f>'Activity data'!BM51*ManureNEF*NtoN2O*kgtoGg</f>
        <v>1.2625421533596044</v>
      </c>
      <c r="BN92" s="22">
        <f>'Activity data'!BN51*ManureNEF*NtoN2O*kgtoGg</f>
        <v>1.2808100712268145</v>
      </c>
      <c r="BO92" s="22">
        <f>'Activity data'!BO51*ManureNEF*NtoN2O*kgtoGg</f>
        <v>1.2995904012654773</v>
      </c>
      <c r="BP92" s="22">
        <f>'Activity data'!BP51*ManureNEF*NtoN2O*kgtoGg</f>
        <v>1.3189119509748257</v>
      </c>
    </row>
    <row r="93" spans="1:68" x14ac:dyDescent="0.25">
      <c r="A93" t="str">
        <f t="shared" si="29"/>
        <v>3C Aggregated and non-CO2 emissions on land</v>
      </c>
      <c r="B93" t="str">
        <f t="shared" si="31"/>
        <v>3C4 Direct N2O from managed soils (N2O)</v>
      </c>
      <c r="C93" t="str">
        <f t="shared" ref="C93:C106" si="35">C92</f>
        <v>MM emissions</v>
      </c>
      <c r="D93" t="str">
        <f>'Activity data'!D52</f>
        <v xml:space="preserve"> - Non-lactating</v>
      </c>
      <c r="E93" t="str">
        <f t="shared" si="32"/>
        <v>MM emissions - Non-lactating</v>
      </c>
      <c r="F93" t="str">
        <f t="shared" si="33"/>
        <v>N2O</v>
      </c>
      <c r="G93" t="str">
        <f t="shared" si="34"/>
        <v>Gg N2O</v>
      </c>
      <c r="H93" s="22">
        <f>'Activity data'!H52*ManureNEF*NtoN2O*kgtoGg</f>
        <v>4.8126809955822768E-2</v>
      </c>
      <c r="I93" s="22">
        <f>'Activity data'!I52*ManureNEF*NtoN2O*kgtoGg</f>
        <v>5.4703801917722318E-2</v>
      </c>
      <c r="J93" s="22">
        <f>'Activity data'!J52*ManureNEF*NtoN2O*kgtoGg</f>
        <v>4.73189311103272E-2</v>
      </c>
      <c r="K93" s="22">
        <f>'Activity data'!K52*ManureNEF*NtoN2O*kgtoGg</f>
        <v>4.9520758530788335E-2</v>
      </c>
      <c r="L93" s="22">
        <f>'Activity data'!L52*ManureNEF*NtoN2O*kgtoGg</f>
        <v>4.4087415728345042E-2</v>
      </c>
      <c r="M93" s="22">
        <f>'Activity data'!M52*ManureNEF*NtoN2O*kgtoGg</f>
        <v>4.7905000839797235E-2</v>
      </c>
      <c r="N93" s="22">
        <f>'Activity data'!N52*ManureNEF*NtoN2O*kgtoGg</f>
        <v>4.8712879685292768E-2</v>
      </c>
      <c r="O93" s="22">
        <f>'Activity data'!O52*ManureNEF*NtoN2O*kgtoGg</f>
        <v>4.7068631694817883E-2</v>
      </c>
      <c r="P93" s="22">
        <f>'Activity data'!P52*ManureNEF*NtoN2O*kgtoGg</f>
        <v>4.4644995158331258E-2</v>
      </c>
      <c r="Q93" s="22">
        <f>'Activity data'!Q52*ManureNEF*NtoN2O*kgtoGg</f>
        <v>4.7040141395334092E-2</v>
      </c>
      <c r="R93" s="22">
        <f>'Activity data'!R52*ManureNEF*NtoN2O*kgtoGg</f>
        <v>5.8299577913148978E-2</v>
      </c>
      <c r="S93" s="22">
        <f>'Activity data'!S52*ManureNEF*NtoN2O*kgtoGg</f>
        <v>5.7491699067653446E-2</v>
      </c>
      <c r="T93" s="22">
        <f>'Activity data'!T52*ManureNEF*NtoN2O*kgtoGg</f>
        <v>5.2780764212254298E-2</v>
      </c>
      <c r="U93" s="22">
        <f>'Activity data'!U52*ManureNEF*NtoN2O*kgtoGg</f>
        <v>4.4644995158331258E-2</v>
      </c>
      <c r="V93" s="22">
        <f>'Activity data'!V52*ManureNEF*NtoN2O*kgtoGg</f>
        <v>4.1663779191858388E-2</v>
      </c>
      <c r="W93" s="22">
        <f>'Activity data'!W52*ManureNEF*NtoN2O*kgtoGg</f>
        <v>4.5481364303310602E-2</v>
      </c>
      <c r="X93" s="22">
        <f>'Activity data'!X52*ManureNEF*NtoN2O*kgtoGg</f>
        <v>4.4923784873324366E-2</v>
      </c>
      <c r="Y93" s="22">
        <f>'Activity data'!Y52*ManureNEF*NtoN2O*kgtoGg</f>
        <v>4.5452874003826804E-2</v>
      </c>
      <c r="Z93" s="22">
        <f>'Activity data'!Z52*ManureNEF*NtoN2O*kgtoGg</f>
        <v>5.3173515125182619E-2</v>
      </c>
      <c r="AA93" s="22">
        <f>'Activity data'!AA52*ManureNEF*NtoN2O*kgtoGg</f>
        <v>5.5346852246159921E-2</v>
      </c>
      <c r="AB93" s="22">
        <f>'Activity data'!AB52*ManureNEF*NtoN2O*kgtoGg</f>
        <v>5.5346852246159921E-2</v>
      </c>
      <c r="AC93" s="22">
        <f>'Activity data'!AC52*ManureNEF*NtoN2O*kgtoGg</f>
        <v>5.2086846564693957E-2</v>
      </c>
      <c r="AD93" s="22">
        <f>'Activity data'!AD52*ManureNEF*NtoN2O*kgtoGg</f>
        <v>5.2996284737125532E-2</v>
      </c>
      <c r="AE93" s="22">
        <f>'Activity data'!AE52*ManureNEF*NtoN2O*kgtoGg</f>
        <v>5.3456353462865334E-2</v>
      </c>
      <c r="AF93" s="22">
        <f>'Activity data'!AF52*ManureNEF*NtoN2O*kgtoGg</f>
        <v>5.3807511158142085E-2</v>
      </c>
      <c r="AG93" s="22">
        <f>'Activity data'!AG52*ManureNEF*NtoN2O*kgtoGg</f>
        <v>5.4044968715167681E-2</v>
      </c>
      <c r="AH93" s="22">
        <f>'Activity data'!AH52*ManureNEF*NtoN2O*kgtoGg</f>
        <v>5.4189841608779675E-2</v>
      </c>
      <c r="AI93" s="22">
        <f>'Activity data'!AI52*ManureNEF*NtoN2O*kgtoGg</f>
        <v>5.4413901026389253E-2</v>
      </c>
      <c r="AJ93" s="22">
        <f>'Activity data'!AJ52*ManureNEF*NtoN2O*kgtoGg</f>
        <v>5.4605825926371004E-2</v>
      </c>
      <c r="AK93" s="22">
        <f>'Activity data'!AK52*ManureNEF*NtoN2O*kgtoGg</f>
        <v>5.4767628711384644E-2</v>
      </c>
      <c r="AL93" s="22">
        <f>'Activity data'!AL52*ManureNEF*NtoN2O*kgtoGg</f>
        <v>5.3180199490655042E-2</v>
      </c>
      <c r="AM93" s="22">
        <f>'Activity data'!AM52*ManureNEF*NtoN2O*kgtoGg</f>
        <v>5.3610946099985859E-2</v>
      </c>
      <c r="AN93" s="22">
        <f>'Activity data'!AN52*ManureNEF*NtoN2O*kgtoGg</f>
        <v>5.4020385761125791E-2</v>
      </c>
      <c r="AO93" s="22">
        <f>'Activity data'!AO52*ManureNEF*NtoN2O*kgtoGg</f>
        <v>5.4431213966360234E-2</v>
      </c>
      <c r="AP93" s="22">
        <f>'Activity data'!AP52*ManureNEF*NtoN2O*kgtoGg</f>
        <v>5.4824194705270682E-2</v>
      </c>
      <c r="AQ93" s="22">
        <f>'Activity data'!AQ52*ManureNEF*NtoN2O*kgtoGg</f>
        <v>5.523254100538634E-2</v>
      </c>
      <c r="AR93" s="22">
        <f>'Activity data'!AR52*ManureNEF*NtoN2O*kgtoGg</f>
        <v>5.5716138555081104E-2</v>
      </c>
      <c r="AS93" s="22">
        <f>'Activity data'!AS52*ManureNEF*NtoN2O*kgtoGg</f>
        <v>5.6191499122618241E-2</v>
      </c>
      <c r="AT93" s="22">
        <f>'Activity data'!AT52*ManureNEF*NtoN2O*kgtoGg</f>
        <v>5.6686272230821094E-2</v>
      </c>
      <c r="AU93" s="22">
        <f>'Activity data'!AU52*ManureNEF*NtoN2O*kgtoGg</f>
        <v>5.7193973476595043E-2</v>
      </c>
      <c r="AV93" s="22">
        <f>'Activity data'!AV52*ManureNEF*NtoN2O*kgtoGg</f>
        <v>5.771565458676009E-2</v>
      </c>
      <c r="AW93" s="22">
        <f>'Activity data'!AW52*ManureNEF*NtoN2O*kgtoGg</f>
        <v>5.8337162437588165E-2</v>
      </c>
      <c r="AX93" s="22">
        <f>'Activity data'!AX52*ManureNEF*NtoN2O*kgtoGg</f>
        <v>5.8922721431520532E-2</v>
      </c>
      <c r="AY93" s="22">
        <f>'Activity data'!AY52*ManureNEF*NtoN2O*kgtoGg</f>
        <v>5.9565558944385866E-2</v>
      </c>
      <c r="AZ93" s="22">
        <f>'Activity data'!AZ52*ManureNEF*NtoN2O*kgtoGg</f>
        <v>6.0244002996052488E-2</v>
      </c>
      <c r="BA93" s="22">
        <f>'Activity data'!BA52*ManureNEF*NtoN2O*kgtoGg</f>
        <v>6.0958372419962804E-2</v>
      </c>
      <c r="BB93" s="22">
        <f>'Activity data'!BB52*ManureNEF*NtoN2O*kgtoGg</f>
        <v>6.1683505429926962E-2</v>
      </c>
      <c r="BC93" s="22">
        <f>'Activity data'!BC52*ManureNEF*NtoN2O*kgtoGg</f>
        <v>6.2428345065087196E-2</v>
      </c>
      <c r="BD93" s="22">
        <f>'Activity data'!BD52*ManureNEF*NtoN2O*kgtoGg</f>
        <v>6.3173575189482828E-2</v>
      </c>
      <c r="BE93" s="22">
        <f>'Activity data'!BE52*ManureNEF*NtoN2O*kgtoGg</f>
        <v>6.393730457654527E-2</v>
      </c>
      <c r="BF93" s="22">
        <f>'Activity data'!BF52*ManureNEF*NtoN2O*kgtoGg</f>
        <v>6.4734112360880863E-2</v>
      </c>
      <c r="BG93" s="22">
        <f>'Activity data'!BG52*ManureNEF*NtoN2O*kgtoGg</f>
        <v>6.5555401458856438E-2</v>
      </c>
      <c r="BH93" s="22">
        <f>'Activity data'!BH52*ManureNEF*NtoN2O*kgtoGg</f>
        <v>6.6397916086862574E-2</v>
      </c>
      <c r="BI93" s="22">
        <f>'Activity data'!BI52*ManureNEF*NtoN2O*kgtoGg</f>
        <v>6.7258622532322274E-2</v>
      </c>
      <c r="BJ93" s="22">
        <f>'Activity data'!BJ52*ManureNEF*NtoN2O*kgtoGg</f>
        <v>6.8140767697914856E-2</v>
      </c>
      <c r="BK93" s="22">
        <f>'Activity data'!BK52*ManureNEF*NtoN2O*kgtoGg</f>
        <v>6.9059781006997986E-2</v>
      </c>
      <c r="BL93" s="22">
        <f>'Activity data'!BL52*ManureNEF*NtoN2O*kgtoGg</f>
        <v>7.0003368982338054E-2</v>
      </c>
      <c r="BM93" s="22">
        <f>'Activity data'!BM52*ManureNEF*NtoN2O*kgtoGg</f>
        <v>7.0972530016373339E-2</v>
      </c>
      <c r="BN93" s="22">
        <f>'Activity data'!BN52*ManureNEF*NtoN2O*kgtoGg</f>
        <v>7.1935915748684631E-2</v>
      </c>
      <c r="BO93" s="22">
        <f>'Activity data'!BO52*ManureNEF*NtoN2O*kgtoGg</f>
        <v>7.2926324296547634E-2</v>
      </c>
      <c r="BP93" s="22">
        <f>'Activity data'!BP52*ManureNEF*NtoN2O*kgtoGg</f>
        <v>7.3945274866143773E-2</v>
      </c>
    </row>
    <row r="94" spans="1:68" x14ac:dyDescent="0.25">
      <c r="A94" t="str">
        <f t="shared" si="29"/>
        <v>3C Aggregated and non-CO2 emissions on land</v>
      </c>
      <c r="B94" t="str">
        <f t="shared" si="31"/>
        <v>3C4 Direct N2O from managed soils (N2O)</v>
      </c>
      <c r="C94" t="str">
        <f t="shared" si="35"/>
        <v>MM emissions</v>
      </c>
      <c r="D94" t="str">
        <f>'Activity data'!D53</f>
        <v xml:space="preserve"> - Commercial cattle</v>
      </c>
      <c r="E94" t="str">
        <f t="shared" si="32"/>
        <v>MM emissions - Commercial cattle</v>
      </c>
      <c r="F94" t="str">
        <f t="shared" si="33"/>
        <v>N2O</v>
      </c>
      <c r="G94" t="str">
        <f t="shared" si="34"/>
        <v>Gg N2O</v>
      </c>
      <c r="H94" s="22">
        <f>'Activity data'!H53*ManureNEF*NtoN2O*kgtoGg</f>
        <v>0.45791661524455107</v>
      </c>
      <c r="I94" s="22">
        <f>'Activity data'!I53*ManureNEF*NtoN2O*kgtoGg</f>
        <v>0.43815199614411882</v>
      </c>
      <c r="J94" s="22">
        <f>'Activity data'!J53*ManureNEF*NtoN2O*kgtoGg</f>
        <v>0.43799279906939059</v>
      </c>
      <c r="K94" s="22">
        <f>'Activity data'!K53*ManureNEF*NtoN2O*kgtoGg</f>
        <v>0.40975782084523449</v>
      </c>
      <c r="L94" s="22">
        <f>'Activity data'!L53*ManureNEF*NtoN2O*kgtoGg</f>
        <v>0.42211070778300469</v>
      </c>
      <c r="M94" s="22">
        <f>'Activity data'!M53*ManureNEF*NtoN2O*kgtoGg</f>
        <v>0.43170820906450869</v>
      </c>
      <c r="N94" s="22">
        <f>'Activity data'!N53*ManureNEF*NtoN2O*kgtoGg</f>
        <v>0.44961687239500847</v>
      </c>
      <c r="O94" s="22">
        <f>'Activity data'!O53*ManureNEF*NtoN2O*kgtoGg</f>
        <v>0.46664894423808073</v>
      </c>
      <c r="P94" s="22">
        <f>'Activity data'!P53*ManureNEF*NtoN2O*kgtoGg</f>
        <v>0.47069066912685531</v>
      </c>
      <c r="Q94" s="22">
        <f>'Activity data'!Q53*ManureNEF*NtoN2O*kgtoGg</f>
        <v>0.46307406309165272</v>
      </c>
      <c r="R94" s="22">
        <f>'Activity data'!R53*ManureNEF*NtoN2O*kgtoGg</f>
        <v>0.43161685546888418</v>
      </c>
      <c r="S94" s="22">
        <f>'Activity data'!S53*ManureNEF*NtoN2O*kgtoGg</f>
        <v>0.43385972058499156</v>
      </c>
      <c r="T94" s="22">
        <f>'Activity data'!T53*ManureNEF*NtoN2O*kgtoGg</f>
        <v>0.40436124152723313</v>
      </c>
      <c r="U94" s="22">
        <f>'Activity data'!U53*ManureNEF*NtoN2O*kgtoGg</f>
        <v>0.41493810709124229</v>
      </c>
      <c r="V94" s="22">
        <f>'Activity data'!V53*ManureNEF*NtoN2O*kgtoGg</f>
        <v>0.41876353890802326</v>
      </c>
      <c r="W94" s="22">
        <f>'Activity data'!W53*ManureNEF*NtoN2O*kgtoGg</f>
        <v>0.42231558165554511</v>
      </c>
      <c r="X94" s="22">
        <f>'Activity data'!X53*ManureNEF*NtoN2O*kgtoGg</f>
        <v>0.41269524197513491</v>
      </c>
      <c r="Y94" s="22">
        <f>'Activity data'!Y53*ManureNEF*NtoN2O*kgtoGg</f>
        <v>0.42478615904309913</v>
      </c>
      <c r="Z94" s="22">
        <f>'Activity data'!Z53*ManureNEF*NtoN2O*kgtoGg</f>
        <v>0.41298221653315503</v>
      </c>
      <c r="AA94" s="22">
        <f>'Activity data'!AA53*ManureNEF*NtoN2O*kgtoGg</f>
        <v>0.40604796364174167</v>
      </c>
      <c r="AB94" s="22">
        <f>'Activity data'!AB53*ManureNEF*NtoN2O*kgtoGg</f>
        <v>0.40477150425581887</v>
      </c>
      <c r="AC94" s="22">
        <f>'Activity data'!AC53*ManureNEF*NtoN2O*kgtoGg</f>
        <v>0.40331805287602013</v>
      </c>
      <c r="AD94" s="22">
        <f>'Activity data'!AD53*ManureNEF*NtoN2O*kgtoGg</f>
        <v>0.40027166190247387</v>
      </c>
      <c r="AE94" s="22">
        <f>'Activity data'!AE53*ManureNEF*NtoN2O*kgtoGg</f>
        <v>0.39802220634013841</v>
      </c>
      <c r="AF94" s="22">
        <f>'Activity data'!AF53*ManureNEF*NtoN2O*kgtoGg</f>
        <v>0.39643215871435339</v>
      </c>
      <c r="AG94" s="22">
        <f>'Activity data'!AG53*ManureNEF*NtoN2O*kgtoGg</f>
        <v>0.39547442612205885</v>
      </c>
      <c r="AH94" s="22">
        <f>'Activity data'!AH53*ManureNEF*NtoN2O*kgtoGg</f>
        <v>0.39503195488042081</v>
      </c>
      <c r="AI94" s="22">
        <f>'Activity data'!AI53*ManureNEF*NtoN2O*kgtoGg</f>
        <v>0.39418988531360488</v>
      </c>
      <c r="AJ94" s="22">
        <f>'Activity data'!AJ53*ManureNEF*NtoN2O*kgtoGg</f>
        <v>0.39352089725442235</v>
      </c>
      <c r="AK94" s="22">
        <f>'Activity data'!AK53*ManureNEF*NtoN2O*kgtoGg</f>
        <v>0.39300909530073558</v>
      </c>
      <c r="AL94" s="22">
        <f>'Activity data'!AL53*ManureNEF*NtoN2O*kgtoGg</f>
        <v>0.40183780162623345</v>
      </c>
      <c r="AM94" s="22">
        <f>'Activity data'!AM53*ManureNEF*NtoN2O*kgtoGg</f>
        <v>0.39972776651618508</v>
      </c>
      <c r="AN94" s="22">
        <f>'Activity data'!AN53*ManureNEF*NtoN2O*kgtoGg</f>
        <v>0.39780796570450611</v>
      </c>
      <c r="AO94" s="22">
        <f>'Activity data'!AO53*ManureNEF*NtoN2O*kgtoGg</f>
        <v>0.39594337468464147</v>
      </c>
      <c r="AP94" s="22">
        <f>'Activity data'!AP53*ManureNEF*NtoN2O*kgtoGg</f>
        <v>0.39422826865670729</v>
      </c>
      <c r="AQ94" s="22">
        <f>'Activity data'!AQ53*ManureNEF*NtoN2O*kgtoGg</f>
        <v>0.39248751079334881</v>
      </c>
      <c r="AR94" s="22">
        <f>'Activity data'!AR53*ManureNEF*NtoN2O*kgtoGg</f>
        <v>0.39046357014664457</v>
      </c>
      <c r="AS94" s="22">
        <f>'Activity data'!AS53*ManureNEF*NtoN2O*kgtoGg</f>
        <v>0.38854676895910401</v>
      </c>
      <c r="AT94" s="22">
        <f>'Activity data'!AT53*ManureNEF*NtoN2O*kgtoGg</f>
        <v>0.38660598269566587</v>
      </c>
      <c r="AU94" s="22">
        <f>'Activity data'!AU53*ManureNEF*NtoN2O*kgtoGg</f>
        <v>0.38467349644224835</v>
      </c>
      <c r="AV94" s="22">
        <f>'Activity data'!AV53*ManureNEF*NtoN2O*kgtoGg</f>
        <v>0.38274624944800301</v>
      </c>
      <c r="AW94" s="22">
        <f>'Activity data'!AW53*ManureNEF*NtoN2O*kgtoGg</f>
        <v>0.38630769742903975</v>
      </c>
      <c r="AX94" s="22">
        <f>'Activity data'!AX53*ManureNEF*NtoN2O*kgtoGg</f>
        <v>0.38799342292268879</v>
      </c>
      <c r="AY94" s="22">
        <f>'Activity data'!AY53*ManureNEF*NtoN2O*kgtoGg</f>
        <v>0.39025378926741888</v>
      </c>
      <c r="AZ94" s="22">
        <f>'Activity data'!AZ53*ManureNEF*NtoN2O*kgtoGg</f>
        <v>0.39241443275369287</v>
      </c>
      <c r="BA94" s="22">
        <f>'Activity data'!BA53*ManureNEF*NtoN2O*kgtoGg</f>
        <v>0.39439344832387918</v>
      </c>
      <c r="BB94" s="22">
        <f>'Activity data'!BB53*ManureNEF*NtoN2O*kgtoGg</f>
        <v>0.39547049048743615</v>
      </c>
      <c r="BC94" s="22">
        <f>'Activity data'!BC53*ManureNEF*NtoN2O*kgtoGg</f>
        <v>0.3958754342256019</v>
      </c>
      <c r="BD94" s="22">
        <f>'Activity data'!BD53*ManureNEF*NtoN2O*kgtoGg</f>
        <v>0.39515065623990908</v>
      </c>
      <c r="BE94" s="22">
        <f>'Activity data'!BE53*ManureNEF*NtoN2O*kgtoGg</f>
        <v>0.39366262391542672</v>
      </c>
      <c r="BF94" s="22">
        <f>'Activity data'!BF53*ManureNEF*NtoN2O*kgtoGg</f>
        <v>0.3916484881396109</v>
      </c>
      <c r="BG94" s="22">
        <f>'Activity data'!BG53*ManureNEF*NtoN2O*kgtoGg</f>
        <v>0.39306362914961657</v>
      </c>
      <c r="BH94" s="22">
        <f>'Activity data'!BH53*ManureNEF*NtoN2O*kgtoGg</f>
        <v>0.39392714040035126</v>
      </c>
      <c r="BI94" s="22">
        <f>'Activity data'!BI53*ManureNEF*NtoN2O*kgtoGg</f>
        <v>0.39414573153128063</v>
      </c>
      <c r="BJ94" s="22">
        <f>'Activity data'!BJ53*ManureNEF*NtoN2O*kgtoGg</f>
        <v>0.39374013831594751</v>
      </c>
      <c r="BK94" s="22">
        <f>'Activity data'!BK53*ManureNEF*NtoN2O*kgtoGg</f>
        <v>0.392921684802292</v>
      </c>
      <c r="BL94" s="22">
        <f>'Activity data'!BL53*ManureNEF*NtoN2O*kgtoGg</f>
        <v>0.3914693514142682</v>
      </c>
      <c r="BM94" s="22">
        <f>'Activity data'!BM53*ManureNEF*NtoN2O*kgtoGg</f>
        <v>0.38930729563838379</v>
      </c>
      <c r="BN94" s="22">
        <f>'Activity data'!BN53*ManureNEF*NtoN2O*kgtoGg</f>
        <v>0.38593498401522291</v>
      </c>
      <c r="BO94" s="22">
        <f>'Activity data'!BO53*ManureNEF*NtoN2O*kgtoGg</f>
        <v>0.38181597450417382</v>
      </c>
      <c r="BP94" s="22">
        <f>'Activity data'!BP53*ManureNEF*NtoN2O*kgtoGg</f>
        <v>0.37691937073503801</v>
      </c>
    </row>
    <row r="95" spans="1:68" x14ac:dyDescent="0.25">
      <c r="A95" t="str">
        <f t="shared" si="29"/>
        <v>3C Aggregated and non-CO2 emissions on land</v>
      </c>
      <c r="B95" t="str">
        <f t="shared" si="31"/>
        <v>3C4 Direct N2O from managed soils (N2O)</v>
      </c>
      <c r="C95" t="str">
        <f t="shared" si="35"/>
        <v>MM emissions</v>
      </c>
      <c r="D95" t="str">
        <f>'Activity data'!D54</f>
        <v xml:space="preserve"> - Subsistence cattle</v>
      </c>
      <c r="E95" t="str">
        <f t="shared" si="32"/>
        <v>MM emissions - Subsistence cattle</v>
      </c>
      <c r="F95" t="str">
        <f t="shared" si="33"/>
        <v>N2O</v>
      </c>
      <c r="G95" t="str">
        <f t="shared" si="34"/>
        <v>Gg N2O</v>
      </c>
      <c r="H95" s="22">
        <f>'Activity data'!H54*ManureNEF*NtoN2O*kgtoGg</f>
        <v>2.8664718401456799</v>
      </c>
      <c r="I95" s="22">
        <f>'Activity data'!I54*ManureNEF*NtoN2O*kgtoGg</f>
        <v>3.0881322284873498</v>
      </c>
      <c r="J95" s="22">
        <f>'Activity data'!J54*ManureNEF*NtoN2O*kgtoGg</f>
        <v>3.1183586450793963</v>
      </c>
      <c r="K95" s="22">
        <f>'Activity data'!K54*ManureNEF*NtoN2O*kgtoGg</f>
        <v>3.1183586450793954</v>
      </c>
      <c r="L95" s="22">
        <f>'Activity data'!L54*ManureNEF*NtoN2O*kgtoGg</f>
        <v>2.7405284376788228</v>
      </c>
      <c r="M95" s="22">
        <f>'Activity data'!M54*ManureNEF*NtoN2O*kgtoGg</f>
        <v>2.7052642849881026</v>
      </c>
      <c r="N95" s="22">
        <f>'Activity data'!N54*ManureNEF*NtoN2O*kgtoGg</f>
        <v>2.7707548542708689</v>
      </c>
      <c r="O95" s="22">
        <f>'Activity data'!O54*ManureNEF*NtoN2O*kgtoGg</f>
        <v>2.8513586318496573</v>
      </c>
      <c r="P95" s="22">
        <f>'Activity data'!P54*ManureNEF*NtoN2O*kgtoGg</f>
        <v>2.9773020343165162</v>
      </c>
      <c r="Q95" s="22">
        <f>'Activity data'!Q54*ManureNEF*NtoN2O*kgtoGg</f>
        <v>3.0830944923886752</v>
      </c>
      <c r="R95" s="22">
        <f>'Activity data'!R54*ManureNEF*NtoN2O*kgtoGg</f>
        <v>3.1687360060661396</v>
      </c>
      <c r="S95" s="22">
        <f>'Activity data'!S54*ManureNEF*NtoN2O*kgtoGg</f>
        <v>3.1032454367833733</v>
      </c>
      <c r="T95" s="22">
        <f>'Activity data'!T54*ManureNEF*NtoN2O*kgtoGg</f>
        <v>3.3500945056184142</v>
      </c>
      <c r="U95" s="22">
        <f>'Activity data'!U54*ManureNEF*NtoN2O*kgtoGg</f>
        <v>3.3450567695197408</v>
      </c>
      <c r="V95" s="22">
        <f>'Activity data'!V54*ManureNEF*NtoN2O*kgtoGg</f>
        <v>3.2745284641383003</v>
      </c>
      <c r="W95" s="22">
        <f>'Activity data'!W54*ManureNEF*NtoN2O*kgtoGg</f>
        <v>3.234226575348905</v>
      </c>
      <c r="X95" s="22">
        <f>'Activity data'!X54*ManureNEF*NtoN2O*kgtoGg</f>
        <v>3.3097926168290197</v>
      </c>
      <c r="Y95" s="22">
        <f>'Activity data'!Y54*ManureNEF*NtoN2O*kgtoGg</f>
        <v>3.4206228109998542</v>
      </c>
      <c r="Z95" s="22">
        <f>'Activity data'!Z54*ManureNEF*NtoN2O*kgtoGg</f>
        <v>3.4861133802826214</v>
      </c>
      <c r="AA95" s="22">
        <f>'Activity data'!AA54*ManureNEF*NtoN2O*kgtoGg</f>
        <v>3.4760379080852726</v>
      </c>
      <c r="AB95" s="22">
        <f>'Activity data'!AB54*ManureNEF*NtoN2O*kgtoGg</f>
        <v>3.4357360192958781</v>
      </c>
      <c r="AC95" s="22">
        <f>'Activity data'!AC54*ManureNEF*NtoN2O*kgtoGg</f>
        <v>3.4256605470985289</v>
      </c>
      <c r="AD95" s="22">
        <f>'Activity data'!AD54*ManureNEF*NtoN2O*kgtoGg</f>
        <v>3.3991055117966584</v>
      </c>
      <c r="AE95" s="22">
        <f>'Activity data'!AE54*ManureNEF*NtoN2O*kgtoGg</f>
        <v>3.4080202358723399</v>
      </c>
      <c r="AF95" s="22">
        <f>'Activity data'!AF54*ManureNEF*NtoN2O*kgtoGg</f>
        <v>3.4170159198401917</v>
      </c>
      <c r="AG95" s="22">
        <f>'Activity data'!AG54*ManureNEF*NtoN2O*kgtoGg</f>
        <v>3.4260932989449135</v>
      </c>
      <c r="AH95" s="22">
        <f>'Activity data'!AH54*ManureNEF*NtoN2O*kgtoGg</f>
        <v>3.4359865782184733</v>
      </c>
      <c r="AI95" s="22">
        <f>'Activity data'!AI54*ManureNEF*NtoN2O*kgtoGg</f>
        <v>3.445879857492034</v>
      </c>
      <c r="AJ95" s="22">
        <f>'Activity data'!AJ54*ManureNEF*NtoN2O*kgtoGg</f>
        <v>3.4557731367655942</v>
      </c>
      <c r="AK95" s="22">
        <f>'Activity data'!AK54*ManureNEF*NtoN2O*kgtoGg</f>
        <v>3.4656664160391544</v>
      </c>
      <c r="AL95" s="22">
        <f>'Activity data'!AL54*ManureNEF*NtoN2O*kgtoGg</f>
        <v>3.4755596953127159</v>
      </c>
      <c r="AM95" s="22">
        <f>'Activity data'!AM54*ManureNEF*NtoN2O*kgtoGg</f>
        <v>3.4855876013552218</v>
      </c>
      <c r="AN95" s="22">
        <f>'Activity data'!AN54*ManureNEF*NtoN2O*kgtoGg</f>
        <v>3.49561550721263</v>
      </c>
      <c r="AO95" s="22">
        <f>'Activity data'!AO54*ManureNEF*NtoN2O*kgtoGg</f>
        <v>3.5056434130700374</v>
      </c>
      <c r="AP95" s="22">
        <f>'Activity data'!AP54*ManureNEF*NtoN2O*kgtoGg</f>
        <v>3.5156713189274447</v>
      </c>
      <c r="AQ95" s="22">
        <f>'Activity data'!AQ54*ManureNEF*NtoN2O*kgtoGg</f>
        <v>3.5256992249699515</v>
      </c>
      <c r="AR95" s="22">
        <f>'Activity data'!AR54*ManureNEF*NtoN2O*kgtoGg</f>
        <v>3.5365633852519762</v>
      </c>
      <c r="AS95" s="22">
        <f>'Activity data'!AS54*ManureNEF*NtoN2O*kgtoGg</f>
        <v>3.5474275455340001</v>
      </c>
      <c r="AT95" s="22">
        <f>'Activity data'!AT54*ManureNEF*NtoN2O*kgtoGg</f>
        <v>3.5582917058160253</v>
      </c>
      <c r="AU95" s="22">
        <f>'Activity data'!AU54*ManureNEF*NtoN2O*kgtoGg</f>
        <v>3.5691558660980491</v>
      </c>
      <c r="AV95" s="22">
        <f>'Activity data'!AV54*ManureNEF*NtoN2O*kgtoGg</f>
        <v>3.580020026380073</v>
      </c>
      <c r="AW95" s="22">
        <f>'Activity data'!AW54*ManureNEF*NtoN2O*kgtoGg</f>
        <v>3.590515346942162</v>
      </c>
      <c r="AX95" s="22">
        <f>'Activity data'!AX54*ManureNEF*NtoN2O*kgtoGg</f>
        <v>3.6010106673191524</v>
      </c>
      <c r="AY95" s="22">
        <f>'Activity data'!AY54*ManureNEF*NtoN2O*kgtoGg</f>
        <v>3.6115059878812428</v>
      </c>
      <c r="AZ95" s="22">
        <f>'Activity data'!AZ54*ManureNEF*NtoN2O*kgtoGg</f>
        <v>3.6220013082582323</v>
      </c>
      <c r="BA95" s="22">
        <f>'Activity data'!BA54*ManureNEF*NtoN2O*kgtoGg</f>
        <v>3.6324966286352227</v>
      </c>
      <c r="BB95" s="22">
        <f>'Activity data'!BB54*ManureNEF*NtoN2O*kgtoGg</f>
        <v>3.6434045693362331</v>
      </c>
      <c r="BC95" s="22">
        <f>'Activity data'!BC54*ManureNEF*NtoN2O*kgtoGg</f>
        <v>3.6543125100372436</v>
      </c>
      <c r="BD95" s="22">
        <f>'Activity data'!BD54*ManureNEF*NtoN2O*kgtoGg</f>
        <v>3.6652204505531558</v>
      </c>
      <c r="BE95" s="22">
        <f>'Activity data'!BE54*ManureNEF*NtoN2O*kgtoGg</f>
        <v>3.676128391254168</v>
      </c>
      <c r="BF95" s="22">
        <f>'Activity data'!BF54*ManureNEF*NtoN2O*kgtoGg</f>
        <v>3.687036331955178</v>
      </c>
      <c r="BG95" s="22">
        <f>'Activity data'!BG54*ManureNEF*NtoN2O*kgtoGg</f>
        <v>3.699488055516003</v>
      </c>
      <c r="BH95" s="22">
        <f>'Activity data'!BH54*ManureNEF*NtoN2O*kgtoGg</f>
        <v>3.7119397788917281</v>
      </c>
      <c r="BI95" s="22">
        <f>'Activity data'!BI54*ManureNEF*NtoN2O*kgtoGg</f>
        <v>3.7243915024525531</v>
      </c>
      <c r="BJ95" s="22">
        <f>'Activity data'!BJ54*ManureNEF*NtoN2O*kgtoGg</f>
        <v>3.7368432260133773</v>
      </c>
      <c r="BK95" s="22">
        <f>'Activity data'!BK54*ManureNEF*NtoN2O*kgtoGg</f>
        <v>3.7492949495742014</v>
      </c>
      <c r="BL95" s="22">
        <f>'Activity data'!BL54*ManureNEF*NtoN2O*kgtoGg</f>
        <v>3.7613072000901684</v>
      </c>
      <c r="BM95" s="22">
        <f>'Activity data'!BM54*ManureNEF*NtoN2O*kgtoGg</f>
        <v>3.7733194506061349</v>
      </c>
      <c r="BN95" s="22">
        <f>'Activity data'!BN54*ManureNEF*NtoN2O*kgtoGg</f>
        <v>3.785331701307201</v>
      </c>
      <c r="BO95" s="22">
        <f>'Activity data'!BO54*ManureNEF*NtoN2O*kgtoGg</f>
        <v>3.7973439518231671</v>
      </c>
      <c r="BP95" s="22">
        <f>'Activity data'!BP54*ManureNEF*NtoN2O*kgtoGg</f>
        <v>3.8093562023391332</v>
      </c>
    </row>
    <row r="96" spans="1:68" x14ac:dyDescent="0.25">
      <c r="A96" t="str">
        <f t="shared" si="29"/>
        <v>3C Aggregated and non-CO2 emissions on land</v>
      </c>
      <c r="B96" t="str">
        <f t="shared" si="31"/>
        <v>3C4 Direct N2O from managed soils (N2O)</v>
      </c>
      <c r="C96" t="str">
        <f t="shared" si="35"/>
        <v>MM emissions</v>
      </c>
      <c r="D96" t="str">
        <f>'Activity data'!D55</f>
        <v xml:space="preserve"> - Feedlot</v>
      </c>
      <c r="E96" t="str">
        <f t="shared" si="32"/>
        <v>MM emissions - Feedlot</v>
      </c>
      <c r="F96" t="str">
        <f t="shared" si="33"/>
        <v>N2O</v>
      </c>
      <c r="G96" t="str">
        <f t="shared" si="34"/>
        <v>Gg N2O</v>
      </c>
      <c r="H96" s="22">
        <f>'Activity data'!H55*ManureNEF*NtoN2O*kgtoGg</f>
        <v>0.26650892267999993</v>
      </c>
      <c r="I96" s="22">
        <f>'Activity data'!I55*ManureNEF*NtoN2O*kgtoGg</f>
        <v>0.26650892267999993</v>
      </c>
      <c r="J96" s="22">
        <f>'Activity data'!J55*ManureNEF*NtoN2O*kgtoGg</f>
        <v>0.26650892267999993</v>
      </c>
      <c r="K96" s="22">
        <f>'Activity data'!K55*ManureNEF*NtoN2O*kgtoGg</f>
        <v>0.26650892267999993</v>
      </c>
      <c r="L96" s="22">
        <f>'Activity data'!L55*ManureNEF*NtoN2O*kgtoGg</f>
        <v>0.26650892267999993</v>
      </c>
      <c r="M96" s="22">
        <f>'Activity data'!M55*ManureNEF*NtoN2O*kgtoGg</f>
        <v>0.26650892267999993</v>
      </c>
      <c r="N96" s="22">
        <f>'Activity data'!N55*ManureNEF*NtoN2O*kgtoGg</f>
        <v>0.26650892267999993</v>
      </c>
      <c r="O96" s="22">
        <f>'Activity data'!O55*ManureNEF*NtoN2O*kgtoGg</f>
        <v>0.26650892267999993</v>
      </c>
      <c r="P96" s="22">
        <f>'Activity data'!P55*ManureNEF*NtoN2O*kgtoGg</f>
        <v>0.26650892267999993</v>
      </c>
      <c r="Q96" s="22">
        <f>'Activity data'!Q55*ManureNEF*NtoN2O*kgtoGg</f>
        <v>0.26650892267999993</v>
      </c>
      <c r="R96" s="22">
        <f>'Activity data'!R55*ManureNEF*NtoN2O*kgtoGg</f>
        <v>0.26650892267999993</v>
      </c>
      <c r="S96" s="22">
        <f>'Activity data'!S55*ManureNEF*NtoN2O*kgtoGg</f>
        <v>0.26650892267999993</v>
      </c>
      <c r="T96" s="22">
        <f>'Activity data'!T55*ManureNEF*NtoN2O*kgtoGg</f>
        <v>0.26650892267999993</v>
      </c>
      <c r="U96" s="22">
        <f>'Activity data'!U55*ManureNEF*NtoN2O*kgtoGg</f>
        <v>0.26650892267999993</v>
      </c>
      <c r="V96" s="22">
        <f>'Activity data'!V55*ManureNEF*NtoN2O*kgtoGg</f>
        <v>0.26650892267999993</v>
      </c>
      <c r="W96" s="22">
        <f>'Activity data'!W55*ManureNEF*NtoN2O*kgtoGg</f>
        <v>0.26650892267999993</v>
      </c>
      <c r="X96" s="22">
        <f>'Activity data'!X55*ManureNEF*NtoN2O*kgtoGg</f>
        <v>0.26650892267999993</v>
      </c>
      <c r="Y96" s="22">
        <f>'Activity data'!Y55*ManureNEF*NtoN2O*kgtoGg</f>
        <v>0.26650892267999993</v>
      </c>
      <c r="Z96" s="22">
        <f>'Activity data'!Z55*ManureNEF*NtoN2O*kgtoGg</f>
        <v>0.24820087014572845</v>
      </c>
      <c r="AA96" s="22">
        <f>'Activity data'!AA55*ManureNEF*NtoN2O*kgtoGg</f>
        <v>0.25433797839299843</v>
      </c>
      <c r="AB96" s="22">
        <f>'Activity data'!AB55*ManureNEF*NtoN2O*kgtoGg</f>
        <v>0.25370528409540599</v>
      </c>
      <c r="AC96" s="22">
        <f>'Activity data'!AC55*ManureNEF*NtoN2O*kgtoGg</f>
        <v>0.29303301169470902</v>
      </c>
      <c r="AD96" s="22">
        <f>'Activity data'!AD55*ManureNEF*NtoN2O*kgtoGg</f>
        <v>0.30182400204555027</v>
      </c>
      <c r="AE96" s="22">
        <f>'Activity data'!AE55*ManureNEF*NtoN2O*kgtoGg</f>
        <v>0.31087872210691675</v>
      </c>
      <c r="AF96" s="22">
        <f>'Activity data'!AF55*ManureNEF*NtoN2O*kgtoGg</f>
        <v>0.3202050837701243</v>
      </c>
      <c r="AG96" s="22">
        <f>'Activity data'!AG55*ManureNEF*NtoN2O*kgtoGg</f>
        <v>0.32981123628322795</v>
      </c>
      <c r="AH96" s="22">
        <f>'Activity data'!AH55*ManureNEF*NtoN2O*kgtoGg</f>
        <v>0.33970557337172486</v>
      </c>
      <c r="AI96" s="22">
        <f>'Activity data'!AI55*ManureNEF*NtoN2O*kgtoGg</f>
        <v>0.34989674057287656</v>
      </c>
      <c r="AJ96" s="22">
        <f>'Activity data'!AJ55*ManureNEF*NtoN2O*kgtoGg</f>
        <v>0.36039364279006286</v>
      </c>
      <c r="AK96" s="22">
        <f>'Activity data'!AK55*ManureNEF*NtoN2O*kgtoGg</f>
        <v>0.37120545207376476</v>
      </c>
      <c r="AL96" s="22">
        <f>'Activity data'!AL55*ManureNEF*NtoN2O*kgtoGg</f>
        <v>0.38234161563597763</v>
      </c>
      <c r="AM96" s="22">
        <f>'Activity data'!AM55*ManureNEF*NtoN2O*kgtoGg</f>
        <v>0.39381186410505703</v>
      </c>
      <c r="AN96" s="22">
        <f>'Activity data'!AN55*ManureNEF*NtoN2O*kgtoGg</f>
        <v>0.40562622002820881</v>
      </c>
      <c r="AO96" s="22">
        <f>'Activity data'!AO55*ManureNEF*NtoN2O*kgtoGg</f>
        <v>0.41779500662905505</v>
      </c>
      <c r="AP96" s="22">
        <f>'Activity data'!AP55*ManureNEF*NtoN2O*kgtoGg</f>
        <v>0.43032885682792671</v>
      </c>
      <c r="AQ96" s="22">
        <f>'Activity data'!AQ55*ManureNEF*NtoN2O*kgtoGg</f>
        <v>0.44323872253276453</v>
      </c>
      <c r="AR96" s="22">
        <f>'Activity data'!AR55*ManureNEF*NtoN2O*kgtoGg</f>
        <v>0.45653588420874752</v>
      </c>
      <c r="AS96" s="22">
        <f>'Activity data'!AS55*ManureNEF*NtoN2O*kgtoGg</f>
        <v>0.47023196073500995</v>
      </c>
      <c r="AT96" s="22">
        <f>'Activity data'!AT55*ManureNEF*NtoN2O*kgtoGg</f>
        <v>0.48433891955706021</v>
      </c>
      <c r="AU96" s="22">
        <f>'Activity data'!AU55*ManureNEF*NtoN2O*kgtoGg</f>
        <v>0.49886908714377209</v>
      </c>
      <c r="AV96" s="22">
        <f>'Activity data'!AV55*ManureNEF*NtoN2O*kgtoGg</f>
        <v>0.51383515975808525</v>
      </c>
      <c r="AW96" s="22">
        <f>'Activity data'!AW55*ManureNEF*NtoN2O*kgtoGg</f>
        <v>0.52925021455082777</v>
      </c>
      <c r="AX96" s="22">
        <f>'Activity data'!AX55*ManureNEF*NtoN2O*kgtoGg</f>
        <v>0.54512772098735263</v>
      </c>
      <c r="AY96" s="22">
        <f>'Activity data'!AY55*ManureNEF*NtoN2O*kgtoGg</f>
        <v>0.5614815526169733</v>
      </c>
      <c r="AZ96" s="22">
        <f>'Activity data'!AZ55*ManureNEF*NtoN2O*kgtoGg</f>
        <v>0.57832599919548244</v>
      </c>
      <c r="BA96" s="22">
        <f>'Activity data'!BA55*ManureNEF*NtoN2O*kgtoGg</f>
        <v>0.59567577917134684</v>
      </c>
      <c r="BB96" s="22">
        <f>'Activity data'!BB55*ManureNEF*NtoN2O*kgtoGg</f>
        <v>0.61354605254648731</v>
      </c>
      <c r="BC96" s="22">
        <f>'Activity data'!BC55*ManureNEF*NtoN2O*kgtoGg</f>
        <v>0.63195243412288193</v>
      </c>
      <c r="BD96" s="22">
        <f>'Activity data'!BD55*ManureNEF*NtoN2O*kgtoGg</f>
        <v>0.63454505399999994</v>
      </c>
      <c r="BE96" s="22">
        <f>'Activity data'!BE55*ManureNEF*NtoN2O*kgtoGg</f>
        <v>0.63454505399999994</v>
      </c>
      <c r="BF96" s="22">
        <f>'Activity data'!BF55*ManureNEF*NtoN2O*kgtoGg</f>
        <v>0.63454505399999994</v>
      </c>
      <c r="BG96" s="22">
        <f>'Activity data'!BG55*ManureNEF*NtoN2O*kgtoGg</f>
        <v>0.63454505399999994</v>
      </c>
      <c r="BH96" s="22">
        <f>'Activity data'!BH55*ManureNEF*NtoN2O*kgtoGg</f>
        <v>0.63454505399999994</v>
      </c>
      <c r="BI96" s="22">
        <f>'Activity data'!BI55*ManureNEF*NtoN2O*kgtoGg</f>
        <v>0.63454505399999994</v>
      </c>
      <c r="BJ96" s="22">
        <f>'Activity data'!BJ55*ManureNEF*NtoN2O*kgtoGg</f>
        <v>0.63454505399999994</v>
      </c>
      <c r="BK96" s="22">
        <f>'Activity data'!BK55*ManureNEF*NtoN2O*kgtoGg</f>
        <v>0.63454505399999994</v>
      </c>
      <c r="BL96" s="22">
        <f>'Activity data'!BL55*ManureNEF*NtoN2O*kgtoGg</f>
        <v>0.63454505399999994</v>
      </c>
      <c r="BM96" s="22">
        <f>'Activity data'!BM55*ManureNEF*NtoN2O*kgtoGg</f>
        <v>0.63454505399999994</v>
      </c>
      <c r="BN96" s="22">
        <f>'Activity data'!BN55*ManureNEF*NtoN2O*kgtoGg</f>
        <v>0.63454505399999994</v>
      </c>
      <c r="BO96" s="22">
        <f>'Activity data'!BO55*ManureNEF*NtoN2O*kgtoGg</f>
        <v>0.63454505399999994</v>
      </c>
      <c r="BP96" s="22">
        <f>'Activity data'!BP55*ManureNEF*NtoN2O*kgtoGg</f>
        <v>0.63454505399999994</v>
      </c>
    </row>
    <row r="97" spans="1:68" x14ac:dyDescent="0.25">
      <c r="A97" t="str">
        <f t="shared" si="29"/>
        <v>3C Aggregated and non-CO2 emissions on land</v>
      </c>
      <c r="B97" t="str">
        <f t="shared" si="31"/>
        <v>3C4 Direct N2O from managed soils (N2O)</v>
      </c>
      <c r="C97" t="str">
        <f t="shared" si="35"/>
        <v>MM emissions</v>
      </c>
      <c r="D97" t="str">
        <f>'Activity data'!D56</f>
        <v xml:space="preserve"> - Commercial sheep</v>
      </c>
      <c r="E97" t="str">
        <f t="shared" si="32"/>
        <v>MM emissions - Commercial sheep</v>
      </c>
      <c r="F97" t="str">
        <f t="shared" si="33"/>
        <v>N2O</v>
      </c>
      <c r="G97" t="str">
        <f t="shared" si="34"/>
        <v>Gg N2O</v>
      </c>
      <c r="H97" s="22">
        <f>'Activity data'!H56*ManureNEF*NtoN2O*kgtoGg</f>
        <v>9.1991860386242574E-2</v>
      </c>
      <c r="I97" s="22">
        <f>'Activity data'!I56*ManureNEF*NtoN2O*kgtoGg</f>
        <v>8.7855463982071155E-2</v>
      </c>
      <c r="J97" s="22">
        <f>'Activity data'!J56*ManureNEF*NtoN2O*kgtoGg</f>
        <v>8.4225377226778267E-2</v>
      </c>
      <c r="K97" s="22">
        <f>'Activity data'!K56*ManureNEF*NtoN2O*kgtoGg</f>
        <v>7.8769507192196109E-2</v>
      </c>
      <c r="L97" s="22">
        <f>'Activity data'!L56*ManureNEF*NtoN2O*kgtoGg</f>
        <v>7.9324913534299213E-2</v>
      </c>
      <c r="M97" s="22">
        <f>'Activity data'!M56*ManureNEF*NtoN2O*kgtoGg</f>
        <v>7.8189552503480655E-2</v>
      </c>
      <c r="N97" s="22">
        <f>'Activity data'!N56*ManureNEF*NtoN2O*kgtoGg</f>
        <v>7.8450378686236291E-2</v>
      </c>
      <c r="O97" s="22">
        <f>'Activity data'!O56*ManureNEF*NtoN2O*kgtoGg</f>
        <v>7.6744268596681903E-2</v>
      </c>
      <c r="P97" s="22">
        <f>'Activity data'!P56*ManureNEF*NtoN2O*kgtoGg</f>
        <v>7.6955998086212937E-2</v>
      </c>
      <c r="Q97" s="22">
        <f>'Activity data'!Q56*ManureNEF*NtoN2O*kgtoGg</f>
        <v>7.5065775397066339E-2</v>
      </c>
      <c r="R97" s="22">
        <f>'Activity data'!R56*ManureNEF*NtoN2O*kgtoGg</f>
        <v>7.2374662899693701E-2</v>
      </c>
      <c r="S97" s="22">
        <f>'Activity data'!S56*ManureNEF*NtoN2O*kgtoGg</f>
        <v>7.0570359423690138E-2</v>
      </c>
      <c r="T97" s="22">
        <f>'Activity data'!T56*ManureNEF*NtoN2O*kgtoGg</f>
        <v>6.9392038786300056E-2</v>
      </c>
      <c r="U97" s="22">
        <f>'Activity data'!U56*ManureNEF*NtoN2O*kgtoGg</f>
        <v>6.9634453709096461E-2</v>
      </c>
      <c r="V97" s="22">
        <f>'Activity data'!V56*ManureNEF*NtoN2O*kgtoGg</f>
        <v>6.8394762205175638E-2</v>
      </c>
      <c r="W97" s="22">
        <f>'Activity data'!W56*ManureNEF*NtoN2O*kgtoGg</f>
        <v>6.8232129408869205E-2</v>
      </c>
      <c r="X97" s="22">
        <f>'Activity data'!X56*ManureNEF*NtoN2O*kgtoGg</f>
        <v>6.7339183300847025E-2</v>
      </c>
      <c r="Y97" s="22">
        <f>'Activity data'!Y56*ManureNEF*NtoN2O*kgtoGg</f>
        <v>6.7274743890989752E-2</v>
      </c>
      <c r="Z97" s="22">
        <f>'Activity data'!Z56*ManureNEF*NtoN2O*kgtoGg</f>
        <v>6.7492610467173877E-2</v>
      </c>
      <c r="AA97" s="22">
        <f>'Activity data'!AA56*ManureNEF*NtoN2O*kgtoGg</f>
        <v>6.7253264087704004E-2</v>
      </c>
      <c r="AB97" s="22">
        <f>'Activity data'!AB56*ManureNEF*NtoN2O*kgtoGg</f>
        <v>6.5952201717252468E-2</v>
      </c>
      <c r="AC97" s="22">
        <f>'Activity data'!AC56*ManureNEF*NtoN2O*kgtoGg</f>
        <v>6.5436686438394301E-2</v>
      </c>
      <c r="AD97" s="22">
        <f>'Activity data'!AD56*ManureNEF*NtoN2O*kgtoGg</f>
        <v>6.7182966163916252E-2</v>
      </c>
      <c r="AE97" s="22">
        <f>'Activity data'!AE56*ManureNEF*NtoN2O*kgtoGg</f>
        <v>6.6961165279184845E-2</v>
      </c>
      <c r="AF97" s="22">
        <f>'Activity data'!AF56*ManureNEF*NtoN2O*kgtoGg</f>
        <v>6.6744913713115722E-2</v>
      </c>
      <c r="AG97" s="22">
        <f>'Activity data'!AG56*ManureNEF*NtoN2O*kgtoGg</f>
        <v>6.6534333866481332E-2</v>
      </c>
      <c r="AH97" s="22">
        <f>'Activity data'!AH56*ManureNEF*NtoN2O*kgtoGg</f>
        <v>6.6312522281812558E-2</v>
      </c>
      <c r="AI97" s="22">
        <f>'Activity data'!AI56*ManureNEF*NtoN2O*kgtoGg</f>
        <v>6.6090671141535828E-2</v>
      </c>
      <c r="AJ97" s="22">
        <f>'Activity data'!AJ56*ManureNEF*NtoN2O*kgtoGg</f>
        <v>6.5873141841458829E-2</v>
      </c>
      <c r="AK97" s="22">
        <f>'Activity data'!AK56*ManureNEF*NtoN2O*kgtoGg</f>
        <v>6.5659724703641884E-2</v>
      </c>
      <c r="AL97" s="22">
        <f>'Activity data'!AL56*ManureNEF*NtoN2O*kgtoGg</f>
        <v>6.5512632755312022E-2</v>
      </c>
      <c r="AM97" s="22">
        <f>'Activity data'!AM56*ManureNEF*NtoN2O*kgtoGg</f>
        <v>6.5291920584216165E-2</v>
      </c>
      <c r="AN97" s="22">
        <f>'Activity data'!AN56*ManureNEF*NtoN2O*kgtoGg</f>
        <v>6.5074881923205055E-2</v>
      </c>
      <c r="AO97" s="22">
        <f>'Activity data'!AO56*ManureNEF*NtoN2O*kgtoGg</f>
        <v>6.4860648817720842E-2</v>
      </c>
      <c r="AP97" s="22">
        <f>'Activity data'!AP56*ManureNEF*NtoN2O*kgtoGg</f>
        <v>6.4649812362931908E-2</v>
      </c>
      <c r="AQ97" s="22">
        <f>'Activity data'!AQ56*ManureNEF*NtoN2O*kgtoGg</f>
        <v>6.4441152670947049E-2</v>
      </c>
      <c r="AR97" s="22">
        <f>'Activity data'!AR56*ManureNEF*NtoN2O*kgtoGg</f>
        <v>6.4216654309639076E-2</v>
      </c>
      <c r="AS97" s="22">
        <f>'Activity data'!AS56*ManureNEF*NtoN2O*kgtoGg</f>
        <v>6.3995460692206879E-2</v>
      </c>
      <c r="AT97" s="22">
        <f>'Activity data'!AT56*ManureNEF*NtoN2O*kgtoGg</f>
        <v>6.3776542079790235E-2</v>
      </c>
      <c r="AU97" s="22">
        <f>'Activity data'!AU56*ManureNEF*NtoN2O*kgtoGg</f>
        <v>6.3560045800473086E-2</v>
      </c>
      <c r="AV97" s="22">
        <f>'Activity data'!AV56*ManureNEF*NtoN2O*kgtoGg</f>
        <v>6.3345862470871928E-2</v>
      </c>
      <c r="AW97" s="22">
        <f>'Activity data'!AW56*ManureNEF*NtoN2O*kgtoGg</f>
        <v>6.3137491060819201E-2</v>
      </c>
      <c r="AX97" s="22">
        <f>'Activity data'!AX56*ManureNEF*NtoN2O*kgtoGg</f>
        <v>6.3137491060819201E-2</v>
      </c>
      <c r="AY97" s="22">
        <f>'Activity data'!AY56*ManureNEF*NtoN2O*kgtoGg</f>
        <v>6.3137491060819201E-2</v>
      </c>
      <c r="AZ97" s="22">
        <f>'Activity data'!AZ56*ManureNEF*NtoN2O*kgtoGg</f>
        <v>6.3137491060819201E-2</v>
      </c>
      <c r="BA97" s="22">
        <f>'Activity data'!BA56*ManureNEF*NtoN2O*kgtoGg</f>
        <v>6.3137491060819201E-2</v>
      </c>
      <c r="BB97" s="22">
        <f>'Activity data'!BB56*ManureNEF*NtoN2O*kgtoGg</f>
        <v>6.3137491060819201E-2</v>
      </c>
      <c r="BC97" s="22">
        <f>'Activity data'!BC56*ManureNEF*NtoN2O*kgtoGg</f>
        <v>6.3137491060819201E-2</v>
      </c>
      <c r="BD97" s="22">
        <f>'Activity data'!BD56*ManureNEF*NtoN2O*kgtoGg</f>
        <v>6.3137491060819201E-2</v>
      </c>
      <c r="BE97" s="22">
        <f>'Activity data'!BE56*ManureNEF*NtoN2O*kgtoGg</f>
        <v>6.3137491060819201E-2</v>
      </c>
      <c r="BF97" s="22">
        <f>'Activity data'!BF56*ManureNEF*NtoN2O*kgtoGg</f>
        <v>6.3137491060819201E-2</v>
      </c>
      <c r="BG97" s="22">
        <f>'Activity data'!BG56*ManureNEF*NtoN2O*kgtoGg</f>
        <v>6.3137491060819201E-2</v>
      </c>
      <c r="BH97" s="22">
        <f>'Activity data'!BH56*ManureNEF*NtoN2O*kgtoGg</f>
        <v>6.3137491060819201E-2</v>
      </c>
      <c r="BI97" s="22">
        <f>'Activity data'!BI56*ManureNEF*NtoN2O*kgtoGg</f>
        <v>6.3137491060819201E-2</v>
      </c>
      <c r="BJ97" s="22">
        <f>'Activity data'!BJ56*ManureNEF*NtoN2O*kgtoGg</f>
        <v>6.3137491060819201E-2</v>
      </c>
      <c r="BK97" s="22">
        <f>'Activity data'!BK56*ManureNEF*NtoN2O*kgtoGg</f>
        <v>6.3137491060819201E-2</v>
      </c>
      <c r="BL97" s="22">
        <f>'Activity data'!BL56*ManureNEF*NtoN2O*kgtoGg</f>
        <v>6.3137491060819201E-2</v>
      </c>
      <c r="BM97" s="22">
        <f>'Activity data'!BM56*ManureNEF*NtoN2O*kgtoGg</f>
        <v>6.3137491060819201E-2</v>
      </c>
      <c r="BN97" s="22">
        <f>'Activity data'!BN56*ManureNEF*NtoN2O*kgtoGg</f>
        <v>6.3137491060819201E-2</v>
      </c>
      <c r="BO97" s="22">
        <f>'Activity data'!BO56*ManureNEF*NtoN2O*kgtoGg</f>
        <v>6.3137491060819201E-2</v>
      </c>
      <c r="BP97" s="22">
        <f>'Activity data'!BP56*ManureNEF*NtoN2O*kgtoGg</f>
        <v>6.3137491060819201E-2</v>
      </c>
    </row>
    <row r="98" spans="1:68" x14ac:dyDescent="0.25">
      <c r="A98" t="str">
        <f t="shared" si="29"/>
        <v>3C Aggregated and non-CO2 emissions on land</v>
      </c>
      <c r="B98" t="str">
        <f t="shared" si="31"/>
        <v>3C4 Direct N2O from managed soils (N2O)</v>
      </c>
      <c r="C98" t="str">
        <f t="shared" si="35"/>
        <v>MM emissions</v>
      </c>
      <c r="D98" t="str">
        <f>'Activity data'!D57</f>
        <v xml:space="preserve"> - Subsistence sheep</v>
      </c>
      <c r="E98" t="str">
        <f t="shared" si="32"/>
        <v>MM emissions - Subsistence sheep</v>
      </c>
      <c r="F98" t="str">
        <f t="shared" si="33"/>
        <v>N2O</v>
      </c>
      <c r="G98" t="str">
        <f t="shared" si="34"/>
        <v>Gg N2O</v>
      </c>
      <c r="H98" s="22">
        <f>'Activity data'!H57*ManureNEF*NtoN2O*kgtoGg</f>
        <v>6.9925803620037946E-2</v>
      </c>
      <c r="I98" s="22">
        <f>'Activity data'!I57*ManureNEF*NtoN2O*kgtoGg</f>
        <v>6.6781603237109521E-2</v>
      </c>
      <c r="J98" s="22">
        <f>'Activity data'!J57*ManureNEF*NtoN2O*kgtoGg</f>
        <v>6.4022264177017271E-2</v>
      </c>
      <c r="K98" s="22">
        <f>'Activity data'!K57*ManureNEF*NtoN2O*kgtoGg</f>
        <v>5.9875091861849083E-2</v>
      </c>
      <c r="L98" s="22">
        <f>'Activity data'!L57*ManureNEF*NtoN2O*kgtoGg</f>
        <v>6.0297273070536055E-2</v>
      </c>
      <c r="M98" s="22">
        <f>'Activity data'!M57*ManureNEF*NtoN2O*kgtoGg</f>
        <v>5.9434250710236718E-2</v>
      </c>
      <c r="N98" s="22">
        <f>'Activity data'!N57*ManureNEF*NtoN2O*kgtoGg</f>
        <v>5.9632512603818993E-2</v>
      </c>
      <c r="O98" s="22">
        <f>'Activity data'!O57*ManureNEF*NtoN2O*kgtoGg</f>
        <v>5.8335646570504315E-2</v>
      </c>
      <c r="P98" s="22">
        <f>'Activity data'!P57*ManureNEF*NtoN2O*kgtoGg</f>
        <v>5.8496588578235996E-2</v>
      </c>
      <c r="Q98" s="22">
        <f>'Activity data'!Q57*ManureNEF*NtoN2O*kgtoGg</f>
        <v>5.7059772972980871E-2</v>
      </c>
      <c r="R98" s="22">
        <f>'Activity data'!R57*ManureNEF*NtoN2O*kgtoGg</f>
        <v>5.5014176729784849E-2</v>
      </c>
      <c r="S98" s="22">
        <f>'Activity data'!S57*ManureNEF*NtoN2O*kgtoGg</f>
        <v>5.3642670924768585E-2</v>
      </c>
      <c r="T98" s="22">
        <f>'Activity data'!T57*ManureNEF*NtoN2O*kgtoGg</f>
        <v>5.2746993664349803E-2</v>
      </c>
      <c r="U98" s="22">
        <f>'Activity data'!U57*ManureNEF*NtoN2O*kgtoGg</f>
        <v>5.2931260600738043E-2</v>
      </c>
      <c r="V98" s="22">
        <f>'Activity data'!V57*ManureNEF*NtoN2O*kgtoGg</f>
        <v>5.1988933483005775E-2</v>
      </c>
      <c r="W98" s="22">
        <f>'Activity data'!W57*ManureNEF*NtoN2O*kgtoGg</f>
        <v>5.1865311361125072E-2</v>
      </c>
      <c r="X98" s="22">
        <f>'Activity data'!X57*ManureNEF*NtoN2O*kgtoGg</f>
        <v>5.1186555937213961E-2</v>
      </c>
      <c r="Y98" s="22">
        <f>'Activity data'!Y57*ManureNEF*NtoN2O*kgtoGg</f>
        <v>5.1137573587034801E-2</v>
      </c>
      <c r="Z98" s="22">
        <f>'Activity data'!Z57*ManureNEF*NtoN2O*kgtoGg</f>
        <v>5.1303180580497661E-2</v>
      </c>
      <c r="AA98" s="22">
        <f>'Activity data'!AA57*ManureNEF*NtoN2O*kgtoGg</f>
        <v>5.1121246136975086E-2</v>
      </c>
      <c r="AB98" s="22">
        <f>'Activity data'!AB57*ManureNEF*NtoN2O*kgtoGg</f>
        <v>5.0132269161929359E-2</v>
      </c>
      <c r="AC98" s="22">
        <f>'Activity data'!AC57*ManureNEF*NtoN2O*kgtoGg</f>
        <v>4.9740410360496132E-2</v>
      </c>
      <c r="AD98" s="22">
        <f>'Activity data'!AD57*ManureNEF*NtoN2O*kgtoGg</f>
        <v>5.1228894674448799E-2</v>
      </c>
      <c r="AE98" s="22">
        <f>'Activity data'!AE57*ManureNEF*NtoN2O*kgtoGg</f>
        <v>5.1059765283304005E-2</v>
      </c>
      <c r="AF98" s="22">
        <f>'Activity data'!AF57*ManureNEF*NtoN2O*kgtoGg</f>
        <v>5.0894867403173026E-2</v>
      </c>
      <c r="AG98" s="22">
        <f>'Activity data'!AG57*ManureNEF*NtoN2O*kgtoGg</f>
        <v>5.0734294368075507E-2</v>
      </c>
      <c r="AH98" s="22">
        <f>'Activity data'!AH57*ManureNEF*NtoN2O*kgtoGg</f>
        <v>5.0565156817928572E-2</v>
      </c>
      <c r="AI98" s="22">
        <f>'Activity data'!AI57*ManureNEF*NtoN2O*kgtoGg</f>
        <v>5.0395989105521906E-2</v>
      </c>
      <c r="AJ98" s="22">
        <f>'Activity data'!AJ57*ManureNEF*NtoN2O*kgtoGg</f>
        <v>5.0230116917398183E-2</v>
      </c>
      <c r="AK98" s="22">
        <f>'Activity data'!AK57*ManureNEF*NtoN2O*kgtoGg</f>
        <v>5.0067380368251625E-2</v>
      </c>
      <c r="AL98" s="22">
        <f>'Activity data'!AL57*ManureNEF*NtoN2O*kgtoGg</f>
        <v>4.9955218635022031E-2</v>
      </c>
      <c r="AM98" s="22">
        <f>'Activity data'!AM57*ManureNEF*NtoN2O*kgtoGg</f>
        <v>4.9786919418538321E-2</v>
      </c>
      <c r="AN98" s="22">
        <f>'Activity data'!AN57*ManureNEF*NtoN2O*kgtoGg</f>
        <v>4.9621421356453754E-2</v>
      </c>
      <c r="AO98" s="22">
        <f>'Activity data'!AO57*ManureNEF*NtoN2O*kgtoGg</f>
        <v>4.9458062609091302E-2</v>
      </c>
      <c r="AP98" s="22">
        <f>'Activity data'!AP57*ManureNEF*NtoN2O*kgtoGg</f>
        <v>4.9297293903083836E-2</v>
      </c>
      <c r="AQ98" s="22">
        <f>'Activity data'!AQ57*ManureNEF*NtoN2O*kgtoGg</f>
        <v>4.9138185039723822E-2</v>
      </c>
      <c r="AR98" s="22">
        <f>'Activity data'!AR57*ManureNEF*NtoN2O*kgtoGg</f>
        <v>4.8966998747085703E-2</v>
      </c>
      <c r="AS98" s="22">
        <f>'Activity data'!AS57*ManureNEF*NtoN2O*kgtoGg</f>
        <v>4.8798332414276759E-2</v>
      </c>
      <c r="AT98" s="22">
        <f>'Activity data'!AT57*ManureNEF*NtoN2O*kgtoGg</f>
        <v>4.8631400836555025E-2</v>
      </c>
      <c r="AU98" s="22">
        <f>'Activity data'!AU57*ManureNEF*NtoN2O*kgtoGg</f>
        <v>4.8466316355713739E-2</v>
      </c>
      <c r="AV98" s="22">
        <f>'Activity data'!AV57*ManureNEF*NtoN2O*kgtoGg</f>
        <v>4.8302995563857226E-2</v>
      </c>
      <c r="AW98" s="22">
        <f>'Activity data'!AW57*ManureNEF*NtoN2O*kgtoGg</f>
        <v>4.8144106523550279E-2</v>
      </c>
      <c r="AX98" s="22">
        <f>'Activity data'!AX57*ManureNEF*NtoN2O*kgtoGg</f>
        <v>4.8144106523550279E-2</v>
      </c>
      <c r="AY98" s="22">
        <f>'Activity data'!AY57*ManureNEF*NtoN2O*kgtoGg</f>
        <v>4.8144106523550279E-2</v>
      </c>
      <c r="AZ98" s="22">
        <f>'Activity data'!AZ57*ManureNEF*NtoN2O*kgtoGg</f>
        <v>4.8144106523550279E-2</v>
      </c>
      <c r="BA98" s="22">
        <f>'Activity data'!BA57*ManureNEF*NtoN2O*kgtoGg</f>
        <v>4.8144106523550279E-2</v>
      </c>
      <c r="BB98" s="22">
        <f>'Activity data'!BB57*ManureNEF*NtoN2O*kgtoGg</f>
        <v>4.8144106523550279E-2</v>
      </c>
      <c r="BC98" s="22">
        <f>'Activity data'!BC57*ManureNEF*NtoN2O*kgtoGg</f>
        <v>4.8144106523550279E-2</v>
      </c>
      <c r="BD98" s="22">
        <f>'Activity data'!BD57*ManureNEF*NtoN2O*kgtoGg</f>
        <v>4.8144106523550279E-2</v>
      </c>
      <c r="BE98" s="22">
        <f>'Activity data'!BE57*ManureNEF*NtoN2O*kgtoGg</f>
        <v>4.8144106523550279E-2</v>
      </c>
      <c r="BF98" s="22">
        <f>'Activity data'!BF57*ManureNEF*NtoN2O*kgtoGg</f>
        <v>4.8144106523550279E-2</v>
      </c>
      <c r="BG98" s="22">
        <f>'Activity data'!BG57*ManureNEF*NtoN2O*kgtoGg</f>
        <v>4.8144106523550279E-2</v>
      </c>
      <c r="BH98" s="22">
        <f>'Activity data'!BH57*ManureNEF*NtoN2O*kgtoGg</f>
        <v>4.8144106523550279E-2</v>
      </c>
      <c r="BI98" s="22">
        <f>'Activity data'!BI57*ManureNEF*NtoN2O*kgtoGg</f>
        <v>4.8144106523550279E-2</v>
      </c>
      <c r="BJ98" s="22">
        <f>'Activity data'!BJ57*ManureNEF*NtoN2O*kgtoGg</f>
        <v>4.8144106523550279E-2</v>
      </c>
      <c r="BK98" s="22">
        <f>'Activity data'!BK57*ManureNEF*NtoN2O*kgtoGg</f>
        <v>4.8144106523550279E-2</v>
      </c>
      <c r="BL98" s="22">
        <f>'Activity data'!BL57*ManureNEF*NtoN2O*kgtoGg</f>
        <v>4.8144106523550279E-2</v>
      </c>
      <c r="BM98" s="22">
        <f>'Activity data'!BM57*ManureNEF*NtoN2O*kgtoGg</f>
        <v>4.8144106523550279E-2</v>
      </c>
      <c r="BN98" s="22">
        <f>'Activity data'!BN57*ManureNEF*NtoN2O*kgtoGg</f>
        <v>4.8144106523550279E-2</v>
      </c>
      <c r="BO98" s="22">
        <f>'Activity data'!BO57*ManureNEF*NtoN2O*kgtoGg</f>
        <v>4.8144106523550279E-2</v>
      </c>
      <c r="BP98" s="22">
        <f>'Activity data'!BP57*ManureNEF*NtoN2O*kgtoGg</f>
        <v>4.8144106523550279E-2</v>
      </c>
    </row>
    <row r="99" spans="1:68" x14ac:dyDescent="0.25">
      <c r="A99" t="str">
        <f t="shared" si="29"/>
        <v>3C Aggregated and non-CO2 emissions on land</v>
      </c>
      <c r="B99" t="str">
        <f t="shared" si="31"/>
        <v>3C4 Direct N2O from managed soils (N2O)</v>
      </c>
      <c r="C99" t="str">
        <f t="shared" si="35"/>
        <v>MM emissions</v>
      </c>
      <c r="D99" t="str">
        <f>'Activity data'!D58</f>
        <v xml:space="preserve"> - Commercial goats</v>
      </c>
      <c r="E99" t="str">
        <f t="shared" si="32"/>
        <v>MM emissions - Commercial goats</v>
      </c>
      <c r="F99" t="str">
        <f t="shared" si="33"/>
        <v>N2O</v>
      </c>
      <c r="G99" t="str">
        <f t="shared" si="34"/>
        <v>Gg N2O</v>
      </c>
      <c r="H99" s="22">
        <f>'Activity data'!H58*ManureNEF*NtoN2O*kgtoGg</f>
        <v>9.6765143377954225E-3</v>
      </c>
      <c r="I99" s="22">
        <f>'Activity data'!I58*ManureNEF*NtoN2O*kgtoGg</f>
        <v>8.5567734933713682E-3</v>
      </c>
      <c r="J99" s="22">
        <f>'Activity data'!J58*ManureNEF*NtoN2O*kgtoGg</f>
        <v>7.9707409018970922E-3</v>
      </c>
      <c r="K99" s="22">
        <f>'Activity data'!K58*ManureNEF*NtoN2O*kgtoGg</f>
        <v>7.5312164582913869E-3</v>
      </c>
      <c r="L99" s="22">
        <f>'Activity data'!L58*ManureNEF*NtoN2O*kgtoGg</f>
        <v>8.152131942115318E-3</v>
      </c>
      <c r="M99" s="22">
        <f>'Activity data'!M58*ManureNEF*NtoN2O*kgtoGg</f>
        <v>8.2637571976342285E-3</v>
      </c>
      <c r="N99" s="22">
        <f>'Activity data'!N58*ManureNEF*NtoN2O*kgtoGg</f>
        <v>8.3928238993279686E-3</v>
      </c>
      <c r="O99" s="22">
        <f>'Activity data'!O58*ManureNEF*NtoN2O*kgtoGg</f>
        <v>8.350964428508377E-3</v>
      </c>
      <c r="P99" s="22">
        <f>'Activity data'!P58*ManureNEF*NtoN2O*kgtoGg</f>
        <v>8.232362594519536E-3</v>
      </c>
      <c r="Q99" s="22">
        <f>'Activity data'!Q58*ManureNEF*NtoN2O*kgtoGg</f>
        <v>8.1102724712957298E-3</v>
      </c>
      <c r="R99" s="22">
        <f>'Activity data'!R58*ManureNEF*NtoN2O*kgtoGg</f>
        <v>8.2149211483447063E-3</v>
      </c>
      <c r="S99" s="22">
        <f>'Activity data'!S58*ManureNEF*NtoN2O*kgtoGg</f>
        <v>8.4660779732622544E-3</v>
      </c>
      <c r="T99" s="22">
        <f>'Activity data'!T58*ManureNEF*NtoN2O*kgtoGg</f>
        <v>7.7300489446844476E-3</v>
      </c>
      <c r="U99" s="22">
        <f>'Activity data'!U58*ManureNEF*NtoN2O*kgtoGg</f>
        <v>7.5347047475263548E-3</v>
      </c>
      <c r="V99" s="22">
        <f>'Activity data'!V58*ManureNEF*NtoN2O*kgtoGg</f>
        <v>7.548657904466221E-3</v>
      </c>
      <c r="W99" s="22">
        <f>'Activity data'!W58*ManureNEF*NtoN2O*kgtoGg</f>
        <v>7.4509858058871732E-3</v>
      </c>
      <c r="X99" s="22">
        <f>'Activity data'!X58*ManureNEF*NtoN2O*kgtoGg</f>
        <v>7.6079588214606388E-3</v>
      </c>
      <c r="Y99" s="22">
        <f>'Activity data'!Y58*ManureNEF*NtoN2O*kgtoGg</f>
        <v>7.3812200211878561E-3</v>
      </c>
      <c r="Z99" s="22">
        <f>'Activity data'!Z58*ManureNEF*NtoN2O*kgtoGg</f>
        <v>7.3742434427179256E-3</v>
      </c>
      <c r="AA99" s="22">
        <f>'Activity data'!AA58*ManureNEF*NtoN2O*kgtoGg</f>
        <v>7.2451767410241855E-3</v>
      </c>
      <c r="AB99" s="22">
        <f>'Activity data'!AB58*ManureNEF*NtoN2O*kgtoGg</f>
        <v>7.1579695101500369E-3</v>
      </c>
      <c r="AC99" s="22">
        <f>'Activity data'!AC58*ManureNEF*NtoN2O*kgtoGg</f>
        <v>7.0916920146856851E-3</v>
      </c>
      <c r="AD99" s="22">
        <f>'Activity data'!AD58*ManureNEF*NtoN2O*kgtoGg</f>
        <v>7.17054239569516E-3</v>
      </c>
      <c r="AE99" s="22">
        <f>'Activity data'!AE58*ManureNEF*NtoN2O*kgtoGg</f>
        <v>7.1446905565641728E-3</v>
      </c>
      <c r="AF99" s="22">
        <f>'Activity data'!AF58*ManureNEF*NtoN2O*kgtoGg</f>
        <v>7.1191332255972697E-3</v>
      </c>
      <c r="AG99" s="22">
        <f>'Activity data'!AG58*ManureNEF*NtoN2O*kgtoGg</f>
        <v>7.0939073244817748E-3</v>
      </c>
      <c r="AH99" s="22">
        <f>'Activity data'!AH58*ManureNEF*NtoN2O*kgtoGg</f>
        <v>7.0669693585448841E-3</v>
      </c>
      <c r="AI99" s="22">
        <f>'Activity data'!AI58*ManureNEF*NtoN2O*kgtoGg</f>
        <v>7.0396451438605569E-3</v>
      </c>
      <c r="AJ99" s="22">
        <f>'Activity data'!AJ58*ManureNEF*NtoN2O*kgtoGg</f>
        <v>7.012477613249443E-3</v>
      </c>
      <c r="AK99" s="22">
        <f>'Activity data'!AK58*ManureNEF*NtoN2O*kgtoGg</f>
        <v>6.985457198072924E-3</v>
      </c>
      <c r="AL99" s="22">
        <f>'Activity data'!AL58*ManureNEF*NtoN2O*kgtoGg</f>
        <v>6.9666202291509566E-3</v>
      </c>
      <c r="AM99" s="22">
        <f>'Activity data'!AM58*ManureNEF*NtoN2O*kgtoGg</f>
        <v>6.9380237942232425E-3</v>
      </c>
      <c r="AN99" s="22">
        <f>'Activity data'!AN58*ManureNEF*NtoN2O*kgtoGg</f>
        <v>6.9095105465409356E-3</v>
      </c>
      <c r="AO99" s="22">
        <f>'Activity data'!AO58*ManureNEF*NtoN2O*kgtoGg</f>
        <v>6.8809786257080429E-3</v>
      </c>
      <c r="AP99" s="22">
        <f>'Activity data'!AP58*ManureNEF*NtoN2O*kgtoGg</f>
        <v>6.8525183170752239E-3</v>
      </c>
      <c r="AQ99" s="22">
        <f>'Activity data'!AQ58*ManureNEF*NtoN2O*kgtoGg</f>
        <v>6.8239749451760381E-3</v>
      </c>
      <c r="AR99" s="22">
        <f>'Activity data'!AR58*ManureNEF*NtoN2O*kgtoGg</f>
        <v>6.7928404896063551E-3</v>
      </c>
      <c r="AS99" s="22">
        <f>'Activity data'!AS58*ManureNEF*NtoN2O*kgtoGg</f>
        <v>6.7617280578002523E-3</v>
      </c>
      <c r="AT99" s="22">
        <f>'Activity data'!AT58*ManureNEF*NtoN2O*kgtoGg</f>
        <v>6.730503192900872E-3</v>
      </c>
      <c r="AU99" s="22">
        <f>'Activity data'!AU58*ManureNEF*NtoN2O*kgtoGg</f>
        <v>6.6991948424242592E-3</v>
      </c>
      <c r="AV99" s="22">
        <f>'Activity data'!AV58*ManureNEF*NtoN2O*kgtoGg</f>
        <v>6.6677953864279589E-3</v>
      </c>
      <c r="AW99" s="22">
        <f>'Activity data'!AW58*ManureNEF*NtoN2O*kgtoGg</f>
        <v>6.6710911591393593E-3</v>
      </c>
      <c r="AX99" s="22">
        <f>'Activity data'!AX58*ManureNEF*NtoN2O*kgtoGg</f>
        <v>6.6728992577106856E-3</v>
      </c>
      <c r="AY99" s="22">
        <f>'Activity data'!AY58*ManureNEF*NtoN2O*kgtoGg</f>
        <v>6.6742194495451445E-3</v>
      </c>
      <c r="AZ99" s="22">
        <f>'Activity data'!AZ58*ManureNEF*NtoN2O*kgtoGg</f>
        <v>6.6748277046844405E-3</v>
      </c>
      <c r="BA99" s="22">
        <f>'Activity data'!BA58*ManureNEF*NtoN2O*kgtoGg</f>
        <v>6.6747360146508106E-3</v>
      </c>
      <c r="BB99" s="22">
        <f>'Activity data'!BB58*ManureNEF*NtoN2O*kgtoGg</f>
        <v>6.6758198303142821E-3</v>
      </c>
      <c r="BC99" s="22">
        <f>'Activity data'!BC58*ManureNEF*NtoN2O*kgtoGg</f>
        <v>6.6759867044129707E-3</v>
      </c>
      <c r="BD99" s="22">
        <f>'Activity data'!BD58*ManureNEF*NtoN2O*kgtoGg</f>
        <v>6.6750183259507833E-3</v>
      </c>
      <c r="BE99" s="22">
        <f>'Activity data'!BE58*ManureNEF*NtoN2O*kgtoGg</f>
        <v>6.6731206224139765E-3</v>
      </c>
      <c r="BF99" s="22">
        <f>'Activity data'!BF58*ManureNEF*NtoN2O*kgtoGg</f>
        <v>6.6704674235288103E-3</v>
      </c>
      <c r="BG99" s="22">
        <f>'Activity data'!BG58*ManureNEF*NtoN2O*kgtoGg</f>
        <v>6.6914918936782641E-3</v>
      </c>
      <c r="BH99" s="22">
        <f>'Activity data'!BH58*ManureNEF*NtoN2O*kgtoGg</f>
        <v>6.7118229211935842E-3</v>
      </c>
      <c r="BI99" s="22">
        <f>'Activity data'!BI58*ManureNEF*NtoN2O*kgtoGg</f>
        <v>6.7314297308867128E-3</v>
      </c>
      <c r="BJ99" s="22">
        <f>'Activity data'!BJ58*ManureNEF*NtoN2O*kgtoGg</f>
        <v>6.7503575936358655E-3</v>
      </c>
      <c r="BK99" s="22">
        <f>'Activity data'!BK58*ManureNEF*NtoN2O*kgtoGg</f>
        <v>6.7688079163993687E-3</v>
      </c>
      <c r="BL99" s="22">
        <f>'Activity data'!BL58*ManureNEF*NtoN2O*kgtoGg</f>
        <v>6.7845649886403491E-3</v>
      </c>
      <c r="BM99" s="22">
        <f>'Activity data'!BM58*ManureNEF*NtoN2O*kgtoGg</f>
        <v>6.7997658718804031E-3</v>
      </c>
      <c r="BN99" s="22">
        <f>'Activity data'!BN58*ManureNEF*NtoN2O*kgtoGg</f>
        <v>6.8140062708402201E-3</v>
      </c>
      <c r="BO99" s="22">
        <f>'Activity data'!BO58*ManureNEF*NtoN2O*kgtoGg</f>
        <v>6.8277186348005264E-3</v>
      </c>
      <c r="BP99" s="22">
        <f>'Activity data'!BP58*ManureNEF*NtoN2O*kgtoGg</f>
        <v>6.8409360849417183E-3</v>
      </c>
    </row>
    <row r="100" spans="1:68" x14ac:dyDescent="0.25">
      <c r="A100" t="str">
        <f t="shared" si="29"/>
        <v>3C Aggregated and non-CO2 emissions on land</v>
      </c>
      <c r="B100" t="str">
        <f t="shared" si="31"/>
        <v>3C4 Direct N2O from managed soils (N2O)</v>
      </c>
      <c r="C100" t="str">
        <f t="shared" si="35"/>
        <v>MM emissions</v>
      </c>
      <c r="D100" t="str">
        <f>'Activity data'!D59</f>
        <v xml:space="preserve"> - Subsistence goats</v>
      </c>
      <c r="E100" t="str">
        <f t="shared" si="32"/>
        <v>MM emissions - Subsistence goats</v>
      </c>
      <c r="F100" t="str">
        <f t="shared" si="33"/>
        <v>N2O</v>
      </c>
      <c r="G100" t="str">
        <f t="shared" si="34"/>
        <v>Gg N2O</v>
      </c>
      <c r="H100" s="22">
        <f>'Activity data'!H59*ManureNEF*NtoN2O*kgtoGg</f>
        <v>0.11880557253341303</v>
      </c>
      <c r="I100" s="22">
        <f>'Activity data'!I59*ManureNEF*NtoN2O*kgtoGg</f>
        <v>0.10505770346952495</v>
      </c>
      <c r="J100" s="22">
        <f>'Activity data'!J59*ManureNEF*NtoN2O*kgtoGg</f>
        <v>9.7862557043564835E-2</v>
      </c>
      <c r="K100" s="22">
        <f>'Activity data'!K59*ManureNEF*NtoN2O*kgtoGg</f>
        <v>9.2466197224094729E-2</v>
      </c>
      <c r="L100" s="22">
        <f>'Activity data'!L59*ManureNEF*NtoN2O*kgtoGg</f>
        <v>0.10008962617540962</v>
      </c>
      <c r="M100" s="22">
        <f>'Activity data'!M59*ManureNEF*NtoN2O*kgtoGg</f>
        <v>0.10146013025654488</v>
      </c>
      <c r="N100" s="22">
        <f>'Activity data'!N59*ManureNEF*NtoN2O*kgtoGg</f>
        <v>0.10304477560035755</v>
      </c>
      <c r="O100" s="22">
        <f>'Activity data'!O59*ManureNEF*NtoN2O*kgtoGg</f>
        <v>0.10253083656993182</v>
      </c>
      <c r="P100" s="22">
        <f>'Activity data'!P59*ManureNEF*NtoN2O*kgtoGg</f>
        <v>0.1010746759837256</v>
      </c>
      <c r="Q100" s="22">
        <f>'Activity data'!Q59*ManureNEF*NtoN2O*kgtoGg</f>
        <v>9.9575687144983924E-2</v>
      </c>
      <c r="R100" s="22">
        <f>'Activity data'!R59*ManureNEF*NtoN2O*kgtoGg</f>
        <v>0.10086053472104822</v>
      </c>
      <c r="S100" s="22">
        <f>'Activity data'!S59*ManureNEF*NtoN2O*kgtoGg</f>
        <v>0.10394416890360253</v>
      </c>
      <c r="T100" s="22">
        <f>'Activity data'!T59*ManureNEF*NtoN2O*kgtoGg</f>
        <v>9.4907407618616907E-2</v>
      </c>
      <c r="U100" s="22">
        <f>'Activity data'!U59*ManureNEF*NtoN2O*kgtoGg</f>
        <v>9.2509025476630202E-2</v>
      </c>
      <c r="V100" s="22">
        <f>'Activity data'!V59*ManureNEF*NtoN2O*kgtoGg</f>
        <v>9.268033848677211E-2</v>
      </c>
      <c r="W100" s="22">
        <f>'Activity data'!W59*ManureNEF*NtoN2O*kgtoGg</f>
        <v>9.1481147415778757E-2</v>
      </c>
      <c r="X100" s="22">
        <f>'Activity data'!X59*ManureNEF*NtoN2O*kgtoGg</f>
        <v>9.3408418779875241E-2</v>
      </c>
      <c r="Y100" s="22">
        <f>'Activity data'!Y59*ManureNEF*NtoN2O*kgtoGg</f>
        <v>9.0624582365069234E-2</v>
      </c>
      <c r="Z100" s="22">
        <f>'Activity data'!Z59*ManureNEF*NtoN2O*kgtoGg</f>
        <v>9.0538925859998259E-2</v>
      </c>
      <c r="AA100" s="22">
        <f>'Activity data'!AA59*ManureNEF*NtoN2O*kgtoGg</f>
        <v>8.8954280516185633E-2</v>
      </c>
      <c r="AB100" s="22">
        <f>'Activity data'!AB59*ManureNEF*NtoN2O*kgtoGg</f>
        <v>8.7883574202798714E-2</v>
      </c>
      <c r="AC100" s="22">
        <f>'Activity data'!AC59*ManureNEF*NtoN2O*kgtoGg</f>
        <v>8.7069837404624637E-2</v>
      </c>
      <c r="AD100" s="22">
        <f>'Activity data'!AD59*ManureNEF*NtoN2O*kgtoGg</f>
        <v>8.8027739226753624E-2</v>
      </c>
      <c r="AE100" s="22">
        <f>'Activity data'!AE59*ManureNEF*NtoN2O*kgtoGg</f>
        <v>8.7710374259366966E-2</v>
      </c>
      <c r="AF100" s="22">
        <f>'Activity data'!AF59*ManureNEF*NtoN2O*kgtoGg</f>
        <v>8.7396624762949945E-2</v>
      </c>
      <c r="AG100" s="22">
        <f>'Activity data'!AG59*ManureNEF*NtoN2O*kgtoGg</f>
        <v>8.7086943999262145E-2</v>
      </c>
      <c r="AH100" s="22">
        <f>'Activity data'!AH59*ManureNEF*NtoN2O*kgtoGg</f>
        <v>8.6756245411911834E-2</v>
      </c>
      <c r="AI100" s="22">
        <f>'Activity data'!AI59*ManureNEF*NtoN2O*kgtoGg</f>
        <v>8.642080511854551E-2</v>
      </c>
      <c r="AJ100" s="22">
        <f>'Activity data'!AJ59*ManureNEF*NtoN2O*kgtoGg</f>
        <v>8.6087288326077219E-2</v>
      </c>
      <c r="AK100" s="22">
        <f>'Activity data'!AK59*ManureNEF*NtoN2O*kgtoGg</f>
        <v>8.575557756701592E-2</v>
      </c>
      <c r="AL100" s="22">
        <f>'Activity data'!AL59*ManureNEF*NtoN2O*kgtoGg</f>
        <v>8.5524329260182011E-2</v>
      </c>
      <c r="AM100" s="22">
        <f>'Activity data'!AM59*ManureNEF*NtoN2O*kgtoGg</f>
        <v>8.5173270807735943E-2</v>
      </c>
      <c r="AN100" s="22">
        <f>'Activity data'!AN59*ManureNEF*NtoN2O*kgtoGg</f>
        <v>8.4823233586982211E-2</v>
      </c>
      <c r="AO100" s="22">
        <f>'Activity data'!AO59*ManureNEF*NtoN2O*kgtoGg</f>
        <v>8.44729671290049E-2</v>
      </c>
      <c r="AP100" s="22">
        <f>'Activity data'!AP59*ManureNEF*NtoN2O*kgtoGg</f>
        <v>8.412357980397539E-2</v>
      </c>
      <c r="AQ100" s="22">
        <f>'Activity data'!AQ59*ManureNEF*NtoN2O*kgtoGg</f>
        <v>8.3773172769257595E-2</v>
      </c>
      <c r="AR100" s="22">
        <f>'Activity data'!AR59*ManureNEF*NtoN2O*kgtoGg</f>
        <v>8.3390956810601463E-2</v>
      </c>
      <c r="AS100" s="22">
        <f>'Activity data'!AS59*ManureNEF*NtoN2O*kgtoGg</f>
        <v>8.3009011222303711E-2</v>
      </c>
      <c r="AT100" s="22">
        <f>'Activity data'!AT59*ManureNEF*NtoN2O*kgtoGg</f>
        <v>8.2625685371472204E-2</v>
      </c>
      <c r="AU100" s="22">
        <f>'Activity data'!AU59*ManureNEF*NtoN2O*kgtoGg</f>
        <v>8.2241334626536947E-2</v>
      </c>
      <c r="AV100" s="22">
        <f>'Activity data'!AV59*ManureNEF*NtoN2O*kgtoGg</f>
        <v>8.2241334626536947E-2</v>
      </c>
      <c r="AW100" s="22">
        <f>'Activity data'!AW59*ManureNEF*NtoN2O*kgtoGg</f>
        <v>8.2241334626536947E-2</v>
      </c>
      <c r="AX100" s="22">
        <f>'Activity data'!AX59*ManureNEF*NtoN2O*kgtoGg</f>
        <v>8.2241334626536947E-2</v>
      </c>
      <c r="AY100" s="22">
        <f>'Activity data'!AY59*ManureNEF*NtoN2O*kgtoGg</f>
        <v>8.2241334626536947E-2</v>
      </c>
      <c r="AZ100" s="22">
        <f>'Activity data'!AZ59*ManureNEF*NtoN2O*kgtoGg</f>
        <v>8.2241334626536947E-2</v>
      </c>
      <c r="BA100" s="22">
        <f>'Activity data'!BA59*ManureNEF*NtoN2O*kgtoGg</f>
        <v>8.2241334626536947E-2</v>
      </c>
      <c r="BB100" s="22">
        <f>'Activity data'!BB59*ManureNEF*NtoN2O*kgtoGg</f>
        <v>8.2241334626536947E-2</v>
      </c>
      <c r="BC100" s="22">
        <f>'Activity data'!BC59*ManureNEF*NtoN2O*kgtoGg</f>
        <v>8.2241334626536947E-2</v>
      </c>
      <c r="BD100" s="22">
        <f>'Activity data'!BD59*ManureNEF*NtoN2O*kgtoGg</f>
        <v>8.2241334626536947E-2</v>
      </c>
      <c r="BE100" s="22">
        <f>'Activity data'!BE59*ManureNEF*NtoN2O*kgtoGg</f>
        <v>8.2241334626536947E-2</v>
      </c>
      <c r="BF100" s="22">
        <f>'Activity data'!BF59*ManureNEF*NtoN2O*kgtoGg</f>
        <v>8.2241334626536947E-2</v>
      </c>
      <c r="BG100" s="22">
        <f>'Activity data'!BG59*ManureNEF*NtoN2O*kgtoGg</f>
        <v>8.2241334626536947E-2</v>
      </c>
      <c r="BH100" s="22">
        <f>'Activity data'!BH59*ManureNEF*NtoN2O*kgtoGg</f>
        <v>8.2241334626536947E-2</v>
      </c>
      <c r="BI100" s="22">
        <f>'Activity data'!BI59*ManureNEF*NtoN2O*kgtoGg</f>
        <v>8.2241334626536947E-2</v>
      </c>
      <c r="BJ100" s="22">
        <f>'Activity data'!BJ59*ManureNEF*NtoN2O*kgtoGg</f>
        <v>8.2241334626536947E-2</v>
      </c>
      <c r="BK100" s="22">
        <f>'Activity data'!BK59*ManureNEF*NtoN2O*kgtoGg</f>
        <v>8.2241334626536947E-2</v>
      </c>
      <c r="BL100" s="22">
        <f>'Activity data'!BL59*ManureNEF*NtoN2O*kgtoGg</f>
        <v>8.2241334626536947E-2</v>
      </c>
      <c r="BM100" s="22">
        <f>'Activity data'!BM59*ManureNEF*NtoN2O*kgtoGg</f>
        <v>8.2241334626536947E-2</v>
      </c>
      <c r="BN100" s="22">
        <f>'Activity data'!BN59*ManureNEF*NtoN2O*kgtoGg</f>
        <v>8.2241334626536947E-2</v>
      </c>
      <c r="BO100" s="22">
        <f>'Activity data'!BO59*ManureNEF*NtoN2O*kgtoGg</f>
        <v>8.2241334626536947E-2</v>
      </c>
      <c r="BP100" s="22">
        <f>'Activity data'!BP59*ManureNEF*NtoN2O*kgtoGg</f>
        <v>8.2241334626536947E-2</v>
      </c>
    </row>
    <row r="101" spans="1:68" x14ac:dyDescent="0.25">
      <c r="A101" t="str">
        <f t="shared" si="29"/>
        <v>3C Aggregated and non-CO2 emissions on land</v>
      </c>
      <c r="B101" t="str">
        <f t="shared" si="31"/>
        <v>3C4 Direct N2O from managed soils (N2O)</v>
      </c>
      <c r="C101" t="str">
        <f t="shared" si="35"/>
        <v>MM emissions</v>
      </c>
      <c r="D101" t="str">
        <f>'Activity data'!D60</f>
        <v xml:space="preserve"> - Horses</v>
      </c>
      <c r="E101" t="str">
        <f t="shared" si="32"/>
        <v>MM emissions - Horses</v>
      </c>
      <c r="F101" t="str">
        <f t="shared" si="33"/>
        <v>N2O</v>
      </c>
      <c r="G101" t="str">
        <f t="shared" si="34"/>
        <v>Gg N2O</v>
      </c>
      <c r="H101" s="22">
        <f>'Activity data'!H60*ManureNEF*NtoN2O*kgtoGg</f>
        <v>0</v>
      </c>
      <c r="I101" s="22">
        <f>'Activity data'!I60*ManureNEF*NtoN2O*kgtoGg</f>
        <v>0</v>
      </c>
      <c r="J101" s="22">
        <f>'Activity data'!J60*ManureNEF*NtoN2O*kgtoGg</f>
        <v>0</v>
      </c>
      <c r="K101" s="22">
        <f>'Activity data'!K60*ManureNEF*NtoN2O*kgtoGg</f>
        <v>0</v>
      </c>
      <c r="L101" s="22">
        <f>'Activity data'!L60*ManureNEF*NtoN2O*kgtoGg</f>
        <v>0</v>
      </c>
      <c r="M101" s="22">
        <f>'Activity data'!M60*ManureNEF*NtoN2O*kgtoGg</f>
        <v>0</v>
      </c>
      <c r="N101" s="22">
        <f>'Activity data'!N60*ManureNEF*NtoN2O*kgtoGg</f>
        <v>0</v>
      </c>
      <c r="O101" s="22">
        <f>'Activity data'!O60*ManureNEF*NtoN2O*kgtoGg</f>
        <v>0</v>
      </c>
      <c r="P101" s="22">
        <f>'Activity data'!P60*ManureNEF*NtoN2O*kgtoGg</f>
        <v>0</v>
      </c>
      <c r="Q101" s="22">
        <f>'Activity data'!Q60*ManureNEF*NtoN2O*kgtoGg</f>
        <v>0</v>
      </c>
      <c r="R101" s="22">
        <f>'Activity data'!R60*ManureNEF*NtoN2O*kgtoGg</f>
        <v>0</v>
      </c>
      <c r="S101" s="22">
        <f>'Activity data'!S60*ManureNEF*NtoN2O*kgtoGg</f>
        <v>0</v>
      </c>
      <c r="T101" s="22">
        <f>'Activity data'!T60*ManureNEF*NtoN2O*kgtoGg</f>
        <v>0</v>
      </c>
      <c r="U101" s="22">
        <f>'Activity data'!U60*ManureNEF*NtoN2O*kgtoGg</f>
        <v>0</v>
      </c>
      <c r="V101" s="22">
        <f>'Activity data'!V60*ManureNEF*NtoN2O*kgtoGg</f>
        <v>0</v>
      </c>
      <c r="W101" s="22">
        <f>'Activity data'!W60*ManureNEF*NtoN2O*kgtoGg</f>
        <v>0</v>
      </c>
      <c r="X101" s="22">
        <f>'Activity data'!X60*ManureNEF*NtoN2O*kgtoGg</f>
        <v>0</v>
      </c>
      <c r="Y101" s="22">
        <f>'Activity data'!Y60*ManureNEF*NtoN2O*kgtoGg</f>
        <v>0</v>
      </c>
      <c r="Z101" s="22">
        <f>'Activity data'!Z60*ManureNEF*NtoN2O*kgtoGg</f>
        <v>0</v>
      </c>
      <c r="AA101" s="22">
        <f>'Activity data'!AA60*ManureNEF*NtoN2O*kgtoGg</f>
        <v>0</v>
      </c>
      <c r="AB101" s="22">
        <f>'Activity data'!AB60*ManureNEF*NtoN2O*kgtoGg</f>
        <v>0</v>
      </c>
      <c r="AC101" s="22">
        <f>'Activity data'!AC60*ManureNEF*NtoN2O*kgtoGg</f>
        <v>0</v>
      </c>
      <c r="AD101" s="22">
        <f>'Activity data'!AD60*ManureNEF*NtoN2O*kgtoGg</f>
        <v>0</v>
      </c>
      <c r="AE101" s="22">
        <f>'Activity data'!AE60*ManureNEF*NtoN2O*kgtoGg</f>
        <v>0</v>
      </c>
      <c r="AF101" s="22">
        <f>'Activity data'!AF60*ManureNEF*NtoN2O*kgtoGg</f>
        <v>0</v>
      </c>
      <c r="AG101" s="22">
        <f>'Activity data'!AG60*ManureNEF*NtoN2O*kgtoGg</f>
        <v>0</v>
      </c>
      <c r="AH101" s="22">
        <f>'Activity data'!AH60*ManureNEF*NtoN2O*kgtoGg</f>
        <v>0</v>
      </c>
      <c r="AI101" s="22">
        <f>'Activity data'!AI60*ManureNEF*NtoN2O*kgtoGg</f>
        <v>0</v>
      </c>
      <c r="AJ101" s="22">
        <f>'Activity data'!AJ60*ManureNEF*NtoN2O*kgtoGg</f>
        <v>0</v>
      </c>
      <c r="AK101" s="22">
        <f>'Activity data'!AK60*ManureNEF*NtoN2O*kgtoGg</f>
        <v>0</v>
      </c>
      <c r="AL101" s="22">
        <f>'Activity data'!AL60*ManureNEF*NtoN2O*kgtoGg</f>
        <v>0</v>
      </c>
      <c r="AM101" s="22">
        <f>'Activity data'!AM60*ManureNEF*NtoN2O*kgtoGg</f>
        <v>0</v>
      </c>
      <c r="AN101" s="22">
        <f>'Activity data'!AN60*ManureNEF*NtoN2O*kgtoGg</f>
        <v>0</v>
      </c>
      <c r="AO101" s="22">
        <f>'Activity data'!AO60*ManureNEF*NtoN2O*kgtoGg</f>
        <v>0</v>
      </c>
      <c r="AP101" s="22">
        <f>'Activity data'!AP60*ManureNEF*NtoN2O*kgtoGg</f>
        <v>0</v>
      </c>
      <c r="AQ101" s="22">
        <f>'Activity data'!AQ60*ManureNEF*NtoN2O*kgtoGg</f>
        <v>0</v>
      </c>
      <c r="AR101" s="22">
        <f>'Activity data'!AR60*ManureNEF*NtoN2O*kgtoGg</f>
        <v>0</v>
      </c>
      <c r="AS101" s="22">
        <f>'Activity data'!AS60*ManureNEF*NtoN2O*kgtoGg</f>
        <v>0</v>
      </c>
      <c r="AT101" s="22">
        <f>'Activity data'!AT60*ManureNEF*NtoN2O*kgtoGg</f>
        <v>0</v>
      </c>
      <c r="AU101" s="22">
        <f>'Activity data'!AU60*ManureNEF*NtoN2O*kgtoGg</f>
        <v>0</v>
      </c>
      <c r="AV101" s="22">
        <f>'Activity data'!AV60*ManureNEF*NtoN2O*kgtoGg</f>
        <v>0</v>
      </c>
      <c r="AW101" s="22">
        <f>'Activity data'!AW60*ManureNEF*NtoN2O*kgtoGg</f>
        <v>0</v>
      </c>
      <c r="AX101" s="22">
        <f>'Activity data'!AX60*ManureNEF*NtoN2O*kgtoGg</f>
        <v>0</v>
      </c>
      <c r="AY101" s="22">
        <f>'Activity data'!AY60*ManureNEF*NtoN2O*kgtoGg</f>
        <v>0</v>
      </c>
      <c r="AZ101" s="22">
        <f>'Activity data'!AZ60*ManureNEF*NtoN2O*kgtoGg</f>
        <v>0</v>
      </c>
      <c r="BA101" s="22">
        <f>'Activity data'!BA60*ManureNEF*NtoN2O*kgtoGg</f>
        <v>0</v>
      </c>
      <c r="BB101" s="22">
        <f>'Activity data'!BB60*ManureNEF*NtoN2O*kgtoGg</f>
        <v>0</v>
      </c>
      <c r="BC101" s="22">
        <f>'Activity data'!BC60*ManureNEF*NtoN2O*kgtoGg</f>
        <v>0</v>
      </c>
      <c r="BD101" s="22">
        <f>'Activity data'!BD60*ManureNEF*NtoN2O*kgtoGg</f>
        <v>0</v>
      </c>
      <c r="BE101" s="22">
        <f>'Activity data'!BE60*ManureNEF*NtoN2O*kgtoGg</f>
        <v>0</v>
      </c>
      <c r="BF101" s="22">
        <f>'Activity data'!BF60*ManureNEF*NtoN2O*kgtoGg</f>
        <v>0</v>
      </c>
      <c r="BG101" s="22">
        <f>'Activity data'!BG60*ManureNEF*NtoN2O*kgtoGg</f>
        <v>0</v>
      </c>
      <c r="BH101" s="22">
        <f>'Activity data'!BH60*ManureNEF*NtoN2O*kgtoGg</f>
        <v>0</v>
      </c>
      <c r="BI101" s="22">
        <f>'Activity data'!BI60*ManureNEF*NtoN2O*kgtoGg</f>
        <v>0</v>
      </c>
      <c r="BJ101" s="22">
        <f>'Activity data'!BJ60*ManureNEF*NtoN2O*kgtoGg</f>
        <v>0</v>
      </c>
      <c r="BK101" s="22">
        <f>'Activity data'!BK60*ManureNEF*NtoN2O*kgtoGg</f>
        <v>0</v>
      </c>
      <c r="BL101" s="22">
        <f>'Activity data'!BL60*ManureNEF*NtoN2O*kgtoGg</f>
        <v>0</v>
      </c>
      <c r="BM101" s="22">
        <f>'Activity data'!BM60*ManureNEF*NtoN2O*kgtoGg</f>
        <v>0</v>
      </c>
      <c r="BN101" s="22">
        <f>'Activity data'!BN60*ManureNEF*NtoN2O*kgtoGg</f>
        <v>0</v>
      </c>
      <c r="BO101" s="22">
        <f>'Activity data'!BO60*ManureNEF*NtoN2O*kgtoGg</f>
        <v>0</v>
      </c>
      <c r="BP101" s="22">
        <f>'Activity data'!BP60*ManureNEF*NtoN2O*kgtoGg</f>
        <v>0</v>
      </c>
    </row>
    <row r="102" spans="1:68" x14ac:dyDescent="0.25">
      <c r="A102" t="str">
        <f t="shared" si="29"/>
        <v>3C Aggregated and non-CO2 emissions on land</v>
      </c>
      <c r="B102" t="str">
        <f t="shared" si="31"/>
        <v>3C4 Direct N2O from managed soils (N2O)</v>
      </c>
      <c r="C102" t="str">
        <f t="shared" si="35"/>
        <v>MM emissions</v>
      </c>
      <c r="D102" t="str">
        <f>'Activity data'!D61</f>
        <v xml:space="preserve"> - Mules &amp; Asses</v>
      </c>
      <c r="E102" t="str">
        <f t="shared" si="32"/>
        <v>MM emissions - Mules &amp; Asses</v>
      </c>
      <c r="F102" t="str">
        <f t="shared" si="33"/>
        <v>N2O</v>
      </c>
      <c r="G102" t="str">
        <f t="shared" si="34"/>
        <v>Gg N2O</v>
      </c>
      <c r="H102" s="22">
        <f>'Activity data'!H61*ManureNEF*NtoN2O*kgtoGg</f>
        <v>0</v>
      </c>
      <c r="I102" s="22">
        <f>'Activity data'!I61*ManureNEF*NtoN2O*kgtoGg</f>
        <v>0</v>
      </c>
      <c r="J102" s="22">
        <f>'Activity data'!J61*ManureNEF*NtoN2O*kgtoGg</f>
        <v>0</v>
      </c>
      <c r="K102" s="22">
        <f>'Activity data'!K61*ManureNEF*NtoN2O*kgtoGg</f>
        <v>0</v>
      </c>
      <c r="L102" s="22">
        <f>'Activity data'!L61*ManureNEF*NtoN2O*kgtoGg</f>
        <v>0</v>
      </c>
      <c r="M102" s="22">
        <f>'Activity data'!M61*ManureNEF*NtoN2O*kgtoGg</f>
        <v>0</v>
      </c>
      <c r="N102" s="22">
        <f>'Activity data'!N61*ManureNEF*NtoN2O*kgtoGg</f>
        <v>0</v>
      </c>
      <c r="O102" s="22">
        <f>'Activity data'!O61*ManureNEF*NtoN2O*kgtoGg</f>
        <v>0</v>
      </c>
      <c r="P102" s="22">
        <f>'Activity data'!P61*ManureNEF*NtoN2O*kgtoGg</f>
        <v>0</v>
      </c>
      <c r="Q102" s="22">
        <f>'Activity data'!Q61*ManureNEF*NtoN2O*kgtoGg</f>
        <v>0</v>
      </c>
      <c r="R102" s="22">
        <f>'Activity data'!R61*ManureNEF*NtoN2O*kgtoGg</f>
        <v>0</v>
      </c>
      <c r="S102" s="22">
        <f>'Activity data'!S61*ManureNEF*NtoN2O*kgtoGg</f>
        <v>0</v>
      </c>
      <c r="T102" s="22">
        <f>'Activity data'!T61*ManureNEF*NtoN2O*kgtoGg</f>
        <v>0</v>
      </c>
      <c r="U102" s="22">
        <f>'Activity data'!U61*ManureNEF*NtoN2O*kgtoGg</f>
        <v>0</v>
      </c>
      <c r="V102" s="22">
        <f>'Activity data'!V61*ManureNEF*NtoN2O*kgtoGg</f>
        <v>0</v>
      </c>
      <c r="W102" s="22">
        <f>'Activity data'!W61*ManureNEF*NtoN2O*kgtoGg</f>
        <v>0</v>
      </c>
      <c r="X102" s="22">
        <f>'Activity data'!X61*ManureNEF*NtoN2O*kgtoGg</f>
        <v>0</v>
      </c>
      <c r="Y102" s="22">
        <f>'Activity data'!Y61*ManureNEF*NtoN2O*kgtoGg</f>
        <v>0</v>
      </c>
      <c r="Z102" s="22">
        <f>'Activity data'!Z61*ManureNEF*NtoN2O*kgtoGg</f>
        <v>0</v>
      </c>
      <c r="AA102" s="22">
        <f>'Activity data'!AA61*ManureNEF*NtoN2O*kgtoGg</f>
        <v>0</v>
      </c>
      <c r="AB102" s="22">
        <f>'Activity data'!AB61*ManureNEF*NtoN2O*kgtoGg</f>
        <v>0</v>
      </c>
      <c r="AC102" s="22">
        <f>'Activity data'!AC61*ManureNEF*NtoN2O*kgtoGg</f>
        <v>0</v>
      </c>
      <c r="AD102" s="22">
        <f>'Activity data'!AD61*ManureNEF*NtoN2O*kgtoGg</f>
        <v>0</v>
      </c>
      <c r="AE102" s="22">
        <f>'Activity data'!AE61*ManureNEF*NtoN2O*kgtoGg</f>
        <v>0</v>
      </c>
      <c r="AF102" s="22">
        <f>'Activity data'!AF61*ManureNEF*NtoN2O*kgtoGg</f>
        <v>0</v>
      </c>
      <c r="AG102" s="22">
        <f>'Activity data'!AG61*ManureNEF*NtoN2O*kgtoGg</f>
        <v>0</v>
      </c>
      <c r="AH102" s="22">
        <f>'Activity data'!AH61*ManureNEF*NtoN2O*kgtoGg</f>
        <v>0</v>
      </c>
      <c r="AI102" s="22">
        <f>'Activity data'!AI61*ManureNEF*NtoN2O*kgtoGg</f>
        <v>0</v>
      </c>
      <c r="AJ102" s="22">
        <f>'Activity data'!AJ61*ManureNEF*NtoN2O*kgtoGg</f>
        <v>0</v>
      </c>
      <c r="AK102" s="22">
        <f>'Activity data'!AK61*ManureNEF*NtoN2O*kgtoGg</f>
        <v>0</v>
      </c>
      <c r="AL102" s="22">
        <f>'Activity data'!AL61*ManureNEF*NtoN2O*kgtoGg</f>
        <v>0</v>
      </c>
      <c r="AM102" s="22">
        <f>'Activity data'!AM61*ManureNEF*NtoN2O*kgtoGg</f>
        <v>0</v>
      </c>
      <c r="AN102" s="22">
        <f>'Activity data'!AN61*ManureNEF*NtoN2O*kgtoGg</f>
        <v>0</v>
      </c>
      <c r="AO102" s="22">
        <f>'Activity data'!AO61*ManureNEF*NtoN2O*kgtoGg</f>
        <v>0</v>
      </c>
      <c r="AP102" s="22">
        <f>'Activity data'!AP61*ManureNEF*NtoN2O*kgtoGg</f>
        <v>0</v>
      </c>
      <c r="AQ102" s="22">
        <f>'Activity data'!AQ61*ManureNEF*NtoN2O*kgtoGg</f>
        <v>0</v>
      </c>
      <c r="AR102" s="22">
        <f>'Activity data'!AR61*ManureNEF*NtoN2O*kgtoGg</f>
        <v>0</v>
      </c>
      <c r="AS102" s="22">
        <f>'Activity data'!AS61*ManureNEF*NtoN2O*kgtoGg</f>
        <v>0</v>
      </c>
      <c r="AT102" s="22">
        <f>'Activity data'!AT61*ManureNEF*NtoN2O*kgtoGg</f>
        <v>0</v>
      </c>
      <c r="AU102" s="22">
        <f>'Activity data'!AU61*ManureNEF*NtoN2O*kgtoGg</f>
        <v>0</v>
      </c>
      <c r="AV102" s="22">
        <f>'Activity data'!AV61*ManureNEF*NtoN2O*kgtoGg</f>
        <v>0</v>
      </c>
      <c r="AW102" s="22">
        <f>'Activity data'!AW61*ManureNEF*NtoN2O*kgtoGg</f>
        <v>0</v>
      </c>
      <c r="AX102" s="22">
        <f>'Activity data'!AX61*ManureNEF*NtoN2O*kgtoGg</f>
        <v>0</v>
      </c>
      <c r="AY102" s="22">
        <f>'Activity data'!AY61*ManureNEF*NtoN2O*kgtoGg</f>
        <v>0</v>
      </c>
      <c r="AZ102" s="22">
        <f>'Activity data'!AZ61*ManureNEF*NtoN2O*kgtoGg</f>
        <v>0</v>
      </c>
      <c r="BA102" s="22">
        <f>'Activity data'!BA61*ManureNEF*NtoN2O*kgtoGg</f>
        <v>0</v>
      </c>
      <c r="BB102" s="22">
        <f>'Activity data'!BB61*ManureNEF*NtoN2O*kgtoGg</f>
        <v>0</v>
      </c>
      <c r="BC102" s="22">
        <f>'Activity data'!BC61*ManureNEF*NtoN2O*kgtoGg</f>
        <v>0</v>
      </c>
      <c r="BD102" s="22">
        <f>'Activity data'!BD61*ManureNEF*NtoN2O*kgtoGg</f>
        <v>0</v>
      </c>
      <c r="BE102" s="22">
        <f>'Activity data'!BE61*ManureNEF*NtoN2O*kgtoGg</f>
        <v>0</v>
      </c>
      <c r="BF102" s="22">
        <f>'Activity data'!BF61*ManureNEF*NtoN2O*kgtoGg</f>
        <v>0</v>
      </c>
      <c r="BG102" s="22">
        <f>'Activity data'!BG61*ManureNEF*NtoN2O*kgtoGg</f>
        <v>0</v>
      </c>
      <c r="BH102" s="22">
        <f>'Activity data'!BH61*ManureNEF*NtoN2O*kgtoGg</f>
        <v>0</v>
      </c>
      <c r="BI102" s="22">
        <f>'Activity data'!BI61*ManureNEF*NtoN2O*kgtoGg</f>
        <v>0</v>
      </c>
      <c r="BJ102" s="22">
        <f>'Activity data'!BJ61*ManureNEF*NtoN2O*kgtoGg</f>
        <v>0</v>
      </c>
      <c r="BK102" s="22">
        <f>'Activity data'!BK61*ManureNEF*NtoN2O*kgtoGg</f>
        <v>0</v>
      </c>
      <c r="BL102" s="22">
        <f>'Activity data'!BL61*ManureNEF*NtoN2O*kgtoGg</f>
        <v>0</v>
      </c>
      <c r="BM102" s="22">
        <f>'Activity data'!BM61*ManureNEF*NtoN2O*kgtoGg</f>
        <v>0</v>
      </c>
      <c r="BN102" s="22">
        <f>'Activity data'!BN61*ManureNEF*NtoN2O*kgtoGg</f>
        <v>0</v>
      </c>
      <c r="BO102" s="22">
        <f>'Activity data'!BO61*ManureNEF*NtoN2O*kgtoGg</f>
        <v>0</v>
      </c>
      <c r="BP102" s="22">
        <f>'Activity data'!BP61*ManureNEF*NtoN2O*kgtoGg</f>
        <v>0</v>
      </c>
    </row>
    <row r="103" spans="1:68" x14ac:dyDescent="0.25">
      <c r="A103" t="str">
        <f t="shared" si="29"/>
        <v>3C Aggregated and non-CO2 emissions on land</v>
      </c>
      <c r="B103" t="str">
        <f t="shared" si="31"/>
        <v>3C4 Direct N2O from managed soils (N2O)</v>
      </c>
      <c r="C103" t="str">
        <f t="shared" si="35"/>
        <v>MM emissions</v>
      </c>
      <c r="D103" t="str">
        <f>'Activity data'!D62</f>
        <v xml:space="preserve"> - Commercial swine</v>
      </c>
      <c r="E103" t="str">
        <f t="shared" si="32"/>
        <v>MM emissions - Commercial swine</v>
      </c>
      <c r="F103" t="str">
        <f t="shared" si="33"/>
        <v>N2O</v>
      </c>
      <c r="G103" t="str">
        <f t="shared" si="34"/>
        <v>Gg N2O</v>
      </c>
      <c r="H103" s="22">
        <f>'Activity data'!H62*ManureNEF*NtoN2O*kgtoGg</f>
        <v>0.11469131025188571</v>
      </c>
      <c r="I103" s="22">
        <f>'Activity data'!I62*ManureNEF*NtoN2O*kgtoGg</f>
        <v>0.12530251415314284</v>
      </c>
      <c r="J103" s="22">
        <f>'Activity data'!J62*ManureNEF*NtoN2O*kgtoGg</f>
        <v>0.1244746897353143</v>
      </c>
      <c r="K103" s="22">
        <f>'Activity data'!K62*ManureNEF*NtoN2O*kgtoGg</f>
        <v>0.12439943297005714</v>
      </c>
      <c r="L103" s="22">
        <f>'Activity data'!L62*ManureNEF*NtoN2O*kgtoGg</f>
        <v>0.11815312145371427</v>
      </c>
      <c r="M103" s="22">
        <f>'Activity data'!M62*ManureNEF*NtoN2O*kgtoGg</f>
        <v>0.11928197293257144</v>
      </c>
      <c r="N103" s="22">
        <f>'Activity data'!N62*ManureNEF*NtoN2O*kgtoGg</f>
        <v>0.12846329829394287</v>
      </c>
      <c r="O103" s="22">
        <f>'Activity data'!O62*ManureNEF*NtoN2O*kgtoGg</f>
        <v>0.12786124417188571</v>
      </c>
      <c r="P103" s="22">
        <f>'Activity data'!P62*ManureNEF*NtoN2O*kgtoGg</f>
        <v>0.13064574448639998</v>
      </c>
      <c r="Q103" s="22">
        <f>'Activity data'!Q62*ManureNEF*NtoN2O*kgtoGg</f>
        <v>0.13395704215771428</v>
      </c>
      <c r="R103" s="22">
        <f>'Activity data'!R62*ManureNEF*NtoN2O*kgtoGg</f>
        <v>0.12394789237851427</v>
      </c>
      <c r="S103" s="22">
        <f>'Activity data'!S62*ManureNEF*NtoN2O*kgtoGg</f>
        <v>0.12628085210148574</v>
      </c>
      <c r="T103" s="22">
        <f>'Activity data'!T62*ManureNEF*NtoN2O*kgtoGg</f>
        <v>0.12868906858971427</v>
      </c>
      <c r="U103" s="22">
        <f>'Activity data'!U62*ManureNEF*NtoN2O*kgtoGg</f>
        <v>0.12515200062262857</v>
      </c>
      <c r="V103" s="22">
        <f>'Activity data'!V62*ManureNEF*NtoN2O*kgtoGg</f>
        <v>0.12515200062262857</v>
      </c>
      <c r="W103" s="22">
        <f>'Activity data'!W62*ManureNEF*NtoN2O*kgtoGg</f>
        <v>0.12424891943954286</v>
      </c>
      <c r="X103" s="22">
        <f>'Activity data'!X62*ManureNEF*NtoN2O*kgtoGg</f>
        <v>0.12206647324708569</v>
      </c>
      <c r="Y103" s="22">
        <f>'Activity data'!Y62*ManureNEF*NtoN2O*kgtoGg</f>
        <v>0.12424891943954286</v>
      </c>
      <c r="Z103" s="22">
        <f>'Activity data'!Z62*ManureNEF*NtoN2O*kgtoGg</f>
        <v>0.12153967589028571</v>
      </c>
      <c r="AA103" s="22">
        <f>'Activity data'!AA62*ManureNEF*NtoN2O*kgtoGg</f>
        <v>0.12138916235977143</v>
      </c>
      <c r="AB103" s="22">
        <f>'Activity data'!AB62*ManureNEF*NtoN2O*kgtoGg</f>
        <v>0.11995928381988573</v>
      </c>
      <c r="AC103" s="22">
        <f>'Activity data'!AC62*ManureNEF*NtoN2O*kgtoGg</f>
        <v>0.11920671616731429</v>
      </c>
      <c r="AD103" s="22">
        <f>'Activity data'!AD62*ManureNEF*NtoN2O*kgtoGg</f>
        <v>0.11796691444897055</v>
      </c>
      <c r="AE103" s="22">
        <f>'Activity data'!AE62*ManureNEF*NtoN2O*kgtoGg</f>
        <v>0.11748849610551812</v>
      </c>
      <c r="AF103" s="22">
        <f>'Activity data'!AF62*ManureNEF*NtoN2O*kgtoGg</f>
        <v>0.11714542726090471</v>
      </c>
      <c r="AG103" s="22">
        <f>'Activity data'!AG62*ManureNEF*NtoN2O*kgtoGg</f>
        <v>0.11693437640964931</v>
      </c>
      <c r="AH103" s="22">
        <f>'Activity data'!AH62*ManureNEF*NtoN2O*kgtoGg</f>
        <v>0.11683113395103767</v>
      </c>
      <c r="AI103" s="22">
        <f>'Activity data'!AI62*ManureNEF*NtoN2O*kgtoGg</f>
        <v>0.11664316694577133</v>
      </c>
      <c r="AJ103" s="22">
        <f>'Activity data'!AJ62*ManureNEF*NtoN2O*kgtoGg</f>
        <v>0.11649164611076672</v>
      </c>
      <c r="AK103" s="22">
        <f>'Activity data'!AK62*ManureNEF*NtoN2O*kgtoGg</f>
        <v>0.11637340186265999</v>
      </c>
      <c r="AL103" s="22">
        <f>'Activity data'!AL62*ManureNEF*NtoN2O*kgtoGg</f>
        <v>0.11820933739377829</v>
      </c>
      <c r="AM103" s="22">
        <f>'Activity data'!AM62*ManureNEF*NtoN2O*kgtoGg</f>
        <v>0.11776388898666594</v>
      </c>
      <c r="AN103" s="22">
        <f>'Activity data'!AN62*ManureNEF*NtoN2O*kgtoGg</f>
        <v>0.11735488865212979</v>
      </c>
      <c r="AO103" s="22">
        <f>'Activity data'!AO62*ManureNEF*NtoN2O*kgtoGg</f>
        <v>0.11695490081094113</v>
      </c>
      <c r="AP103" s="22">
        <f>'Activity data'!AP62*ManureNEF*NtoN2O*kgtoGg</f>
        <v>0.11658410785724831</v>
      </c>
      <c r="AQ103" s="22">
        <f>'Activity data'!AQ62*ManureNEF*NtoN2O*kgtoGg</f>
        <v>0.11620592055855471</v>
      </c>
      <c r="AR103" s="22">
        <f>'Activity data'!AR62*ManureNEF*NtoN2O*kgtoGg</f>
        <v>0.11576444574191515</v>
      </c>
      <c r="AS103" s="22">
        <f>'Activity data'!AS62*ManureNEF*NtoN2O*kgtoGg</f>
        <v>0.11534336565101652</v>
      </c>
      <c r="AT103" s="22">
        <f>'Activity data'!AT62*ManureNEF*NtoN2O*kgtoGg</f>
        <v>0.1149147611272415</v>
      </c>
      <c r="AU103" s="22">
        <f>'Activity data'!AU62*ManureNEF*NtoN2O*kgtoGg</f>
        <v>0.11448561322992114</v>
      </c>
      <c r="AV103" s="22">
        <f>'Activity data'!AV62*ManureNEF*NtoN2O*kgtoGg</f>
        <v>0.11405532523329161</v>
      </c>
      <c r="AW103" s="22">
        <f>'Activity data'!AW62*ManureNEF*NtoN2O*kgtoGg</f>
        <v>0.11492228233653198</v>
      </c>
      <c r="AX103" s="22">
        <f>'Activity data'!AX62*ManureNEF*NtoN2O*kgtoGg</f>
        <v>0.11536967840204784</v>
      </c>
      <c r="AY103" s="22">
        <f>'Activity data'!AY62*ManureNEF*NtoN2O*kgtoGg</f>
        <v>0.11599419560888688</v>
      </c>
      <c r="AZ103" s="22">
        <f>'Activity data'!AZ62*ManureNEF*NtoN2O*kgtoGg</f>
        <v>0.11663616115980233</v>
      </c>
      <c r="BA103" s="22">
        <f>'Activity data'!BA62*ManureNEF*NtoN2O*kgtoGg</f>
        <v>0.11727954380412937</v>
      </c>
      <c r="BB103" s="22">
        <f>'Activity data'!BB62*ManureNEF*NtoN2O*kgtoGg</f>
        <v>0.11775078695098434</v>
      </c>
      <c r="BC103" s="22">
        <f>'Activity data'!BC62*ManureNEF*NtoN2O*kgtoGg</f>
        <v>0.11810667168879034</v>
      </c>
      <c r="BD103" s="22">
        <f>'Activity data'!BD62*ManureNEF*NtoN2O*kgtoGg</f>
        <v>0.11823359275672991</v>
      </c>
      <c r="BE103" s="22">
        <f>'Activity data'!BE62*ManureNEF*NtoN2O*kgtoGg</f>
        <v>0.11822553379544856</v>
      </c>
      <c r="BF103" s="22">
        <f>'Activity data'!BF62*ManureNEF*NtoN2O*kgtoGg</f>
        <v>0.11814657284720652</v>
      </c>
      <c r="BG103" s="22">
        <f>'Activity data'!BG62*ManureNEF*NtoN2O*kgtoGg</f>
        <v>0.11878840430614437</v>
      </c>
      <c r="BH103" s="22">
        <f>'Activity data'!BH62*ManureNEF*NtoN2O*kgtoGg</f>
        <v>0.11933303142604727</v>
      </c>
      <c r="BI103" s="22">
        <f>'Activity data'!BI62*ManureNEF*NtoN2O*kgtoGg</f>
        <v>0.11975803888335182</v>
      </c>
      <c r="BJ103" s="22">
        <f>'Activity data'!BJ62*ManureNEF*NtoN2O*kgtoGg</f>
        <v>0.12007092232221084</v>
      </c>
      <c r="BK103" s="22">
        <f>'Activity data'!BK62*ManureNEF*NtoN2O*kgtoGg</f>
        <v>0.12033081791784939</v>
      </c>
      <c r="BL103" s="22">
        <f>'Activity data'!BL62*ManureNEF*NtoN2O*kgtoGg</f>
        <v>0.12048052855846204</v>
      </c>
      <c r="BM103" s="22">
        <f>'Activity data'!BM62*ManureNEF*NtoN2O*kgtoGg</f>
        <v>0.12050442244859148</v>
      </c>
      <c r="BN103" s="22">
        <f>'Activity data'!BN62*ManureNEF*NtoN2O*kgtoGg</f>
        <v>0.12026750954347579</v>
      </c>
      <c r="BO103" s="22">
        <f>'Activity data'!BO62*ManureNEF*NtoN2O*kgtoGg</f>
        <v>0.11989848670429908</v>
      </c>
      <c r="BP103" s="22">
        <f>'Activity data'!BP62*ManureNEF*NtoN2O*kgtoGg</f>
        <v>0.11939239612304038</v>
      </c>
    </row>
    <row r="104" spans="1:68" x14ac:dyDescent="0.25">
      <c r="A104" t="str">
        <f t="shared" si="29"/>
        <v>3C Aggregated and non-CO2 emissions on land</v>
      </c>
      <c r="B104" t="str">
        <f t="shared" si="31"/>
        <v>3C4 Direct N2O from managed soils (N2O)</v>
      </c>
      <c r="C104" t="str">
        <f t="shared" si="35"/>
        <v>MM emissions</v>
      </c>
      <c r="D104" t="str">
        <f>'Activity data'!D63</f>
        <v xml:space="preserve"> - Subsistence swine</v>
      </c>
      <c r="E104" t="str">
        <f t="shared" si="32"/>
        <v>MM emissions - Subsistence swine</v>
      </c>
      <c r="F104" t="str">
        <f t="shared" si="33"/>
        <v>N2O</v>
      </c>
      <c r="G104" t="str">
        <f t="shared" si="34"/>
        <v>Gg N2O</v>
      </c>
      <c r="H104" s="22">
        <f>'Activity data'!H63*ManureNEF*NtoN2O*kgtoGg</f>
        <v>2.7864346310359195E-2</v>
      </c>
      <c r="I104" s="22">
        <f>'Activity data'!I63*ManureNEF*NtoN2O*kgtoGg</f>
        <v>3.0442346854821566E-2</v>
      </c>
      <c r="J104" s="22">
        <f>'Activity data'!J63*ManureNEF*NtoN2O*kgtoGg</f>
        <v>3.0241226244969888E-2</v>
      </c>
      <c r="K104" s="22">
        <f>'Activity data'!K63*ManureNEF*NtoN2O*kgtoGg</f>
        <v>3.0222942553165193E-2</v>
      </c>
      <c r="L104" s="22">
        <f>'Activity data'!L63*ManureNEF*NtoN2O*kgtoGg</f>
        <v>2.8705396133375288E-2</v>
      </c>
      <c r="M104" s="22">
        <f>'Activity data'!M63*ManureNEF*NtoN2O*kgtoGg</f>
        <v>2.8979651510445754E-2</v>
      </c>
      <c r="N104" s="22">
        <f>'Activity data'!N63*ManureNEF*NtoN2O*kgtoGg</f>
        <v>3.1210261910618868E-2</v>
      </c>
      <c r="O104" s="22">
        <f>'Activity data'!O63*ManureNEF*NtoN2O*kgtoGg</f>
        <v>3.1063992376181286E-2</v>
      </c>
      <c r="P104" s="22">
        <f>'Activity data'!P63*ManureNEF*NtoN2O*kgtoGg</f>
        <v>3.1740488972955096E-2</v>
      </c>
      <c r="Q104" s="22">
        <f>'Activity data'!Q63*ManureNEF*NtoN2O*kgtoGg</f>
        <v>3.2544971412361789E-2</v>
      </c>
      <c r="R104" s="22">
        <f>'Activity data'!R63*ManureNEF*NtoN2O*kgtoGg</f>
        <v>3.011324040233701E-2</v>
      </c>
      <c r="S104" s="22">
        <f>'Activity data'!S63*ManureNEF*NtoN2O*kgtoGg</f>
        <v>3.0680034848282637E-2</v>
      </c>
      <c r="T104" s="22">
        <f>'Activity data'!T63*ManureNEF*NtoN2O*kgtoGg</f>
        <v>3.1265112986032961E-2</v>
      </c>
      <c r="U104" s="22">
        <f>'Activity data'!U63*ManureNEF*NtoN2O*kgtoGg</f>
        <v>3.0405779471212167E-2</v>
      </c>
      <c r="V104" s="22">
        <f>'Activity data'!V63*ManureNEF*NtoN2O*kgtoGg</f>
        <v>3.0405779471212167E-2</v>
      </c>
      <c r="W104" s="22">
        <f>'Activity data'!W63*ManureNEF*NtoN2O*kgtoGg</f>
        <v>3.0186375169555798E-2</v>
      </c>
      <c r="X104" s="22">
        <f>'Activity data'!X63*ManureNEF*NtoN2O*kgtoGg</f>
        <v>2.9656148107219563E-2</v>
      </c>
      <c r="Y104" s="22">
        <f>'Activity data'!Y63*ManureNEF*NtoN2O*kgtoGg</f>
        <v>3.0186375169555798E-2</v>
      </c>
      <c r="Z104" s="22">
        <f>'Activity data'!Z63*ManureNEF*NtoN2O*kgtoGg</f>
        <v>2.9528162264586686E-2</v>
      </c>
      <c r="AA104" s="22">
        <f>'Activity data'!AA63*ManureNEF*NtoN2O*kgtoGg</f>
        <v>2.9491594880977284E-2</v>
      </c>
      <c r="AB104" s="22">
        <f>'Activity data'!AB63*ManureNEF*NtoN2O*kgtoGg</f>
        <v>2.9144204736688033E-2</v>
      </c>
      <c r="AC104" s="22">
        <f>'Activity data'!AC63*ManureNEF*NtoN2O*kgtoGg</f>
        <v>2.8961367818641053E-2</v>
      </c>
      <c r="AD104" s="22">
        <f>'Activity data'!AD63*ManureNEF*NtoN2O*kgtoGg</f>
        <v>2.8751462850744265E-2</v>
      </c>
      <c r="AE104" s="22">
        <f>'Activity data'!AE63*ManureNEF*NtoN2O*kgtoGg</f>
        <v>2.8634860434777563E-2</v>
      </c>
      <c r="AF104" s="22">
        <f>'Activity data'!AF63*ManureNEF*NtoN2O*kgtoGg</f>
        <v>2.8551246048597979E-2</v>
      </c>
      <c r="AG104" s="22">
        <f>'Activity data'!AG63*ManureNEF*NtoN2O*kgtoGg</f>
        <v>2.8499807721692236E-2</v>
      </c>
      <c r="AH104" s="22">
        <f>'Activity data'!AH63*ManureNEF*NtoN2O*kgtoGg</f>
        <v>2.8474644973923022E-2</v>
      </c>
      <c r="AI104" s="22">
        <f>'Activity data'!AI63*ManureNEF*NtoN2O*kgtoGg</f>
        <v>2.8428832752807255E-2</v>
      </c>
      <c r="AJ104" s="22">
        <f>'Activity data'!AJ63*ManureNEF*NtoN2O*kgtoGg</f>
        <v>2.839190336731728E-2</v>
      </c>
      <c r="AK104" s="22">
        <f>'Activity data'!AK63*ManureNEF*NtoN2O*kgtoGg</f>
        <v>2.8363084311375755E-2</v>
      </c>
      <c r="AL104" s="22">
        <f>'Activity data'!AL63*ManureNEF*NtoN2O*kgtoGg</f>
        <v>2.8810547334935151E-2</v>
      </c>
      <c r="AM104" s="22">
        <f>'Activity data'!AM63*ManureNEF*NtoN2O*kgtoGg</f>
        <v>2.8701980510170446E-2</v>
      </c>
      <c r="AN104" s="22">
        <f>'Activity data'!AN63*ManureNEF*NtoN2O*kgtoGg</f>
        <v>2.8602296984672756E-2</v>
      </c>
      <c r="AO104" s="22">
        <f>'Activity data'!AO63*ManureNEF*NtoN2O*kgtoGg</f>
        <v>2.8504810027330491E-2</v>
      </c>
      <c r="AP104" s="22">
        <f>'Activity data'!AP63*ManureNEF*NtoN2O*kgtoGg</f>
        <v>2.8414438588158633E-2</v>
      </c>
      <c r="AQ104" s="22">
        <f>'Activity data'!AQ63*ManureNEF*NtoN2O*kgtoGg</f>
        <v>2.832226496371654E-2</v>
      </c>
      <c r="AR104" s="22">
        <f>'Activity data'!AR63*ManureNEF*NtoN2O*kgtoGg</f>
        <v>2.8214666601502514E-2</v>
      </c>
      <c r="AS104" s="22">
        <f>'Activity data'!AS63*ManureNEF*NtoN2O*kgtoGg</f>
        <v>2.8112038939778781E-2</v>
      </c>
      <c r="AT104" s="22">
        <f>'Activity data'!AT63*ManureNEF*NtoN2O*kgtoGg</f>
        <v>2.8007577387143129E-2</v>
      </c>
      <c r="AU104" s="22">
        <f>'Activity data'!AU63*ManureNEF*NtoN2O*kgtoGg</f>
        <v>2.7902983400897783E-2</v>
      </c>
      <c r="AV104" s="22">
        <f>'Activity data'!AV63*ManureNEF*NtoN2O*kgtoGg</f>
        <v>2.7798111544174203E-2</v>
      </c>
      <c r="AW104" s="22">
        <f>'Activity data'!AW63*ManureNEF*NtoN2O*kgtoGg</f>
        <v>2.8009410492387237E-2</v>
      </c>
      <c r="AX104" s="22">
        <f>'Activity data'!AX63*ManureNEF*NtoN2O*kgtoGg</f>
        <v>2.8118452009810432E-2</v>
      </c>
      <c r="AY104" s="22">
        <f>'Activity data'!AY63*ManureNEF*NtoN2O*kgtoGg</f>
        <v>2.8270662342308798E-2</v>
      </c>
      <c r="AZ104" s="22">
        <f>'Activity data'!AZ63*ManureNEF*NtoN2O*kgtoGg</f>
        <v>2.8427125269010048E-2</v>
      </c>
      <c r="BA104" s="22">
        <f>'Activity data'!BA63*ManureNEF*NtoN2O*kgtoGg</f>
        <v>2.8583933576522284E-2</v>
      </c>
      <c r="BB104" s="22">
        <f>'Activity data'!BB63*ManureNEF*NtoN2O*kgtoGg</f>
        <v>2.869878721911992E-2</v>
      </c>
      <c r="BC104" s="22">
        <f>'Activity data'!BC63*ManureNEF*NtoN2O*kgtoGg</f>
        <v>2.8785525156328599E-2</v>
      </c>
      <c r="BD104" s="22">
        <f>'Activity data'!BD63*ManureNEF*NtoN2O*kgtoGg</f>
        <v>2.8816458968464711E-2</v>
      </c>
      <c r="BE104" s="22">
        <f>'Activity data'!BE63*ManureNEF*NtoN2O*kgtoGg</f>
        <v>2.8814494799723169E-2</v>
      </c>
      <c r="BF104" s="22">
        <f>'Activity data'!BF63*ManureNEF*NtoN2O*kgtoGg</f>
        <v>2.8795250058257772E-2</v>
      </c>
      <c r="BG104" s="22">
        <f>'Activity data'!BG63*ManureNEF*NtoN2O*kgtoGg</f>
        <v>2.8951680303418367E-2</v>
      </c>
      <c r="BH104" s="22">
        <f>'Activity data'!BH63*ManureNEF*NtoN2O*kgtoGg</f>
        <v>2.9084419440307201E-2</v>
      </c>
      <c r="BI104" s="22">
        <f>'Activity data'!BI63*ManureNEF*NtoN2O*kgtoGg</f>
        <v>2.9188004298630062E-2</v>
      </c>
      <c r="BJ104" s="22">
        <f>'Activity data'!BJ63*ManureNEF*NtoN2O*kgtoGg</f>
        <v>2.9264261752772931E-2</v>
      </c>
      <c r="BK104" s="22">
        <f>'Activity data'!BK63*ManureNEF*NtoN2O*kgtoGg</f>
        <v>2.9327604755325618E-2</v>
      </c>
      <c r="BL104" s="22">
        <f>'Activity data'!BL63*ManureNEF*NtoN2O*kgtoGg</f>
        <v>2.9364092951546076E-2</v>
      </c>
      <c r="BM104" s="22">
        <f>'Activity data'!BM63*ManureNEF*NtoN2O*kgtoGg</f>
        <v>2.936991648518366E-2</v>
      </c>
      <c r="BN104" s="22">
        <f>'Activity data'!BN63*ManureNEF*NtoN2O*kgtoGg</f>
        <v>2.9312174934324992E-2</v>
      </c>
      <c r="BO104" s="22">
        <f>'Activity data'!BO63*ManureNEF*NtoN2O*kgtoGg</f>
        <v>2.922223491596285E-2</v>
      </c>
      <c r="BP104" s="22">
        <f>'Activity data'!BP63*ManureNEF*NtoN2O*kgtoGg</f>
        <v>2.9098888089319642E-2</v>
      </c>
    </row>
    <row r="105" spans="1:68" x14ac:dyDescent="0.25">
      <c r="A105" t="str">
        <f t="shared" si="29"/>
        <v>3C Aggregated and non-CO2 emissions on land</v>
      </c>
      <c r="B105" t="str">
        <f t="shared" si="31"/>
        <v>3C4 Direct N2O from managed soils (N2O)</v>
      </c>
      <c r="C105" t="str">
        <f t="shared" si="35"/>
        <v>MM emissions</v>
      </c>
      <c r="D105" t="str">
        <f>'Activity data'!D64</f>
        <v xml:space="preserve"> - Commercial layers</v>
      </c>
      <c r="E105" t="str">
        <f t="shared" si="32"/>
        <v>MM emissions - Commercial layers</v>
      </c>
      <c r="F105" t="str">
        <f t="shared" si="33"/>
        <v>N2O</v>
      </c>
      <c r="G105" t="str">
        <f t="shared" si="34"/>
        <v>Gg N2O</v>
      </c>
      <c r="H105" s="22">
        <f>'Activity data'!H64*ManureNEF*NtoN2O*kgtoGg</f>
        <v>9.7200530286632988E-2</v>
      </c>
      <c r="I105" s="22">
        <f>'Activity data'!I64*ManureNEF*NtoN2O*kgtoGg</f>
        <v>9.4428858969144991E-2</v>
      </c>
      <c r="J105" s="22">
        <f>'Activity data'!J64*ManureNEF*NtoN2O*kgtoGg</f>
        <v>8.9559204193753711E-2</v>
      </c>
      <c r="K105" s="22">
        <f>'Activity data'!K64*ManureNEF*NtoN2O*kgtoGg</f>
        <v>8.8151043346442318E-2</v>
      </c>
      <c r="L105" s="22">
        <f>'Activity data'!L64*ManureNEF*NtoN2O*kgtoGg</f>
        <v>8.4316790348484383E-2</v>
      </c>
      <c r="M105" s="22">
        <f>'Activity data'!M64*ManureNEF*NtoN2O*kgtoGg</f>
        <v>9.2000112653199614E-2</v>
      </c>
      <c r="N105" s="22">
        <f>'Activity data'!N64*ManureNEF*NtoN2O*kgtoGg</f>
        <v>9.7180196522010265E-2</v>
      </c>
      <c r="O105" s="22">
        <f>'Activity data'!O64*ManureNEF*NtoN2O*kgtoGg</f>
        <v>9.7499760881509301E-2</v>
      </c>
      <c r="P105" s="22">
        <f>'Activity data'!P64*ManureNEF*NtoN2O*kgtoGg</f>
        <v>0.10977650358290812</v>
      </c>
      <c r="Q105" s="22">
        <f>'Activity data'!Q64*ManureNEF*NtoN2O*kgtoGg</f>
        <v>0.11769142781513957</v>
      </c>
      <c r="R105" s="22">
        <f>'Activity data'!R64*ManureNEF*NtoN2O*kgtoGg</f>
        <v>0.11519773530237168</v>
      </c>
      <c r="S105" s="22">
        <f>'Activity data'!S64*ManureNEF*NtoN2O*kgtoGg</f>
        <v>0.11827079994576317</v>
      </c>
      <c r="T105" s="22">
        <f>'Activity data'!T64*ManureNEF*NtoN2O*kgtoGg</f>
        <v>0.11734254390212158</v>
      </c>
      <c r="U105" s="22">
        <f>'Activity data'!U64*ManureNEF*NtoN2O*kgtoGg</f>
        <v>0.11265793599714678</v>
      </c>
      <c r="V105" s="22">
        <f>'Activity data'!V64*ManureNEF*NtoN2O*kgtoGg</f>
        <v>0.11674302954549233</v>
      </c>
      <c r="W105" s="22">
        <f>'Activity data'!W64*ManureNEF*NtoN2O*kgtoGg</f>
        <v>0.12378269546779383</v>
      </c>
      <c r="X105" s="22">
        <f>'Activity data'!X64*ManureNEF*NtoN2O*kgtoGg</f>
        <v>0.136608752009132</v>
      </c>
      <c r="Y105" s="22">
        <f>'Activity data'!Y64*ManureNEF*NtoN2O*kgtoGg</f>
        <v>0.15118112258886537</v>
      </c>
      <c r="Z105" s="22">
        <f>'Activity data'!Z64*ManureNEF*NtoN2O*kgtoGg</f>
        <v>0.15317215945854146</v>
      </c>
      <c r="AA105" s="22">
        <f>'Activity data'!AA64*ManureNEF*NtoN2O*kgtoGg</f>
        <v>0.14752524872712022</v>
      </c>
      <c r="AB105" s="22">
        <f>'Activity data'!AB64*ManureNEF*NtoN2O*kgtoGg</f>
        <v>0.1532718669032935</v>
      </c>
      <c r="AC105" s="22">
        <f>'Activity data'!AC64*ManureNEF*NtoN2O*kgtoGg</f>
        <v>0.16034648531014095</v>
      </c>
      <c r="AD105" s="22">
        <f>'Activity data'!AD64*ManureNEF*NtoN2O*kgtoGg</f>
        <v>0.16136573126081602</v>
      </c>
      <c r="AE105" s="22">
        <f>'Activity data'!AE64*ManureNEF*NtoN2O*kgtoGg</f>
        <v>0.16506541868415009</v>
      </c>
      <c r="AF105" s="22">
        <f>'Activity data'!AF64*ManureNEF*NtoN2O*kgtoGg</f>
        <v>0.16798169888444281</v>
      </c>
      <c r="AG105" s="22">
        <f>'Activity data'!AG64*ManureNEF*NtoN2O*kgtoGg</f>
        <v>0.17008000423650663</v>
      </c>
      <c r="AH105" s="22">
        <f>'Activity data'!AH64*ManureNEF*NtoN2O*kgtoGg</f>
        <v>0.17154384481631921</v>
      </c>
      <c r="AI105" s="22">
        <f>'Activity data'!AI64*ManureNEF*NtoN2O*kgtoGg</f>
        <v>0.17357976384819282</v>
      </c>
      <c r="AJ105" s="22">
        <f>'Activity data'!AJ64*ManureNEF*NtoN2O*kgtoGg</f>
        <v>0.17538352892034936</v>
      </c>
      <c r="AK105" s="22">
        <f>'Activity data'!AK64*ManureNEF*NtoN2O*kgtoGg</f>
        <v>0.17696967851914236</v>
      </c>
      <c r="AL105" s="22">
        <f>'Activity data'!AL64*ManureNEF*NtoN2O*kgtoGg</f>
        <v>0.16591860289800067</v>
      </c>
      <c r="AM105" s="22">
        <f>'Activity data'!AM64*ManureNEF*NtoN2O*kgtoGg</f>
        <v>0.16945339898180109</v>
      </c>
      <c r="AN105" s="22">
        <f>'Activity data'!AN64*ManureNEF*NtoN2O*kgtoGg</f>
        <v>0.17283426424578605</v>
      </c>
      <c r="AO105" s="22">
        <f>'Activity data'!AO64*ManureNEF*NtoN2O*kgtoGg</f>
        <v>0.17622516096608576</v>
      </c>
      <c r="AP105" s="22">
        <f>'Activity data'!AP64*ManureNEF*NtoN2O*kgtoGg</f>
        <v>0.17948711970057127</v>
      </c>
      <c r="AQ105" s="22">
        <f>'Activity data'!AQ64*ManureNEF*NtoN2O*kgtoGg</f>
        <v>0.18286008604902593</v>
      </c>
      <c r="AR105" s="22">
        <f>'Activity data'!AR64*ManureNEF*NtoN2O*kgtoGg</f>
        <v>0.18681196681132367</v>
      </c>
      <c r="AS105" s="22">
        <f>'Activity data'!AS64*ManureNEF*NtoN2O*kgtoGg</f>
        <v>0.19070433997353325</v>
      </c>
      <c r="AT105" s="22">
        <f>'Activity data'!AT64*ManureNEF*NtoN2O*kgtoGg</f>
        <v>0.1947369579104089</v>
      </c>
      <c r="AU105" s="22">
        <f>'Activity data'!AU64*ManureNEF*NtoN2O*kgtoGg</f>
        <v>0.19886297442770384</v>
      </c>
      <c r="AV105" s="22">
        <f>'Activity data'!AV64*ManureNEF*NtoN2O*kgtoGg</f>
        <v>0.2030899876648587</v>
      </c>
      <c r="AW105" s="22">
        <f>'Activity data'!AW64*ManureNEF*NtoN2O*kgtoGg</f>
        <v>0.20802263886622174</v>
      </c>
      <c r="AX105" s="22">
        <f>'Activity data'!AX64*ManureNEF*NtoN2O*kgtoGg</f>
        <v>0.21269557962714333</v>
      </c>
      <c r="AY105" s="22">
        <f>'Activity data'!AY64*ManureNEF*NtoN2O*kgtoGg</f>
        <v>0.2177823257353827</v>
      </c>
      <c r="AZ105" s="22">
        <f>'Activity data'!AZ64*ManureNEF*NtoN2O*kgtoGg</f>
        <v>0.2231263092112217</v>
      </c>
      <c r="BA105" s="22">
        <f>'Activity data'!BA64*ManureNEF*NtoN2O*kgtoGg</f>
        <v>0.22872983345618914</v>
      </c>
      <c r="BB105" s="22">
        <f>'Activity data'!BB64*ManureNEF*NtoN2O*kgtoGg</f>
        <v>0.2344285194364428</v>
      </c>
      <c r="BC105" s="22">
        <f>'Activity data'!BC64*ManureNEF*NtoN2O*kgtoGg</f>
        <v>0.2402695747880032</v>
      </c>
      <c r="BD105" s="22">
        <f>'Activity data'!BD64*ManureNEF*NtoN2O*kgtoGg</f>
        <v>0.24611345119860156</v>
      </c>
      <c r="BE105" s="22">
        <f>'Activity data'!BE64*ManureNEF*NtoN2O*kgtoGg</f>
        <v>0.25209097446771306</v>
      </c>
      <c r="BF105" s="22">
        <f>'Activity data'!BF64*ManureNEF*NtoN2O*kgtoGg</f>
        <v>0.25830747070032095</v>
      </c>
      <c r="BG105" s="22">
        <f>'Activity data'!BG64*ManureNEF*NtoN2O*kgtoGg</f>
        <v>0.26476593445470736</v>
      </c>
      <c r="BH105" s="22">
        <f>'Activity data'!BH64*ManureNEF*NtoN2O*kgtoGg</f>
        <v>0.27137774081251864</v>
      </c>
      <c r="BI105" s="22">
        <f>'Activity data'!BI64*ManureNEF*NtoN2O*kgtoGg</f>
        <v>0.27812097290872245</v>
      </c>
      <c r="BJ105" s="22">
        <f>'Activity data'!BJ64*ManureNEF*NtoN2O*kgtoGg</f>
        <v>0.28501908779569224</v>
      </c>
      <c r="BK105" s="22">
        <f>'Activity data'!BK64*ManureNEF*NtoN2O*kgtoGg</f>
        <v>0.29218355444800859</v>
      </c>
      <c r="BL105" s="22">
        <f>'Activity data'!BL64*ManureNEF*NtoN2O*kgtoGg</f>
        <v>0.29950702609983104</v>
      </c>
      <c r="BM105" s="22">
        <f>'Activity data'!BM64*ManureNEF*NtoN2O*kgtoGg</f>
        <v>0.30701524883168918</v>
      </c>
      <c r="BN105" s="22">
        <f>'Activity data'!BN64*ManureNEF*NtoN2O*kgtoGg</f>
        <v>0.31448174823885067</v>
      </c>
      <c r="BO105" s="22">
        <f>'Activity data'!BO64*ManureNEF*NtoN2O*kgtoGg</f>
        <v>0.32214347240260738</v>
      </c>
      <c r="BP105" s="22">
        <f>'Activity data'!BP64*ManureNEF*NtoN2O*kgtoGg</f>
        <v>0.33001139674775165</v>
      </c>
    </row>
    <row r="106" spans="1:68" x14ac:dyDescent="0.25">
      <c r="A106" t="str">
        <f t="shared" si="29"/>
        <v>3C Aggregated and non-CO2 emissions on land</v>
      </c>
      <c r="B106" t="str">
        <f t="shared" si="31"/>
        <v>3C4 Direct N2O from managed soils (N2O)</v>
      </c>
      <c r="C106" t="str">
        <f t="shared" si="35"/>
        <v>MM emissions</v>
      </c>
      <c r="D106" t="str">
        <f>'Activity data'!D65</f>
        <v xml:space="preserve"> - Commercial broilers</v>
      </c>
      <c r="E106" t="str">
        <f t="shared" si="32"/>
        <v>MM emissions - Commercial broilers</v>
      </c>
      <c r="F106" t="str">
        <f t="shared" si="33"/>
        <v>N2O</v>
      </c>
      <c r="G106" t="str">
        <f t="shared" si="34"/>
        <v>Gg N2O</v>
      </c>
      <c r="H106" s="22">
        <f>'Activity data'!H65*ManureNEF*NtoN2O*kgtoGg</f>
        <v>0.33694552073148476</v>
      </c>
      <c r="I106" s="22">
        <f>'Activity data'!I65*ManureNEF*NtoN2O*kgtoGg</f>
        <v>0.31672878989639686</v>
      </c>
      <c r="J106" s="22">
        <f>'Activity data'!J65*ManureNEF*NtoN2O*kgtoGg</f>
        <v>0.29933136362353469</v>
      </c>
      <c r="K106" s="22">
        <f>'Activity data'!K65*ManureNEF*NtoN2O*kgtoGg</f>
        <v>0.33664137760432367</v>
      </c>
      <c r="L106" s="22">
        <f>'Activity data'!L65*ManureNEF*NtoN2O*kgtoGg</f>
        <v>0.33348410598324085</v>
      </c>
      <c r="M106" s="22">
        <f>'Activity data'!M65*ManureNEF*NtoN2O*kgtoGg</f>
        <v>0.3817213101364974</v>
      </c>
      <c r="N106" s="22">
        <f>'Activity data'!N65*ManureNEF*NtoN2O*kgtoGg</f>
        <v>0.44384349237162696</v>
      </c>
      <c r="O106" s="22">
        <f>'Activity data'!O65*ManureNEF*NtoN2O*kgtoGg</f>
        <v>0.45178194059776339</v>
      </c>
      <c r="P106" s="22">
        <f>'Activity data'!P65*ManureNEF*NtoN2O*kgtoGg</f>
        <v>0.49503233967174015</v>
      </c>
      <c r="Q106" s="22">
        <f>'Activity data'!Q65*ManureNEF*NtoN2O*kgtoGg</f>
        <v>0.51680820971951225</v>
      </c>
      <c r="R106" s="22">
        <f>'Activity data'!R65*ManureNEF*NtoN2O*kgtoGg</f>
        <v>0.55604755062988331</v>
      </c>
      <c r="S106" s="22">
        <f>'Activity data'!S65*ManureNEF*NtoN2O*kgtoGg</f>
        <v>0.53692233734035788</v>
      </c>
      <c r="T106" s="22">
        <f>'Activity data'!T65*ManureNEF*NtoN2O*kgtoGg</f>
        <v>0.59508410809033618</v>
      </c>
      <c r="U106" s="22">
        <f>'Activity data'!U65*ManureNEF*NtoN2O*kgtoGg</f>
        <v>0.56601482196260933</v>
      </c>
      <c r="V106" s="22">
        <f>'Activity data'!V65*ManureNEF*NtoN2O*kgtoGg</f>
        <v>0.57967891352922574</v>
      </c>
      <c r="W106" s="22">
        <f>'Activity data'!W65*ManureNEF*NtoN2O*kgtoGg</f>
        <v>0.64140005161544356</v>
      </c>
      <c r="X106" s="22">
        <f>'Activity data'!X65*ManureNEF*NtoN2O*kgtoGg</f>
        <v>0.68603730264816176</v>
      </c>
      <c r="Y106" s="22">
        <f>'Activity data'!Y65*ManureNEF*NtoN2O*kgtoGg</f>
        <v>0.71778306696636274</v>
      </c>
      <c r="Z106" s="22">
        <f>'Activity data'!Z65*ManureNEF*NtoN2O*kgtoGg</f>
        <v>0.76424406737632311</v>
      </c>
      <c r="AA106" s="22">
        <f>'Activity data'!AA65*ManureNEF*NtoN2O*kgtoGg</f>
        <v>0.7211479440293127</v>
      </c>
      <c r="AB106" s="22">
        <f>'Activity data'!AB65*ManureNEF*NtoN2O*kgtoGg</f>
        <v>0.73928538984856018</v>
      </c>
      <c r="AC106" s="22">
        <f>'Activity data'!AC65*ManureNEF*NtoN2O*kgtoGg</f>
        <v>0.76461491186701336</v>
      </c>
      <c r="AD106" s="22">
        <f>'Activity data'!AD65*ManureNEF*NtoN2O*kgtoGg</f>
        <v>0.75472121762998645</v>
      </c>
      <c r="AE106" s="22">
        <f>'Activity data'!AE65*ManureNEF*NtoN2O*kgtoGg</f>
        <v>0.76797535949900375</v>
      </c>
      <c r="AF106" s="22">
        <f>'Activity data'!AF65*ManureNEF*NtoN2O*kgtoGg</f>
        <v>0.77769096385666281</v>
      </c>
      <c r="AG106" s="22">
        <f>'Activity data'!AG65*ManureNEF*NtoN2O*kgtoGg</f>
        <v>0.78371294860209517</v>
      </c>
      <c r="AH106" s="22">
        <f>'Activity data'!AH65*ManureNEF*NtoN2O*kgtoGg</f>
        <v>0.78659016045961072</v>
      </c>
      <c r="AI106" s="22">
        <f>'Activity data'!AI65*ManureNEF*NtoN2O*kgtoGg</f>
        <v>0.79202938618434915</v>
      </c>
      <c r="AJ106" s="22">
        <f>'Activity data'!AJ65*ManureNEF*NtoN2O*kgtoGg</f>
        <v>0.79642892642192575</v>
      </c>
      <c r="AK106" s="22">
        <f>'Activity data'!AK65*ManureNEF*NtoN2O*kgtoGg</f>
        <v>0.79985389078014379</v>
      </c>
      <c r="AL106" s="22">
        <f>'Activity data'!AL65*ManureNEF*NtoN2O*kgtoGg</f>
        <v>0.74668391411228252</v>
      </c>
      <c r="AM106" s="22">
        <f>'Activity data'!AM65*ManureNEF*NtoN2O*kgtoGg</f>
        <v>0.75878570064679751</v>
      </c>
      <c r="AN106" s="22">
        <f>'Activity data'!AN65*ManureNEF*NtoN2O*kgtoGg</f>
        <v>0.77019811869667898</v>
      </c>
      <c r="AO106" s="22">
        <f>'Activity data'!AO65*ManureNEF*NtoN2O*kgtoGg</f>
        <v>0.7816554619313747</v>
      </c>
      <c r="AP106" s="22">
        <f>'Activity data'!AP65*ManureNEF*NtoN2O*kgtoGg</f>
        <v>0.792535365294884</v>
      </c>
      <c r="AQ106" s="22">
        <f>'Activity data'!AQ65*ManureNEF*NtoN2O*kgtoGg</f>
        <v>0.80391240852786094</v>
      </c>
      <c r="AR106" s="22">
        <f>'Activity data'!AR65*ManureNEF*NtoN2O*kgtoGg</f>
        <v>0.81757114581458945</v>
      </c>
      <c r="AS106" s="22">
        <f>'Activity data'!AS65*ManureNEF*NtoN2O*kgtoGg</f>
        <v>0.83096338242106893</v>
      </c>
      <c r="AT106" s="22">
        <f>'Activity data'!AT65*ManureNEF*NtoN2O*kgtoGg</f>
        <v>0.8449836955723028</v>
      </c>
      <c r="AU106" s="22">
        <f>'Activity data'!AU65*ManureNEF*NtoN2O*kgtoGg</f>
        <v>0.85942228782031294</v>
      </c>
      <c r="AV106" s="22">
        <f>'Activity data'!AV65*ManureNEF*NtoN2O*kgtoGg</f>
        <v>0.8743131869082208</v>
      </c>
      <c r="AW106" s="22">
        <f>'Activity data'!AW65*ManureNEF*NtoN2O*kgtoGg</f>
        <v>0.89250137808786867</v>
      </c>
      <c r="AX106" s="22">
        <f>'Activity data'!AX65*ManureNEF*NtoN2O*kgtoGg</f>
        <v>0.90952647405198772</v>
      </c>
      <c r="AY106" s="22">
        <f>'Activity data'!AY65*ManureNEF*NtoN2O*kgtoGg</f>
        <v>0.92840476863766797</v>
      </c>
      <c r="AZ106" s="22">
        <f>'Activity data'!AZ65*ManureNEF*NtoN2O*kgtoGg</f>
        <v>0.94843508309047952</v>
      </c>
      <c r="BA106" s="22">
        <f>'Activity data'!BA65*ManureNEF*NtoN2O*kgtoGg</f>
        <v>0.96962773296637916</v>
      </c>
      <c r="BB106" s="22">
        <f>'Activity data'!BB65*ManureNEF*NtoN2O*kgtoGg</f>
        <v>0.99109313853274894</v>
      </c>
      <c r="BC106" s="22">
        <f>'Activity data'!BC65*ManureNEF*NtoN2O*kgtoGg</f>
        <v>1.0131961355033092</v>
      </c>
      <c r="BD106" s="22">
        <f>'Activity data'!BD65*ManureNEF*NtoN2O*kgtoGg</f>
        <v>1.0353117664609071</v>
      </c>
      <c r="BE106" s="22">
        <f>'Activity data'!BE65*ManureNEF*NtoN2O*kgtoGg</f>
        <v>1.0580259255822824</v>
      </c>
      <c r="BF106" s="22">
        <f>'Activity data'!BF65*ManureNEF*NtoN2O*kgtoGg</f>
        <v>1.081810308628651</v>
      </c>
      <c r="BG106" s="22">
        <f>'Activity data'!BG65*ManureNEF*NtoN2O*kgtoGg</f>
        <v>1.1061043206037529</v>
      </c>
      <c r="BH106" s="22">
        <f>'Activity data'!BH65*ManureNEF*NtoN2O*kgtoGg</f>
        <v>1.13108506691462</v>
      </c>
      <c r="BI106" s="22">
        <f>'Activity data'!BI65*ManureNEF*NtoN2O*kgtoGg</f>
        <v>1.1566543942560903</v>
      </c>
      <c r="BJ106" s="22">
        <f>'Activity data'!BJ65*ManureNEF*NtoN2O*kgtoGg</f>
        <v>1.1829173534872208</v>
      </c>
      <c r="BK106" s="22">
        <f>'Activity data'!BK65*ManureNEF*NtoN2O*kgtoGg</f>
        <v>1.2103731507179614</v>
      </c>
      <c r="BL106" s="22">
        <f>'Activity data'!BL65*ManureNEF*NtoN2O*kgtoGg</f>
        <v>1.2387044447585223</v>
      </c>
      <c r="BM106" s="22">
        <f>'Activity data'!BM65*ManureNEF*NtoN2O*kgtoGg</f>
        <v>1.2678631337609634</v>
      </c>
      <c r="BN106" s="22">
        <f>'Activity data'!BN65*ManureNEF*NtoN2O*kgtoGg</f>
        <v>1.2968349676643403</v>
      </c>
      <c r="BO106" s="22">
        <f>'Activity data'!BO65*ManureNEF*NtoN2O*kgtoGg</f>
        <v>1.3266811022360834</v>
      </c>
      <c r="BP106" s="22">
        <f>'Activity data'!BP65*ManureNEF*NtoN2O*kgtoGg</f>
        <v>1.3574506900898651</v>
      </c>
    </row>
    <row r="107" spans="1:68" x14ac:dyDescent="0.25">
      <c r="A107" t="str">
        <f t="shared" si="29"/>
        <v>3C Aggregated and non-CO2 emissions on land</v>
      </c>
      <c r="B107" t="str">
        <f t="shared" si="31"/>
        <v>3C4 Direct N2O from managed soils (N2O)</v>
      </c>
      <c r="C107" t="s">
        <v>427</v>
      </c>
      <c r="D107" t="str">
        <f>D91</f>
        <v xml:space="preserve"> - TMR</v>
      </c>
      <c r="E107" t="str">
        <f t="shared" si="32"/>
        <v>U&amp;D emissions - TMR</v>
      </c>
      <c r="F107" t="str">
        <f t="shared" ref="F107:F139" si="36">F106</f>
        <v>N2O</v>
      </c>
      <c r="G107" t="str">
        <f t="shared" ref="G107:G139" si="37">G106</f>
        <v>Gg N2O</v>
      </c>
      <c r="H107" s="22">
        <f>'Activity data'!H66*UDCPPEF*NtoN2O*kgtoGg</f>
        <v>0</v>
      </c>
      <c r="I107" s="22">
        <f>'Activity data'!I66*UDCPPEF*NtoN2O*kgtoGg</f>
        <v>0</v>
      </c>
      <c r="J107" s="22">
        <f>'Activity data'!J66*UDCPPEF*NtoN2O*kgtoGg</f>
        <v>0</v>
      </c>
      <c r="K107" s="22">
        <f>'Activity data'!K66*UDCPPEF*NtoN2O*kgtoGg</f>
        <v>0</v>
      </c>
      <c r="L107" s="22">
        <f>'Activity data'!L66*UDCPPEF*NtoN2O*kgtoGg</f>
        <v>0</v>
      </c>
      <c r="M107" s="22">
        <f>'Activity data'!M66*UDCPPEF*NtoN2O*kgtoGg</f>
        <v>0</v>
      </c>
      <c r="N107" s="22">
        <f>'Activity data'!N66*UDCPPEF*NtoN2O*kgtoGg</f>
        <v>0</v>
      </c>
      <c r="O107" s="22">
        <f>'Activity data'!O66*UDCPPEF*NtoN2O*kgtoGg</f>
        <v>0</v>
      </c>
      <c r="P107" s="22">
        <f>'Activity data'!P66*UDCPPEF*NtoN2O*kgtoGg</f>
        <v>0</v>
      </c>
      <c r="Q107" s="22">
        <f>'Activity data'!Q66*UDCPPEF*NtoN2O*kgtoGg</f>
        <v>0</v>
      </c>
      <c r="R107" s="22">
        <f>'Activity data'!R66*UDCPPEF*NtoN2O*kgtoGg</f>
        <v>0</v>
      </c>
      <c r="S107" s="22">
        <f>'Activity data'!S66*UDCPPEF*NtoN2O*kgtoGg</f>
        <v>0</v>
      </c>
      <c r="T107" s="22">
        <f>'Activity data'!T66*UDCPPEF*NtoN2O*kgtoGg</f>
        <v>0</v>
      </c>
      <c r="U107" s="22">
        <f>'Activity data'!U66*UDCPPEF*NtoN2O*kgtoGg</f>
        <v>0</v>
      </c>
      <c r="V107" s="22">
        <f>'Activity data'!V66*UDCPPEF*NtoN2O*kgtoGg</f>
        <v>0</v>
      </c>
      <c r="W107" s="22">
        <f>'Activity data'!W66*UDCPPEF*NtoN2O*kgtoGg</f>
        <v>0</v>
      </c>
      <c r="X107" s="22">
        <f>'Activity data'!X66*UDCPPEF*NtoN2O*kgtoGg</f>
        <v>0</v>
      </c>
      <c r="Y107" s="22">
        <f>'Activity data'!Y66*UDCPPEF*NtoN2O*kgtoGg</f>
        <v>0</v>
      </c>
      <c r="Z107" s="22">
        <f>'Activity data'!Z66*UDCPPEF*NtoN2O*kgtoGg</f>
        <v>0</v>
      </c>
      <c r="AA107" s="22">
        <f>'Activity data'!AA66*UDCPPEF*NtoN2O*kgtoGg</f>
        <v>0</v>
      </c>
      <c r="AB107" s="22">
        <f>'Activity data'!AB66*UDCPPEF*NtoN2O*kgtoGg</f>
        <v>0</v>
      </c>
      <c r="AC107" s="22">
        <f>'Activity data'!AC66*UDCPPEF*NtoN2O*kgtoGg</f>
        <v>0</v>
      </c>
      <c r="AD107" s="22">
        <f>'Activity data'!AD66*UDCPPEF*NtoN2O*kgtoGg</f>
        <v>0</v>
      </c>
      <c r="AE107" s="22">
        <f>'Activity data'!AE66*UDCPPEF*NtoN2O*kgtoGg</f>
        <v>0</v>
      </c>
      <c r="AF107" s="22">
        <f>'Activity data'!AF66*UDCPPEF*NtoN2O*kgtoGg</f>
        <v>0</v>
      </c>
      <c r="AG107" s="22">
        <f>'Activity data'!AG66*UDCPPEF*NtoN2O*kgtoGg</f>
        <v>0</v>
      </c>
      <c r="AH107" s="22">
        <f>'Activity data'!AH66*UDCPPEF*NtoN2O*kgtoGg</f>
        <v>0</v>
      </c>
      <c r="AI107" s="22">
        <f>'Activity data'!AI66*UDCPPEF*NtoN2O*kgtoGg</f>
        <v>0</v>
      </c>
      <c r="AJ107" s="22">
        <f>'Activity data'!AJ66*UDCPPEF*NtoN2O*kgtoGg</f>
        <v>0</v>
      </c>
      <c r="AK107" s="22">
        <f>'Activity data'!AK66*UDCPPEF*NtoN2O*kgtoGg</f>
        <v>0</v>
      </c>
      <c r="AL107" s="22">
        <f>'Activity data'!AL66*UDCPPEF*NtoN2O*kgtoGg</f>
        <v>0</v>
      </c>
      <c r="AM107" s="22">
        <f>'Activity data'!AM66*UDCPPEF*NtoN2O*kgtoGg</f>
        <v>0</v>
      </c>
      <c r="AN107" s="22">
        <f>'Activity data'!AN66*UDCPPEF*NtoN2O*kgtoGg</f>
        <v>0</v>
      </c>
      <c r="AO107" s="22">
        <f>'Activity data'!AO66*UDCPPEF*NtoN2O*kgtoGg</f>
        <v>0</v>
      </c>
      <c r="AP107" s="22">
        <f>'Activity data'!AP66*UDCPPEF*NtoN2O*kgtoGg</f>
        <v>0</v>
      </c>
      <c r="AQ107" s="22">
        <f>'Activity data'!AQ66*UDCPPEF*NtoN2O*kgtoGg</f>
        <v>0</v>
      </c>
      <c r="AR107" s="22">
        <f>'Activity data'!AR66*UDCPPEF*NtoN2O*kgtoGg</f>
        <v>0</v>
      </c>
      <c r="AS107" s="22">
        <f>'Activity data'!AS66*UDCPPEF*NtoN2O*kgtoGg</f>
        <v>0</v>
      </c>
      <c r="AT107" s="22">
        <f>'Activity data'!AT66*UDCPPEF*NtoN2O*kgtoGg</f>
        <v>0</v>
      </c>
      <c r="AU107" s="22">
        <f>'Activity data'!AU66*UDCPPEF*NtoN2O*kgtoGg</f>
        <v>0</v>
      </c>
      <c r="AV107" s="22">
        <f>'Activity data'!AV66*UDCPPEF*NtoN2O*kgtoGg</f>
        <v>0</v>
      </c>
      <c r="AW107" s="22">
        <f>'Activity data'!AW66*UDCPPEF*NtoN2O*kgtoGg</f>
        <v>0</v>
      </c>
      <c r="AX107" s="22">
        <f>'Activity data'!AX66*UDCPPEF*NtoN2O*kgtoGg</f>
        <v>0</v>
      </c>
      <c r="AY107" s="22">
        <f>'Activity data'!AY66*UDCPPEF*NtoN2O*kgtoGg</f>
        <v>0</v>
      </c>
      <c r="AZ107" s="22">
        <f>'Activity data'!AZ66*UDCPPEF*NtoN2O*kgtoGg</f>
        <v>0</v>
      </c>
      <c r="BA107" s="22">
        <f>'Activity data'!BA66*UDCPPEF*NtoN2O*kgtoGg</f>
        <v>0</v>
      </c>
      <c r="BB107" s="22">
        <f>'Activity data'!BB66*UDCPPEF*NtoN2O*kgtoGg</f>
        <v>0</v>
      </c>
      <c r="BC107" s="22">
        <f>'Activity data'!BC66*UDCPPEF*NtoN2O*kgtoGg</f>
        <v>0</v>
      </c>
      <c r="BD107" s="22">
        <f>'Activity data'!BD66*UDCPPEF*NtoN2O*kgtoGg</f>
        <v>0</v>
      </c>
      <c r="BE107" s="22">
        <f>'Activity data'!BE66*UDCPPEF*NtoN2O*kgtoGg</f>
        <v>0</v>
      </c>
      <c r="BF107" s="22">
        <f>'Activity data'!BF66*UDCPPEF*NtoN2O*kgtoGg</f>
        <v>0</v>
      </c>
      <c r="BG107" s="22">
        <f>'Activity data'!BG66*UDCPPEF*NtoN2O*kgtoGg</f>
        <v>0</v>
      </c>
      <c r="BH107" s="22">
        <f>'Activity data'!BH66*UDCPPEF*NtoN2O*kgtoGg</f>
        <v>0</v>
      </c>
      <c r="BI107" s="22">
        <f>'Activity data'!BI66*UDCPPEF*NtoN2O*kgtoGg</f>
        <v>0</v>
      </c>
      <c r="BJ107" s="22">
        <f>'Activity data'!BJ66*UDCPPEF*NtoN2O*kgtoGg</f>
        <v>0</v>
      </c>
      <c r="BK107" s="22">
        <f>'Activity data'!BK66*UDCPPEF*NtoN2O*kgtoGg</f>
        <v>0</v>
      </c>
      <c r="BL107" s="22">
        <f>'Activity data'!BL66*UDCPPEF*NtoN2O*kgtoGg</f>
        <v>0</v>
      </c>
      <c r="BM107" s="22">
        <f>'Activity data'!BM66*UDCPPEF*NtoN2O*kgtoGg</f>
        <v>0</v>
      </c>
      <c r="BN107" s="22">
        <f>'Activity data'!BN66*UDCPPEF*NtoN2O*kgtoGg</f>
        <v>0</v>
      </c>
      <c r="BO107" s="22">
        <f>'Activity data'!BO66*UDCPPEF*NtoN2O*kgtoGg</f>
        <v>0</v>
      </c>
      <c r="BP107" s="22">
        <f>'Activity data'!BP66*UDCPPEF*NtoN2O*kgtoGg</f>
        <v>0</v>
      </c>
    </row>
    <row r="108" spans="1:68" x14ac:dyDescent="0.25">
      <c r="A108" t="str">
        <f t="shared" si="29"/>
        <v>3C Aggregated and non-CO2 emissions on land</v>
      </c>
      <c r="B108" t="str">
        <f t="shared" si="31"/>
        <v>3C4 Direct N2O from managed soils (N2O)</v>
      </c>
      <c r="C108" t="s">
        <v>427</v>
      </c>
      <c r="D108" t="str">
        <f t="shared" ref="D108:D122" si="38">D92</f>
        <v xml:space="preserve"> - Pasture</v>
      </c>
      <c r="E108" t="str">
        <f t="shared" si="32"/>
        <v>U&amp;D emissions - Pasture</v>
      </c>
      <c r="F108" t="str">
        <f t="shared" si="36"/>
        <v>N2O</v>
      </c>
      <c r="G108" t="str">
        <f t="shared" si="37"/>
        <v>Gg N2O</v>
      </c>
      <c r="H108" s="22">
        <f>'Activity data'!H67*UDCPPEF*NtoN2O*kgtoGg</f>
        <v>0.88103728610164056</v>
      </c>
      <c r="I108" s="22">
        <f>'Activity data'!I67*UDCPPEF*NtoN2O*kgtoGg</f>
        <v>1.0143027628293235</v>
      </c>
      <c r="J108" s="22">
        <f>'Activity data'!J67*UDCPPEF*NtoN2O*kgtoGg</f>
        <v>0.87750313013359393</v>
      </c>
      <c r="K108" s="22">
        <f>'Activity data'!K67*UDCPPEF*NtoN2O*kgtoGg</f>
        <v>0.93067430812476426</v>
      </c>
      <c r="L108" s="22">
        <f>'Activity data'!L67*UDCPPEF*NtoN2O*kgtoGg</f>
        <v>0.86336650626140843</v>
      </c>
      <c r="M108" s="22">
        <f>'Activity data'!M67*UDCPPEF*NtoN2O*kgtoGg</f>
        <v>0.92360599618867145</v>
      </c>
      <c r="N108" s="22">
        <f>'Activity data'!N67*UDCPPEF*NtoN2O*kgtoGg</f>
        <v>0.92714015215671775</v>
      </c>
      <c r="O108" s="22">
        <f>'Activity data'!O67*UDCPPEF*NtoN2O*kgtoGg</f>
        <v>0.89382378297479725</v>
      </c>
      <c r="P108" s="22">
        <f>'Activity data'!P67*UDCPPEF*NtoN2O*kgtoGg</f>
        <v>0.88322131507065782</v>
      </c>
      <c r="Q108" s="22">
        <f>'Activity data'!Q67*UDCPPEF*NtoN2O*kgtoGg</f>
        <v>0.86757572572896902</v>
      </c>
      <c r="R108" s="22">
        <f>'Activity data'!R67*UDCPPEF*NtoN2O*kgtoGg</f>
        <v>1.1171109628436178</v>
      </c>
      <c r="S108" s="22">
        <f>'Activity data'!S67*UDCPPEF*NtoN2O*kgtoGg</f>
        <v>1.1135768068755714</v>
      </c>
      <c r="T108" s="22">
        <f>'Activity data'!T67*UDCPPEF*NtoN2O*kgtoGg</f>
        <v>0.97105898924277778</v>
      </c>
      <c r="U108" s="22">
        <f>'Activity data'!U67*UDCPPEF*NtoN2O*kgtoGg</f>
        <v>0.88322131507065782</v>
      </c>
      <c r="V108" s="22">
        <f>'Activity data'!V67*UDCPPEF*NtoN2O*kgtoGg</f>
        <v>0.85276403835726899</v>
      </c>
      <c r="W108" s="22">
        <f>'Activity data'!W67*UDCPPEF*NtoN2O*kgtoGg</f>
        <v>0.91300352828453224</v>
      </c>
      <c r="X108" s="22">
        <f>'Activity data'!X67*UDCPPEF*NtoN2O*kgtoGg</f>
        <v>0.89314871947528263</v>
      </c>
      <c r="Y108" s="22">
        <f>'Activity data'!Y67*UDCPPEF*NtoN2O*kgtoGg</f>
        <v>0.88675547103870456</v>
      </c>
      <c r="Z108" s="22">
        <f>'Activity data'!Z67*UDCPPEF*NtoN2O*kgtoGg</f>
        <v>1.0859786226307144</v>
      </c>
      <c r="AA108" s="22">
        <f>'Activity data'!AA67*UDCPPEF*NtoN2O*kgtoGg</f>
        <v>1.1129017433760566</v>
      </c>
      <c r="AB108" s="22">
        <f>'Activity data'!AB67*UDCPPEF*NtoN2O*kgtoGg</f>
        <v>1.1129017433760566</v>
      </c>
      <c r="AC108" s="22">
        <f>'Activity data'!AC67*UDCPPEF*NtoN2O*kgtoGg</f>
        <v>1.0725170622580433</v>
      </c>
      <c r="AD108" s="22">
        <f>'Activity data'!AD67*UDCPPEF*NtoN2O*kgtoGg</f>
        <v>1.065517807005967</v>
      </c>
      <c r="AE108" s="22">
        <f>'Activity data'!AE67*UDCPPEF*NtoN2O*kgtoGg</f>
        <v>1.0756032608180643</v>
      </c>
      <c r="AF108" s="22">
        <f>'Activity data'!AF67*UDCPPEF*NtoN2O*kgtoGg</f>
        <v>1.0833012079253819</v>
      </c>
      <c r="AG108" s="22">
        <f>'Activity data'!AG67*UDCPPEF*NtoN2O*kgtoGg</f>
        <v>1.0885066633056932</v>
      </c>
      <c r="AH108" s="22">
        <f>'Activity data'!AH67*UDCPPEF*NtoN2O*kgtoGg</f>
        <v>1.091682512467792</v>
      </c>
      <c r="AI108" s="22">
        <f>'Activity data'!AI67*UDCPPEF*NtoN2O*kgtoGg</f>
        <v>1.0965942588679261</v>
      </c>
      <c r="AJ108" s="22">
        <f>'Activity data'!AJ67*UDCPPEF*NtoN2O*kgtoGg</f>
        <v>1.1008015644417721</v>
      </c>
      <c r="AK108" s="22">
        <f>'Activity data'!AK67*UDCPPEF*NtoN2O*kgtoGg</f>
        <v>1.1043485443246142</v>
      </c>
      <c r="AL108" s="22">
        <f>'Activity data'!AL67*UDCPPEF*NtoN2O*kgtoGg</f>
        <v>1.0695495171577543</v>
      </c>
      <c r="AM108" s="22">
        <f>'Activity data'!AM67*UDCPPEF*NtoN2O*kgtoGg</f>
        <v>1.0789921825467956</v>
      </c>
      <c r="AN108" s="22">
        <f>'Activity data'!AN67*UDCPPEF*NtoN2O*kgtoGg</f>
        <v>1.0879677650201038</v>
      </c>
      <c r="AO108" s="22">
        <f>'Activity data'!AO67*UDCPPEF*NtoN2O*kgtoGg</f>
        <v>1.0969737866355396</v>
      </c>
      <c r="AP108" s="22">
        <f>'Activity data'!AP67*UDCPPEF*NtoN2O*kgtoGg</f>
        <v>1.1055885627974094</v>
      </c>
      <c r="AQ108" s="22">
        <f>'Activity data'!AQ67*UDCPPEF*NtoN2O*kgtoGg</f>
        <v>1.1145401770209906</v>
      </c>
      <c r="AR108" s="22">
        <f>'Activity data'!AR67*UDCPPEF*NtoN2O*kgtoGg</f>
        <v>1.1251414208748238</v>
      </c>
      <c r="AS108" s="22">
        <f>'Activity data'!AS67*UDCPPEF*NtoN2O*kgtoGg</f>
        <v>1.1355620966994604</v>
      </c>
      <c r="AT108" s="22">
        <f>'Activity data'!AT67*UDCPPEF*NtoN2O*kgtoGg</f>
        <v>1.1464083269495677</v>
      </c>
      <c r="AU108" s="22">
        <f>'Activity data'!AU67*UDCPPEF*NtoN2O*kgtoGg</f>
        <v>1.1575379629759326</v>
      </c>
      <c r="AV108" s="22">
        <f>'Activity data'!AV67*UDCPPEF*NtoN2O*kgtoGg</f>
        <v>1.1689740603388921</v>
      </c>
      <c r="AW108" s="22">
        <f>'Activity data'!AW67*UDCPPEF*NtoN2O*kgtoGg</f>
        <v>1.1825985220175308</v>
      </c>
      <c r="AX108" s="22">
        <f>'Activity data'!AX67*UDCPPEF*NtoN2O*kgtoGg</f>
        <v>1.1954349263570494</v>
      </c>
      <c r="AY108" s="22">
        <f>'Activity data'!AY67*UDCPPEF*NtoN2O*kgtoGg</f>
        <v>1.2095269688758301</v>
      </c>
      <c r="AZ108" s="22">
        <f>'Activity data'!AZ67*UDCPPEF*NtoN2O*kgtoGg</f>
        <v>1.2243995645650345</v>
      </c>
      <c r="BA108" s="22">
        <f>'Activity data'!BA67*UDCPPEF*NtoN2O*kgtoGg</f>
        <v>1.2400597027716396</v>
      </c>
      <c r="BB108" s="22">
        <f>'Activity data'!BB67*UDCPPEF*NtoN2O*kgtoGg</f>
        <v>1.2559557962691066</v>
      </c>
      <c r="BC108" s="22">
        <f>'Activity data'!BC67*UDCPPEF*NtoN2O*kgtoGg</f>
        <v>1.2722838910026668</v>
      </c>
      <c r="BD108" s="22">
        <f>'Activity data'!BD67*UDCPPEF*NtoN2O*kgtoGg</f>
        <v>1.2886205458945845</v>
      </c>
      <c r="BE108" s="22">
        <f>'Activity data'!BE67*UDCPPEF*NtoN2O*kgtoGg</f>
        <v>1.3053627346746928</v>
      </c>
      <c r="BF108" s="22">
        <f>'Activity data'!BF67*UDCPPEF*NtoN2O*kgtoGg</f>
        <v>1.3228300556561692</v>
      </c>
      <c r="BG108" s="22">
        <f>'Activity data'!BG67*UDCPPEF*NtoN2O*kgtoGg</f>
        <v>1.3408340468005189</v>
      </c>
      <c r="BH108" s="22">
        <f>'Activity data'!BH67*UDCPPEF*NtoN2O*kgtoGg</f>
        <v>1.3593033360422691</v>
      </c>
      <c r="BI108" s="22">
        <f>'Activity data'!BI67*UDCPPEF*NtoN2O*kgtoGg</f>
        <v>1.378171419473716</v>
      </c>
      <c r="BJ108" s="22">
        <f>'Activity data'!BJ67*UDCPPEF*NtoN2O*kgtoGg</f>
        <v>1.3975094744759167</v>
      </c>
      <c r="BK108" s="22">
        <f>'Activity data'!BK67*UDCPPEF*NtoN2O*kgtoGg</f>
        <v>1.4176557390727027</v>
      </c>
      <c r="BL108" s="22">
        <f>'Activity data'!BL67*UDCPPEF*NtoN2O*kgtoGg</f>
        <v>1.4383407202733696</v>
      </c>
      <c r="BM108" s="22">
        <f>'Activity data'!BM67*UDCPPEF*NtoN2O*kgtoGg</f>
        <v>1.4595863044619708</v>
      </c>
      <c r="BN108" s="22">
        <f>'Activity data'!BN67*UDCPPEF*NtoN2O*kgtoGg</f>
        <v>1.4807052846552771</v>
      </c>
      <c r="BO108" s="22">
        <f>'Activity data'!BO67*UDCPPEF*NtoN2O*kgtoGg</f>
        <v>1.5024166488618234</v>
      </c>
      <c r="BP108" s="22">
        <f>'Activity data'!BP67*UDCPPEF*NtoN2O*kgtoGg</f>
        <v>1.5247537005489313</v>
      </c>
    </row>
    <row r="109" spans="1:68" x14ac:dyDescent="0.25">
      <c r="A109" t="str">
        <f t="shared" si="29"/>
        <v>3C Aggregated and non-CO2 emissions on land</v>
      </c>
      <c r="B109" t="str">
        <f t="shared" si="31"/>
        <v>3C4 Direct N2O from managed soils (N2O)</v>
      </c>
      <c r="C109" t="s">
        <v>427</v>
      </c>
      <c r="D109" t="str">
        <f t="shared" si="38"/>
        <v xml:space="preserve"> - Non-lactating</v>
      </c>
      <c r="E109" t="str">
        <f t="shared" si="32"/>
        <v>U&amp;D emissions - Non-lactating</v>
      </c>
      <c r="F109" t="str">
        <f t="shared" si="36"/>
        <v>N2O</v>
      </c>
      <c r="G109" t="str">
        <f t="shared" si="37"/>
        <v>Gg N2O</v>
      </c>
      <c r="H109" s="22">
        <f>'Activity data'!H68*UDCPPEF*NtoN2O*kgtoGg</f>
        <v>0.70829542150320102</v>
      </c>
      <c r="I109" s="22">
        <f>'Activity data'!I68*UDCPPEF*NtoN2O*kgtoGg</f>
        <v>0.80509081056291543</v>
      </c>
      <c r="J109" s="22">
        <f>'Activity data'!J68*UDCPPEF*NtoN2O*kgtoGg</f>
        <v>0.69640564763455981</v>
      </c>
      <c r="K109" s="22">
        <f>'Activity data'!K68*UDCPPEF*NtoN2O*kgtoGg</f>
        <v>0.72881054383034738</v>
      </c>
      <c r="L109" s="22">
        <f>'Activity data'!L68*UDCPPEF*NtoN2O*kgtoGg</f>
        <v>0.64884655215999665</v>
      </c>
      <c r="M109" s="22">
        <f>'Activity data'!M68*UDCPPEF*NtoN2O*kgtoGg</f>
        <v>0.7050309960930653</v>
      </c>
      <c r="N109" s="22">
        <f>'Activity data'!N68*UDCPPEF*NtoN2O*kgtoGg</f>
        <v>0.71692076996170606</v>
      </c>
      <c r="O109" s="22">
        <f>'Activity data'!O68*UDCPPEF*NtoN2O*kgtoGg</f>
        <v>0.69272192269677746</v>
      </c>
      <c r="P109" s="22">
        <f>'Activity data'!P68*UDCPPEF*NtoN2O*kgtoGg</f>
        <v>0.65705260109085506</v>
      </c>
      <c r="Q109" s="22">
        <f>'Activity data'!Q68*UDCPPEF*NtoN2O*kgtoGg</f>
        <v>0.69230262316913072</v>
      </c>
      <c r="R109" s="22">
        <f>'Activity data'!R68*UDCPPEF*NtoN2O*kgtoGg</f>
        <v>0.85801082908584869</v>
      </c>
      <c r="S109" s="22">
        <f>'Activity data'!S68*UDCPPEF*NtoN2O*kgtoGg</f>
        <v>0.84612105521720782</v>
      </c>
      <c r="T109" s="22">
        <f>'Activity data'!T68*UDCPPEF*NtoN2O*kgtoGg</f>
        <v>0.77678893883255762</v>
      </c>
      <c r="U109" s="22">
        <f>'Activity data'!U68*UDCPPEF*NtoN2O*kgtoGg</f>
        <v>0.65705260109085506</v>
      </c>
      <c r="V109" s="22">
        <f>'Activity data'!V68*UDCPPEF*NtoN2O*kgtoGg</f>
        <v>0.6131772305540738</v>
      </c>
      <c r="W109" s="22">
        <f>'Activity data'!W68*UDCPPEF*NtoN2O*kgtoGg</f>
        <v>0.66936167448714268</v>
      </c>
      <c r="X109" s="22">
        <f>'Activity data'!X68*UDCPPEF*NtoN2O*kgtoGg</f>
        <v>0.66115562555628415</v>
      </c>
      <c r="Y109" s="22">
        <f>'Activity data'!Y68*UDCPPEF*NtoN2O*kgtoGg</f>
        <v>0.66894237495949582</v>
      </c>
      <c r="Z109" s="22">
        <f>'Activity data'!Z68*UDCPPEF*NtoN2O*kgtoGg</f>
        <v>0.78256916140857435</v>
      </c>
      <c r="AA109" s="22">
        <f>'Activity data'!AA68*UDCPPEF*NtoN2O*kgtoGg</f>
        <v>0.8145547580767144</v>
      </c>
      <c r="AB109" s="22">
        <f>'Activity data'!AB68*UDCPPEF*NtoN2O*kgtoGg</f>
        <v>0.8145547580767144</v>
      </c>
      <c r="AC109" s="22">
        <f>'Activity data'!AC68*UDCPPEF*NtoN2O*kgtoGg</f>
        <v>0.76657636307450427</v>
      </c>
      <c r="AD109" s="22">
        <f>'Activity data'!AD68*UDCPPEF*NtoN2O*kgtoGg</f>
        <v>0.77996081332717648</v>
      </c>
      <c r="AE109" s="22">
        <f>'Activity data'!AE68*UDCPPEF*NtoN2O*kgtoGg</f>
        <v>0.78673177056114729</v>
      </c>
      <c r="AF109" s="22">
        <f>'Activity data'!AF68*UDCPPEF*NtoN2O*kgtoGg</f>
        <v>0.79189985438009258</v>
      </c>
      <c r="AG109" s="22">
        <f>'Activity data'!AG68*UDCPPEF*NtoN2O*kgtoGg</f>
        <v>0.7953945821752022</v>
      </c>
      <c r="AH109" s="22">
        <f>'Activity data'!AH68*UDCPPEF*NtoN2O*kgtoGg</f>
        <v>0.79752671616329496</v>
      </c>
      <c r="AI109" s="22">
        <f>'Activity data'!AI68*UDCPPEF*NtoN2O*kgtoGg</f>
        <v>0.80082425987714623</v>
      </c>
      <c r="AJ109" s="22">
        <f>'Activity data'!AJ68*UDCPPEF*NtoN2O*kgtoGg</f>
        <v>0.80364887110848104</v>
      </c>
      <c r="AK109" s="22">
        <f>'Activity data'!AK68*UDCPPEF*NtoN2O*kgtoGg</f>
        <v>0.80603016693749685</v>
      </c>
      <c r="AL109" s="22">
        <f>'Activity data'!AL68*UDCPPEF*NtoN2O*kgtoGg</f>
        <v>0.78266753704294778</v>
      </c>
      <c r="AM109" s="22">
        <f>'Activity data'!AM68*UDCPPEF*NtoN2O*kgtoGg</f>
        <v>0.78900695267213883</v>
      </c>
      <c r="AN109" s="22">
        <f>'Activity data'!AN68*UDCPPEF*NtoN2O*kgtoGg</f>
        <v>0.79503278811881473</v>
      </c>
      <c r="AO109" s="22">
        <f>'Activity data'!AO68*UDCPPEF*NtoN2O*kgtoGg</f>
        <v>0.80107905914860145</v>
      </c>
      <c r="AP109" s="22">
        <f>'Activity data'!AP68*UDCPPEF*NtoN2O*kgtoGg</f>
        <v>0.80686266413643892</v>
      </c>
      <c r="AQ109" s="22">
        <f>'Activity data'!AQ68*UDCPPEF*NtoN2O*kgtoGg</f>
        <v>0.81287240828996155</v>
      </c>
      <c r="AR109" s="22">
        <f>'Activity data'!AR68*UDCPPEF*NtoN2O*kgtoGg</f>
        <v>0.81998964565959787</v>
      </c>
      <c r="AS109" s="22">
        <f>'Activity data'!AS68*UDCPPEF*NtoN2O*kgtoGg</f>
        <v>0.82698565711057048</v>
      </c>
      <c r="AT109" s="22">
        <f>'Activity data'!AT68*UDCPPEF*NtoN2O*kgtoGg</f>
        <v>0.83426736823051939</v>
      </c>
      <c r="AU109" s="22">
        <f>'Activity data'!AU68*UDCPPEF*NtoN2O*kgtoGg</f>
        <v>0.84173934628606184</v>
      </c>
      <c r="AV109" s="22">
        <f>'Activity data'!AV68*UDCPPEF*NtoN2O*kgtoGg</f>
        <v>0.84941706982838239</v>
      </c>
      <c r="AW109" s="22">
        <f>'Activity data'!AW68*UDCPPEF*NtoN2O*kgtoGg</f>
        <v>0.85856397080881086</v>
      </c>
      <c r="AX109" s="22">
        <f>'Activity data'!AX68*UDCPPEF*NtoN2O*kgtoGg</f>
        <v>0.86718180263275757</v>
      </c>
      <c r="AY109" s="22">
        <f>'Activity data'!AY68*UDCPPEF*NtoN2O*kgtoGg</f>
        <v>0.87664261808158883</v>
      </c>
      <c r="AZ109" s="22">
        <f>'Activity data'!AZ68*UDCPPEF*NtoN2O*kgtoGg</f>
        <v>0.88662746469790632</v>
      </c>
      <c r="BA109" s="22">
        <f>'Activity data'!BA68*UDCPPEF*NtoN2O*kgtoGg</f>
        <v>0.89714103484066088</v>
      </c>
      <c r="BB109" s="22">
        <f>'Activity data'!BB68*UDCPPEF*NtoN2O*kgtoGg</f>
        <v>0.90781301562247274</v>
      </c>
      <c r="BC109" s="22">
        <f>'Activity data'!BC68*UDCPPEF*NtoN2O*kgtoGg</f>
        <v>0.91877502419570611</v>
      </c>
      <c r="BD109" s="22">
        <f>'Activity data'!BD68*UDCPPEF*NtoN2O*kgtoGg</f>
        <v>0.92974277970578911</v>
      </c>
      <c r="BE109" s="22">
        <f>'Activity data'!BE68*UDCPPEF*NtoN2O*kgtoGg</f>
        <v>0.94098279392281947</v>
      </c>
      <c r="BF109" s="22">
        <f>'Activity data'!BF68*UDCPPEF*NtoN2O*kgtoGg</f>
        <v>0.95270963195719316</v>
      </c>
      <c r="BG109" s="22">
        <f>'Activity data'!BG68*UDCPPEF*NtoN2O*kgtoGg</f>
        <v>0.96479676817836724</v>
      </c>
      <c r="BH109" s="22">
        <f>'Activity data'!BH68*UDCPPEF*NtoN2O*kgtoGg</f>
        <v>0.97719628632872868</v>
      </c>
      <c r="BI109" s="22">
        <f>'Activity data'!BI68*UDCPPEF*NtoN2O*kgtoGg</f>
        <v>0.98986353843076946</v>
      </c>
      <c r="BJ109" s="22">
        <f>'Activity data'!BJ68*UDCPPEF*NtoN2O*kgtoGg</f>
        <v>1.0028463100390257</v>
      </c>
      <c r="BK109" s="22">
        <f>'Activity data'!BK68*UDCPPEF*NtoN2O*kgtoGg</f>
        <v>1.0163716801959422</v>
      </c>
      <c r="BL109" s="22">
        <f>'Activity data'!BL68*UDCPPEF*NtoN2O*kgtoGg</f>
        <v>1.030258722435649</v>
      </c>
      <c r="BM109" s="22">
        <f>'Activity data'!BM68*UDCPPEF*NtoN2O*kgtoGg</f>
        <v>1.044522130372652</v>
      </c>
      <c r="BN109" s="22">
        <f>'Activity data'!BN68*UDCPPEF*NtoN2O*kgtoGg</f>
        <v>1.0587005416150332</v>
      </c>
      <c r="BO109" s="22">
        <f>'Activity data'!BO68*UDCPPEF*NtoN2O*kgtoGg</f>
        <v>1.0732766550227768</v>
      </c>
      <c r="BP109" s="22">
        <f>'Activity data'!BP68*UDCPPEF*NtoN2O*kgtoGg</f>
        <v>1.0882728291686534</v>
      </c>
    </row>
    <row r="110" spans="1:68" x14ac:dyDescent="0.25">
      <c r="A110" t="str">
        <f t="shared" si="29"/>
        <v>3C Aggregated and non-CO2 emissions on land</v>
      </c>
      <c r="B110" t="str">
        <f t="shared" si="31"/>
        <v>3C4 Direct N2O from managed soils (N2O)</v>
      </c>
      <c r="C110" t="s">
        <v>427</v>
      </c>
      <c r="D110" t="str">
        <f t="shared" si="38"/>
        <v xml:space="preserve"> - Commercial cattle</v>
      </c>
      <c r="E110" t="str">
        <f t="shared" si="32"/>
        <v>U&amp;D emissions - Commercial cattle</v>
      </c>
      <c r="F110" t="str">
        <f t="shared" si="36"/>
        <v>N2O</v>
      </c>
      <c r="G110" t="str">
        <f t="shared" si="37"/>
        <v>Gg N2O</v>
      </c>
      <c r="H110" s="22">
        <f>'Activity data'!H69*UDCPPEF*NtoN2O*kgtoGg</f>
        <v>17.576597352821153</v>
      </c>
      <c r="I110" s="22">
        <f>'Activity data'!I69*UDCPPEF*NtoN2O*kgtoGg</f>
        <v>16.817955407552034</v>
      </c>
      <c r="J110" s="22">
        <f>'Activity data'!J69*UDCPPEF*NtoN2O*kgtoGg</f>
        <v>16.811844812764484</v>
      </c>
      <c r="K110" s="22">
        <f>'Activity data'!K69*UDCPPEF*NtoN2O*kgtoGg</f>
        <v>15.728077971837282</v>
      </c>
      <c r="L110" s="22">
        <f>'Activity data'!L69*UDCPPEF*NtoN2O*kgtoGg</f>
        <v>16.202229187630483</v>
      </c>
      <c r="M110" s="22">
        <f>'Activity data'!M69*UDCPPEF*NtoN2O*kgtoGg</f>
        <v>16.570618125708414</v>
      </c>
      <c r="N110" s="22">
        <f>'Activity data'!N69*UDCPPEF*NtoN2O*kgtoGg</f>
        <v>17.258021364656891</v>
      </c>
      <c r="O110" s="22">
        <f>'Activity data'!O69*UDCPPEF*NtoN2O*kgtoGg</f>
        <v>17.911777657623301</v>
      </c>
      <c r="P110" s="22">
        <f>'Activity data'!P69*UDCPPEF*NtoN2O*kgtoGg</f>
        <v>18.066914572545961</v>
      </c>
      <c r="Q110" s="22">
        <f>'Activity data'!Q69*UDCPPEF*NtoN2O*kgtoGg</f>
        <v>17.774559997457377</v>
      </c>
      <c r="R110" s="22">
        <f>'Activity data'!R69*UDCPPEF*NtoN2O*kgtoGg</f>
        <v>16.567111624058178</v>
      </c>
      <c r="S110" s="22">
        <f>'Activity data'!S69*UDCPPEF*NtoN2O*kgtoGg</f>
        <v>16.653201396191591</v>
      </c>
      <c r="T110" s="22">
        <f>'Activity data'!T69*UDCPPEF*NtoN2O*kgtoGg</f>
        <v>15.520936543469553</v>
      </c>
      <c r="U110" s="22">
        <f>'Activity data'!U69*UDCPPEF*NtoN2O*kgtoGg</f>
        <v>15.926917241886068</v>
      </c>
      <c r="V110" s="22">
        <f>'Activity data'!V69*UDCPPEF*NtoN2O*kgtoGg</f>
        <v>16.073751998489783</v>
      </c>
      <c r="W110" s="22">
        <f>'Activity data'!W69*UDCPPEF*NtoN2O*kgtoGg</f>
        <v>16.210093033243147</v>
      </c>
      <c r="X110" s="22">
        <f>'Activity data'!X69*UDCPPEF*NtoN2O*kgtoGg</f>
        <v>15.840827469752652</v>
      </c>
      <c r="Y110" s="22">
        <f>'Activity data'!Y69*UDCPPEF*NtoN2O*kgtoGg</f>
        <v>16.304923276401787</v>
      </c>
      <c r="Z110" s="22">
        <f>'Activity data'!Z69*UDCPPEF*NtoN2O*kgtoGg</f>
        <v>15.851842654807969</v>
      </c>
      <c r="AA110" s="22">
        <f>'Activity data'!AA69*UDCPPEF*NtoN2O*kgtoGg</f>
        <v>15.585679412511292</v>
      </c>
      <c r="AB110" s="22">
        <f>'Activity data'!AB69*UDCPPEF*NtoN2O*kgtoGg</f>
        <v>15.5366840017385</v>
      </c>
      <c r="AC110" s="22">
        <f>'Activity data'!AC69*UDCPPEF*NtoN2O*kgtoGg</f>
        <v>15.48089495887754</v>
      </c>
      <c r="AD110" s="22">
        <f>'Activity data'!AD69*UDCPPEF*NtoN2O*kgtoGg</f>
        <v>15.363962780094957</v>
      </c>
      <c r="AE110" s="22">
        <f>'Activity data'!AE69*UDCPPEF*NtoN2O*kgtoGg</f>
        <v>15.277620041338647</v>
      </c>
      <c r="AF110" s="22">
        <f>'Activity data'!AF69*UDCPPEF*NtoN2O*kgtoGg</f>
        <v>15.216587910247908</v>
      </c>
      <c r="AG110" s="22">
        <f>'Activity data'!AG69*UDCPPEF*NtoN2O*kgtoGg</f>
        <v>15.179826457210339</v>
      </c>
      <c r="AH110" s="22">
        <f>'Activity data'!AH69*UDCPPEF*NtoN2O*kgtoGg</f>
        <v>15.162842712581806</v>
      </c>
      <c r="AI110" s="22">
        <f>'Activity data'!AI69*UDCPPEF*NtoN2O*kgtoGg</f>
        <v>15.130520850421195</v>
      </c>
      <c r="AJ110" s="22">
        <f>'Activity data'!AJ69*UDCPPEF*NtoN2O*kgtoGg</f>
        <v>15.104842520876817</v>
      </c>
      <c r="AK110" s="22">
        <f>'Activity data'!AK69*UDCPPEF*NtoN2O*kgtoGg</f>
        <v>15.085197597401969</v>
      </c>
      <c r="AL110" s="22">
        <f>'Activity data'!AL69*UDCPPEF*NtoN2O*kgtoGg</f>
        <v>15.424077234138252</v>
      </c>
      <c r="AM110" s="22">
        <f>'Activity data'!AM69*UDCPPEF*NtoN2O*kgtoGg</f>
        <v>15.34308598748993</v>
      </c>
      <c r="AN110" s="22">
        <f>'Activity data'!AN69*UDCPPEF*NtoN2O*kgtoGg</f>
        <v>15.269396663405283</v>
      </c>
      <c r="AO110" s="22">
        <f>'Activity data'!AO69*UDCPPEF*NtoN2O*kgtoGg</f>
        <v>15.197826503046842</v>
      </c>
      <c r="AP110" s="22">
        <f>'Activity data'!AP69*UDCPPEF*NtoN2O*kgtoGg</f>
        <v>15.131994150459469</v>
      </c>
      <c r="AQ110" s="22">
        <f>'Activity data'!AQ69*UDCPPEF*NtoN2O*kgtoGg</f>
        <v>15.065177181966924</v>
      </c>
      <c r="AR110" s="22">
        <f>'Activity data'!AR69*UDCPPEF*NtoN2O*kgtoGg</f>
        <v>14.987490571285345</v>
      </c>
      <c r="AS110" s="22">
        <f>'Activity data'!AS69*UDCPPEF*NtoN2O*kgtoGg</f>
        <v>14.913916384288839</v>
      </c>
      <c r="AT110" s="22">
        <f>'Activity data'!AT69*UDCPPEF*NtoN2O*kgtoGg</f>
        <v>14.839421558015458</v>
      </c>
      <c r="AU110" s="22">
        <f>'Activity data'!AU69*UDCPPEF*NtoN2O*kgtoGg</f>
        <v>14.765245317985288</v>
      </c>
      <c r="AV110" s="22">
        <f>'Activity data'!AV69*UDCPPEF*NtoN2O*kgtoGg</f>
        <v>14.691270180832438</v>
      </c>
      <c r="AW110" s="22">
        <f>'Activity data'!AW69*UDCPPEF*NtoN2O*kgtoGg</f>
        <v>14.827972224549001</v>
      </c>
      <c r="AX110" s="22">
        <f>'Activity data'!AX69*UDCPPEF*NtoN2O*kgtoGg</f>
        <v>14.892676839456742</v>
      </c>
      <c r="AY110" s="22">
        <f>'Activity data'!AY69*UDCPPEF*NtoN2O*kgtoGg</f>
        <v>14.979438375921127</v>
      </c>
      <c r="AZ110" s="22">
        <f>'Activity data'!AZ69*UDCPPEF*NtoN2O*kgtoGg</f>
        <v>15.062372166303362</v>
      </c>
      <c r="BA110" s="22">
        <f>'Activity data'!BA69*UDCPPEF*NtoN2O*kgtoGg</f>
        <v>15.138334380108494</v>
      </c>
      <c r="BB110" s="22">
        <f>'Activity data'!BB69*UDCPPEF*NtoN2O*kgtoGg</f>
        <v>15.179675392447045</v>
      </c>
      <c r="BC110" s="22">
        <f>'Activity data'!BC69*UDCPPEF*NtoN2O*kgtoGg</f>
        <v>15.195218687447344</v>
      </c>
      <c r="BD110" s="22">
        <f>'Activity data'!BD69*UDCPPEF*NtoN2O*kgtoGg</f>
        <v>15.167398926380354</v>
      </c>
      <c r="BE110" s="22">
        <f>'Activity data'!BE69*UDCPPEF*NtoN2O*kgtoGg</f>
        <v>15.11028253412749</v>
      </c>
      <c r="BF110" s="22">
        <f>'Activity data'!BF69*UDCPPEF*NtoN2O*kgtoGg</f>
        <v>15.032972272025471</v>
      </c>
      <c r="BG110" s="22">
        <f>'Activity data'!BG69*UDCPPEF*NtoN2O*kgtoGg</f>
        <v>15.087290815843868</v>
      </c>
      <c r="BH110" s="22">
        <f>'Activity data'!BH69*UDCPPEF*NtoN2O*kgtoGg</f>
        <v>15.120435692134691</v>
      </c>
      <c r="BI110" s="22">
        <f>'Activity data'!BI69*UDCPPEF*NtoN2O*kgtoGg</f>
        <v>15.128826058776427</v>
      </c>
      <c r="BJ110" s="22">
        <f>'Activity data'!BJ69*UDCPPEF*NtoN2O*kgtoGg</f>
        <v>15.113257834349499</v>
      </c>
      <c r="BK110" s="22">
        <f>'Activity data'!BK69*UDCPPEF*NtoN2O*kgtoGg</f>
        <v>15.081842446956662</v>
      </c>
      <c r="BL110" s="22">
        <f>'Activity data'!BL69*UDCPPEF*NtoN2O*kgtoGg</f>
        <v>15.026096316911303</v>
      </c>
      <c r="BM110" s="22">
        <f>'Activity data'!BM69*UDCPPEF*NtoN2O*kgtoGg</f>
        <v>14.943108317432912</v>
      </c>
      <c r="BN110" s="22">
        <f>'Activity data'!BN69*UDCPPEF*NtoN2O*kgtoGg</f>
        <v>14.813666053109563</v>
      </c>
      <c r="BO110" s="22">
        <f>'Activity data'!BO69*UDCPPEF*NtoN2O*kgtoGg</f>
        <v>14.655562657735963</v>
      </c>
      <c r="BP110" s="22">
        <f>'Activity data'!BP69*UDCPPEF*NtoN2O*kgtoGg</f>
        <v>14.467612210031762</v>
      </c>
    </row>
    <row r="111" spans="1:68" x14ac:dyDescent="0.25">
      <c r="A111" t="str">
        <f t="shared" si="29"/>
        <v>3C Aggregated and non-CO2 emissions on land</v>
      </c>
      <c r="B111" t="str">
        <f t="shared" si="31"/>
        <v>3C4 Direct N2O from managed soils (N2O)</v>
      </c>
      <c r="C111" t="s">
        <v>427</v>
      </c>
      <c r="D111" t="str">
        <f t="shared" si="38"/>
        <v xml:space="preserve"> - Subsistence cattle</v>
      </c>
      <c r="E111" t="str">
        <f t="shared" si="32"/>
        <v>U&amp;D emissions - Subsistence cattle</v>
      </c>
      <c r="F111" t="str">
        <f t="shared" si="36"/>
        <v>N2O</v>
      </c>
      <c r="G111" t="str">
        <f t="shared" si="37"/>
        <v>Gg N2O</v>
      </c>
      <c r="H111" s="22">
        <f>'Activity data'!H70*UDCPPEF*NtoN2O*kgtoGg</f>
        <v>10.402518774722227</v>
      </c>
      <c r="I111" s="22">
        <f>'Activity data'!I70*UDCPPEF*NtoN2O*kgtoGg</f>
        <v>11.206931474349256</v>
      </c>
      <c r="J111" s="22">
        <f>'Activity data'!J70*UDCPPEF*NtoN2O*kgtoGg</f>
        <v>11.316624115207485</v>
      </c>
      <c r="K111" s="22">
        <f>'Activity data'!K70*UDCPPEF*NtoN2O*kgtoGg</f>
        <v>11.316624115207484</v>
      </c>
      <c r="L111" s="22">
        <f>'Activity data'!L70*UDCPPEF*NtoN2O*kgtoGg</f>
        <v>9.9454661044795998</v>
      </c>
      <c r="M111" s="22">
        <f>'Activity data'!M70*UDCPPEF*NtoN2O*kgtoGg</f>
        <v>9.8174913568116633</v>
      </c>
      <c r="N111" s="22">
        <f>'Activity data'!N70*UDCPPEF*NtoN2O*kgtoGg</f>
        <v>10.055158745337833</v>
      </c>
      <c r="O111" s="22">
        <f>'Activity data'!O70*UDCPPEF*NtoN2O*kgtoGg</f>
        <v>10.347672454293111</v>
      </c>
      <c r="P111" s="22">
        <f>'Activity data'!P70*UDCPPEF*NtoN2O*kgtoGg</f>
        <v>10.804725124535743</v>
      </c>
      <c r="Q111" s="22">
        <f>'Activity data'!Q70*UDCPPEF*NtoN2O*kgtoGg</f>
        <v>11.188649367539549</v>
      </c>
      <c r="R111" s="22">
        <f>'Activity data'!R70*UDCPPEF*NtoN2O*kgtoGg</f>
        <v>11.499445183304539</v>
      </c>
      <c r="S111" s="22">
        <f>'Activity data'!S70*UDCPPEF*NtoN2O*kgtoGg</f>
        <v>11.261777794778371</v>
      </c>
      <c r="T111" s="22">
        <f>'Activity data'!T70*UDCPPEF*NtoN2O*kgtoGg</f>
        <v>12.157601028453922</v>
      </c>
      <c r="U111" s="22">
        <f>'Activity data'!U70*UDCPPEF*NtoN2O*kgtoGg</f>
        <v>12.13931892164422</v>
      </c>
      <c r="V111" s="22">
        <f>'Activity data'!V70*UDCPPEF*NtoN2O*kgtoGg</f>
        <v>11.883369426308347</v>
      </c>
      <c r="W111" s="22">
        <f>'Activity data'!W70*UDCPPEF*NtoN2O*kgtoGg</f>
        <v>11.737112571830703</v>
      </c>
      <c r="X111" s="22">
        <f>'Activity data'!X70*UDCPPEF*NtoN2O*kgtoGg</f>
        <v>12.011344173976282</v>
      </c>
      <c r="Y111" s="22">
        <f>'Activity data'!Y70*UDCPPEF*NtoN2O*kgtoGg</f>
        <v>12.413550523789793</v>
      </c>
      <c r="Z111" s="22">
        <f>'Activity data'!Z70*UDCPPEF*NtoN2O*kgtoGg</f>
        <v>12.651217912315962</v>
      </c>
      <c r="AA111" s="22">
        <f>'Activity data'!AA70*UDCPPEF*NtoN2O*kgtoGg</f>
        <v>12.614653698696554</v>
      </c>
      <c r="AB111" s="22">
        <f>'Activity data'!AB70*UDCPPEF*NtoN2O*kgtoGg</f>
        <v>12.468396844218912</v>
      </c>
      <c r="AC111" s="22">
        <f>'Activity data'!AC70*UDCPPEF*NtoN2O*kgtoGg</f>
        <v>12.4318326305995</v>
      </c>
      <c r="AD111" s="22">
        <f>'Activity data'!AD70*UDCPPEF*NtoN2O*kgtoGg</f>
        <v>12.335463550874969</v>
      </c>
      <c r="AE111" s="22">
        <f>'Activity data'!AE70*UDCPPEF*NtoN2O*kgtoGg</f>
        <v>12.367815372117361</v>
      </c>
      <c r="AF111" s="22">
        <f>'Activity data'!AF70*UDCPPEF*NtoN2O*kgtoGg</f>
        <v>12.400460999420051</v>
      </c>
      <c r="AG111" s="22">
        <f>'Activity data'!AG70*UDCPPEF*NtoN2O*kgtoGg</f>
        <v>12.433403101009764</v>
      </c>
      <c r="AH111" s="22">
        <f>'Activity data'!AH70*UDCPPEF*NtoN2O*kgtoGg</f>
        <v>12.469306130631558</v>
      </c>
      <c r="AI111" s="22">
        <f>'Activity data'!AI70*UDCPPEF*NtoN2O*kgtoGg</f>
        <v>12.505209160253349</v>
      </c>
      <c r="AJ111" s="22">
        <f>'Activity data'!AJ70*UDCPPEF*NtoN2O*kgtoGg</f>
        <v>12.54111218987514</v>
      </c>
      <c r="AK111" s="22">
        <f>'Activity data'!AK70*UDCPPEF*NtoN2O*kgtoGg</f>
        <v>12.577015219496932</v>
      </c>
      <c r="AL111" s="22">
        <f>'Activity data'!AL70*UDCPPEF*NtoN2O*kgtoGg</f>
        <v>12.612918249118723</v>
      </c>
      <c r="AM111" s="22">
        <f>'Activity data'!AM70*UDCPPEF*NtoN2O*kgtoGg</f>
        <v>12.649309843627819</v>
      </c>
      <c r="AN111" s="22">
        <f>'Activity data'!AN70*UDCPPEF*NtoN2O*kgtoGg</f>
        <v>12.685701437465191</v>
      </c>
      <c r="AO111" s="22">
        <f>'Activity data'!AO70*UDCPPEF*NtoN2O*kgtoGg</f>
        <v>12.722093031302553</v>
      </c>
      <c r="AP111" s="22">
        <f>'Activity data'!AP70*UDCPPEF*NtoN2O*kgtoGg</f>
        <v>12.758484625139923</v>
      </c>
      <c r="AQ111" s="22">
        <f>'Activity data'!AQ70*UDCPPEF*NtoN2O*kgtoGg</f>
        <v>12.794876219649018</v>
      </c>
      <c r="AR111" s="22">
        <f>'Activity data'!AR70*UDCPPEF*NtoN2O*kgtoGg</f>
        <v>12.834302607769271</v>
      </c>
      <c r="AS111" s="22">
        <f>'Activity data'!AS70*UDCPPEF*NtoN2O*kgtoGg</f>
        <v>12.873728995889516</v>
      </c>
      <c r="AT111" s="22">
        <f>'Activity data'!AT70*UDCPPEF*NtoN2O*kgtoGg</f>
        <v>12.913155384009764</v>
      </c>
      <c r="AU111" s="22">
        <f>'Activity data'!AU70*UDCPPEF*NtoN2O*kgtoGg</f>
        <v>12.952581772130015</v>
      </c>
      <c r="AV111" s="22">
        <f>'Activity data'!AV70*UDCPPEF*NtoN2O*kgtoGg</f>
        <v>12.992008160250267</v>
      </c>
      <c r="AW111" s="22">
        <f>'Activity data'!AW70*UDCPPEF*NtoN2O*kgtoGg</f>
        <v>13.030096017128814</v>
      </c>
      <c r="AX111" s="22">
        <f>'Activity data'!AX70*UDCPPEF*NtoN2O*kgtoGg</f>
        <v>13.068183873335634</v>
      </c>
      <c r="AY111" s="22">
        <f>'Activity data'!AY70*UDCPPEF*NtoN2O*kgtoGg</f>
        <v>13.106271730214184</v>
      </c>
      <c r="AZ111" s="22">
        <f>'Activity data'!AZ70*UDCPPEF*NtoN2O*kgtoGg</f>
        <v>13.144359586421006</v>
      </c>
      <c r="BA111" s="22">
        <f>'Activity data'!BA70*UDCPPEF*NtoN2O*kgtoGg</f>
        <v>13.182447442627822</v>
      </c>
      <c r="BB111" s="22">
        <f>'Activity data'!BB70*UDCPPEF*NtoN2O*kgtoGg</f>
        <v>13.222032711300848</v>
      </c>
      <c r="BC111" s="22">
        <f>'Activity data'!BC70*UDCPPEF*NtoN2O*kgtoGg</f>
        <v>13.261617979973868</v>
      </c>
      <c r="BD111" s="22">
        <f>'Activity data'!BD70*UDCPPEF*NtoN2O*kgtoGg</f>
        <v>13.301203247975161</v>
      </c>
      <c r="BE111" s="22">
        <f>'Activity data'!BE70*UDCPPEF*NtoN2O*kgtoGg</f>
        <v>13.340788516648189</v>
      </c>
      <c r="BF111" s="22">
        <f>'Activity data'!BF70*UDCPPEF*NtoN2O*kgtoGg</f>
        <v>13.380373785321211</v>
      </c>
      <c r="BG111" s="22">
        <f>'Activity data'!BG70*UDCPPEF*NtoN2O*kgtoGg</f>
        <v>13.425561491791944</v>
      </c>
      <c r="BH111" s="22">
        <f>'Activity data'!BH70*UDCPPEF*NtoN2O*kgtoGg</f>
        <v>13.470749197590946</v>
      </c>
      <c r="BI111" s="22">
        <f>'Activity data'!BI70*UDCPPEF*NtoN2O*kgtoGg</f>
        <v>13.515936904061681</v>
      </c>
      <c r="BJ111" s="22">
        <f>'Activity data'!BJ70*UDCPPEF*NtoN2O*kgtoGg</f>
        <v>13.561124610532417</v>
      </c>
      <c r="BK111" s="22">
        <f>'Activity data'!BK70*UDCPPEF*NtoN2O*kgtoGg</f>
        <v>13.60631231700315</v>
      </c>
      <c r="BL111" s="22">
        <f>'Activity data'!BL70*UDCPPEF*NtoN2O*kgtoGg</f>
        <v>13.649905161617545</v>
      </c>
      <c r="BM111" s="22">
        <f>'Activity data'!BM70*UDCPPEF*NtoN2O*kgtoGg</f>
        <v>13.693498006231939</v>
      </c>
      <c r="BN111" s="22">
        <f>'Activity data'!BN70*UDCPPEF*NtoN2O*kgtoGg</f>
        <v>13.737090851518063</v>
      </c>
      <c r="BO111" s="22">
        <f>'Activity data'!BO70*UDCPPEF*NtoN2O*kgtoGg</f>
        <v>13.780683696132462</v>
      </c>
      <c r="BP111" s="22">
        <f>'Activity data'!BP70*UDCPPEF*NtoN2O*kgtoGg</f>
        <v>13.824276540746856</v>
      </c>
    </row>
    <row r="112" spans="1:68" x14ac:dyDescent="0.25">
      <c r="A112" t="str">
        <f t="shared" si="29"/>
        <v>3C Aggregated and non-CO2 emissions on land</v>
      </c>
      <c r="B112" t="str">
        <f t="shared" si="31"/>
        <v>3C4 Direct N2O from managed soils (N2O)</v>
      </c>
      <c r="C112" t="s">
        <v>427</v>
      </c>
      <c r="D112" t="str">
        <f t="shared" si="38"/>
        <v xml:space="preserve"> - Feedlot</v>
      </c>
      <c r="E112" t="str">
        <f t="shared" si="32"/>
        <v>U&amp;D emissions - Feedlot</v>
      </c>
      <c r="F112" t="str">
        <f t="shared" si="36"/>
        <v>N2O</v>
      </c>
      <c r="G112" t="str">
        <f t="shared" si="37"/>
        <v>Gg N2O</v>
      </c>
      <c r="H112" s="22">
        <f>'Activity data'!H71*UDCPPEF*NtoN2O*kgtoGg</f>
        <v>0</v>
      </c>
      <c r="I112" s="22">
        <f>'Activity data'!I71*UDCPPEF*NtoN2O*kgtoGg</f>
        <v>0</v>
      </c>
      <c r="J112" s="22">
        <f>'Activity data'!J71*UDCPPEF*NtoN2O*kgtoGg</f>
        <v>0</v>
      </c>
      <c r="K112" s="22">
        <f>'Activity data'!K71*UDCPPEF*NtoN2O*kgtoGg</f>
        <v>0</v>
      </c>
      <c r="L112" s="22">
        <f>'Activity data'!L71*UDCPPEF*NtoN2O*kgtoGg</f>
        <v>0</v>
      </c>
      <c r="M112" s="22">
        <f>'Activity data'!M71*UDCPPEF*NtoN2O*kgtoGg</f>
        <v>0</v>
      </c>
      <c r="N112" s="22">
        <f>'Activity data'!N71*UDCPPEF*NtoN2O*kgtoGg</f>
        <v>0</v>
      </c>
      <c r="O112" s="22">
        <f>'Activity data'!O71*UDCPPEF*NtoN2O*kgtoGg</f>
        <v>0</v>
      </c>
      <c r="P112" s="22">
        <f>'Activity data'!P71*UDCPPEF*NtoN2O*kgtoGg</f>
        <v>0</v>
      </c>
      <c r="Q112" s="22">
        <f>'Activity data'!Q71*UDCPPEF*NtoN2O*kgtoGg</f>
        <v>0</v>
      </c>
      <c r="R112" s="22">
        <f>'Activity data'!R71*UDCPPEF*NtoN2O*kgtoGg</f>
        <v>0</v>
      </c>
      <c r="S112" s="22">
        <f>'Activity data'!S71*UDCPPEF*NtoN2O*kgtoGg</f>
        <v>0</v>
      </c>
      <c r="T112" s="22">
        <f>'Activity data'!T71*UDCPPEF*NtoN2O*kgtoGg</f>
        <v>0</v>
      </c>
      <c r="U112" s="22">
        <f>'Activity data'!U71*UDCPPEF*NtoN2O*kgtoGg</f>
        <v>0</v>
      </c>
      <c r="V112" s="22">
        <f>'Activity data'!V71*UDCPPEF*NtoN2O*kgtoGg</f>
        <v>0</v>
      </c>
      <c r="W112" s="22">
        <f>'Activity data'!W71*UDCPPEF*NtoN2O*kgtoGg</f>
        <v>0</v>
      </c>
      <c r="X112" s="22">
        <f>'Activity data'!X71*UDCPPEF*NtoN2O*kgtoGg</f>
        <v>0</v>
      </c>
      <c r="Y112" s="22">
        <f>'Activity data'!Y71*UDCPPEF*NtoN2O*kgtoGg</f>
        <v>0</v>
      </c>
      <c r="Z112" s="22">
        <f>'Activity data'!Z71*UDCPPEF*NtoN2O*kgtoGg</f>
        <v>0</v>
      </c>
      <c r="AA112" s="22">
        <f>'Activity data'!AA71*UDCPPEF*NtoN2O*kgtoGg</f>
        <v>0</v>
      </c>
      <c r="AB112" s="22">
        <f>'Activity data'!AB71*UDCPPEF*NtoN2O*kgtoGg</f>
        <v>0</v>
      </c>
      <c r="AC112" s="22">
        <f>'Activity data'!AC71*UDCPPEF*NtoN2O*kgtoGg</f>
        <v>0</v>
      </c>
      <c r="AD112" s="22">
        <f>'Activity data'!AD71*UDCPPEF*NtoN2O*kgtoGg</f>
        <v>0</v>
      </c>
      <c r="AE112" s="22">
        <f>'Activity data'!AE71*UDCPPEF*NtoN2O*kgtoGg</f>
        <v>0</v>
      </c>
      <c r="AF112" s="22">
        <f>'Activity data'!AF71*UDCPPEF*NtoN2O*kgtoGg</f>
        <v>0</v>
      </c>
      <c r="AG112" s="22">
        <f>'Activity data'!AG71*UDCPPEF*NtoN2O*kgtoGg</f>
        <v>0</v>
      </c>
      <c r="AH112" s="22">
        <f>'Activity data'!AH71*UDCPPEF*NtoN2O*kgtoGg</f>
        <v>0</v>
      </c>
      <c r="AI112" s="22">
        <f>'Activity data'!AI71*UDCPPEF*NtoN2O*kgtoGg</f>
        <v>0</v>
      </c>
      <c r="AJ112" s="22">
        <f>'Activity data'!AJ71*UDCPPEF*NtoN2O*kgtoGg</f>
        <v>0</v>
      </c>
      <c r="AK112" s="22">
        <f>'Activity data'!AK71*UDCPPEF*NtoN2O*kgtoGg</f>
        <v>0</v>
      </c>
      <c r="AL112" s="22">
        <f>'Activity data'!AL71*UDCPPEF*NtoN2O*kgtoGg</f>
        <v>0</v>
      </c>
      <c r="AM112" s="22">
        <f>'Activity data'!AM71*UDCPPEF*NtoN2O*kgtoGg</f>
        <v>0</v>
      </c>
      <c r="AN112" s="22">
        <f>'Activity data'!AN71*UDCPPEF*NtoN2O*kgtoGg</f>
        <v>0</v>
      </c>
      <c r="AO112" s="22">
        <f>'Activity data'!AO71*UDCPPEF*NtoN2O*kgtoGg</f>
        <v>0</v>
      </c>
      <c r="AP112" s="22">
        <f>'Activity data'!AP71*UDCPPEF*NtoN2O*kgtoGg</f>
        <v>0</v>
      </c>
      <c r="AQ112" s="22">
        <f>'Activity data'!AQ71*UDCPPEF*NtoN2O*kgtoGg</f>
        <v>0</v>
      </c>
      <c r="AR112" s="22">
        <f>'Activity data'!AR71*UDCPPEF*NtoN2O*kgtoGg</f>
        <v>0</v>
      </c>
      <c r="AS112" s="22">
        <f>'Activity data'!AS71*UDCPPEF*NtoN2O*kgtoGg</f>
        <v>0</v>
      </c>
      <c r="AT112" s="22">
        <f>'Activity data'!AT71*UDCPPEF*NtoN2O*kgtoGg</f>
        <v>0</v>
      </c>
      <c r="AU112" s="22">
        <f>'Activity data'!AU71*UDCPPEF*NtoN2O*kgtoGg</f>
        <v>0</v>
      </c>
      <c r="AV112" s="22">
        <f>'Activity data'!AV71*UDCPPEF*NtoN2O*kgtoGg</f>
        <v>0</v>
      </c>
      <c r="AW112" s="22">
        <f>'Activity data'!AW71*UDCPPEF*NtoN2O*kgtoGg</f>
        <v>0</v>
      </c>
      <c r="AX112" s="22">
        <f>'Activity data'!AX71*UDCPPEF*NtoN2O*kgtoGg</f>
        <v>0</v>
      </c>
      <c r="AY112" s="22">
        <f>'Activity data'!AY71*UDCPPEF*NtoN2O*kgtoGg</f>
        <v>0</v>
      </c>
      <c r="AZ112" s="22">
        <f>'Activity data'!AZ71*UDCPPEF*NtoN2O*kgtoGg</f>
        <v>0</v>
      </c>
      <c r="BA112" s="22">
        <f>'Activity data'!BA71*UDCPPEF*NtoN2O*kgtoGg</f>
        <v>0</v>
      </c>
      <c r="BB112" s="22">
        <f>'Activity data'!BB71*UDCPPEF*NtoN2O*kgtoGg</f>
        <v>0</v>
      </c>
      <c r="BC112" s="22">
        <f>'Activity data'!BC71*UDCPPEF*NtoN2O*kgtoGg</f>
        <v>0</v>
      </c>
      <c r="BD112" s="22">
        <f>'Activity data'!BD71*UDCPPEF*NtoN2O*kgtoGg</f>
        <v>0</v>
      </c>
      <c r="BE112" s="22">
        <f>'Activity data'!BE71*UDCPPEF*NtoN2O*kgtoGg</f>
        <v>0</v>
      </c>
      <c r="BF112" s="22">
        <f>'Activity data'!BF71*UDCPPEF*NtoN2O*kgtoGg</f>
        <v>0</v>
      </c>
      <c r="BG112" s="22">
        <f>'Activity data'!BG71*UDCPPEF*NtoN2O*kgtoGg</f>
        <v>0</v>
      </c>
      <c r="BH112" s="22">
        <f>'Activity data'!BH71*UDCPPEF*NtoN2O*kgtoGg</f>
        <v>0</v>
      </c>
      <c r="BI112" s="22">
        <f>'Activity data'!BI71*UDCPPEF*NtoN2O*kgtoGg</f>
        <v>0</v>
      </c>
      <c r="BJ112" s="22">
        <f>'Activity data'!BJ71*UDCPPEF*NtoN2O*kgtoGg</f>
        <v>0</v>
      </c>
      <c r="BK112" s="22">
        <f>'Activity data'!BK71*UDCPPEF*NtoN2O*kgtoGg</f>
        <v>0</v>
      </c>
      <c r="BL112" s="22">
        <f>'Activity data'!BL71*UDCPPEF*NtoN2O*kgtoGg</f>
        <v>0</v>
      </c>
      <c r="BM112" s="22">
        <f>'Activity data'!BM71*UDCPPEF*NtoN2O*kgtoGg</f>
        <v>0</v>
      </c>
      <c r="BN112" s="22">
        <f>'Activity data'!BN71*UDCPPEF*NtoN2O*kgtoGg</f>
        <v>0</v>
      </c>
      <c r="BO112" s="22">
        <f>'Activity data'!BO71*UDCPPEF*NtoN2O*kgtoGg</f>
        <v>0</v>
      </c>
      <c r="BP112" s="22">
        <f>'Activity data'!BP71*UDCPPEF*NtoN2O*kgtoGg</f>
        <v>0</v>
      </c>
    </row>
    <row r="113" spans="1:68" x14ac:dyDescent="0.25">
      <c r="A113" t="str">
        <f t="shared" si="29"/>
        <v>3C Aggregated and non-CO2 emissions on land</v>
      </c>
      <c r="B113" t="str">
        <f t="shared" si="31"/>
        <v>3C4 Direct N2O from managed soils (N2O)</v>
      </c>
      <c r="C113" t="s">
        <v>427</v>
      </c>
      <c r="D113" t="str">
        <f t="shared" si="38"/>
        <v xml:space="preserve"> - Commercial sheep</v>
      </c>
      <c r="E113" t="str">
        <f t="shared" si="32"/>
        <v>U&amp;D emissions - Commercial sheep</v>
      </c>
      <c r="F113" t="str">
        <f t="shared" si="36"/>
        <v>N2O</v>
      </c>
      <c r="G113" t="str">
        <f t="shared" si="37"/>
        <v>Gg N2O</v>
      </c>
      <c r="H113" s="22">
        <f>'Activity data'!H72*UDSOEF*NtoN2O*kgtoGg</f>
        <v>9.1437692552590502</v>
      </c>
      <c r="I113" s="22">
        <f>'Activity data'!I72*UDSOEF*NtoN2O*kgtoGg</f>
        <v>8.7326214199046639</v>
      </c>
      <c r="J113" s="22">
        <f>'Activity data'!J72*UDSOEF*NtoN2O*kgtoGg</f>
        <v>8.371799543625551</v>
      </c>
      <c r="K113" s="22">
        <f>'Activity data'!K72*UDSOEF*NtoN2O*kgtoGg</f>
        <v>7.8294992088628641</v>
      </c>
      <c r="L113" s="22">
        <f>'Activity data'!L72*UDSOEF*NtoN2O*kgtoGg</f>
        <v>7.8847052609393824</v>
      </c>
      <c r="M113" s="22">
        <f>'Activity data'!M72*UDSOEF*NtoN2O*kgtoGg</f>
        <v>7.7718531102857282</v>
      </c>
      <c r="N113" s="22">
        <f>'Activity data'!N72*UDSOEF*NtoN2O*kgtoGg</f>
        <v>7.7977786043548116</v>
      </c>
      <c r="O113" s="22">
        <f>'Activity data'!O72*UDSOEF*NtoN2O*kgtoGg</f>
        <v>7.6281953725617546</v>
      </c>
      <c r="P113" s="22">
        <f>'Activity data'!P72*UDSOEF*NtoN2O*kgtoGg</f>
        <v>7.6492407736295975</v>
      </c>
      <c r="Q113" s="22">
        <f>'Activity data'!Q72*UDSOEF*NtoN2O*kgtoGg</f>
        <v>7.4613571930818949</v>
      </c>
      <c r="R113" s="22">
        <f>'Activity data'!R72*UDSOEF*NtoN2O*kgtoGg</f>
        <v>7.1938670954514805</v>
      </c>
      <c r="S113" s="22">
        <f>'Activity data'!S72*UDSOEF*NtoN2O*kgtoGg</f>
        <v>7.0145236776559479</v>
      </c>
      <c r="T113" s="22">
        <f>'Activity data'!T72*UDSOEF*NtoN2O*kgtoGg</f>
        <v>6.89740144562621</v>
      </c>
      <c r="U113" s="22">
        <f>'Activity data'!U72*UDSOEF*NtoN2O*kgtoGg</f>
        <v>6.9214969048198283</v>
      </c>
      <c r="V113" s="22">
        <f>'Activity data'!V72*UDSOEF*NtoN2O*kgtoGg</f>
        <v>6.7982745565385434</v>
      </c>
      <c r="W113" s="22">
        <f>'Activity data'!W72*UDSOEF*NtoN2O*kgtoGg</f>
        <v>6.7821092484719374</v>
      </c>
      <c r="X113" s="22">
        <f>'Activity data'!X72*UDSOEF*NtoN2O*kgtoGg</f>
        <v>6.6933525570119041</v>
      </c>
      <c r="Y113" s="22">
        <f>'Activity data'!Y72*UDSOEF*NtoN2O*kgtoGg</f>
        <v>6.6869474349477782</v>
      </c>
      <c r="Z113" s="22">
        <f>'Activity data'!Z72*UDSOEF*NtoN2O*kgtoGg</f>
        <v>6.7086028476407771</v>
      </c>
      <c r="AA113" s="22">
        <f>'Activity data'!AA72*UDSOEF*NtoN2O*kgtoGg</f>
        <v>6.6848123942597351</v>
      </c>
      <c r="AB113" s="22">
        <f>'Activity data'!AB72*UDSOEF*NtoN2O*kgtoGg</f>
        <v>6.5554899297269005</v>
      </c>
      <c r="AC113" s="22">
        <f>'Activity data'!AC72*UDSOEF*NtoN2O*kgtoGg</f>
        <v>6.5042489532138905</v>
      </c>
      <c r="AD113" s="22">
        <f>'Activity data'!AD72*UDSOEF*NtoN2O*kgtoGg</f>
        <v>6.6778249500278202</v>
      </c>
      <c r="AE113" s="22">
        <f>'Activity data'!AE72*UDSOEF*NtoN2O*kgtoGg</f>
        <v>6.6557784765454828</v>
      </c>
      <c r="AF113" s="22">
        <f>'Activity data'!AF72*UDSOEF*NtoN2O*kgtoGg</f>
        <v>6.6342835919663203</v>
      </c>
      <c r="AG113" s="22">
        <f>'Activity data'!AG72*UDSOEF*NtoN2O*kgtoGg</f>
        <v>6.6133524626321813</v>
      </c>
      <c r="AH113" s="22">
        <f>'Activity data'!AH72*UDSOEF*NtoN2O*kgtoGg</f>
        <v>6.5913049256018512</v>
      </c>
      <c r="AI113" s="22">
        <f>'Activity data'!AI72*UDSOEF*NtoN2O*kgtoGg</f>
        <v>6.5692534568394025</v>
      </c>
      <c r="AJ113" s="22">
        <f>'Activity data'!AJ72*UDSOEF*NtoN2O*kgtoGg</f>
        <v>6.547631568578737</v>
      </c>
      <c r="AK113" s="22">
        <f>'Activity data'!AK72*UDSOEF*NtoN2O*kgtoGg</f>
        <v>6.5264184193378991</v>
      </c>
      <c r="AL113" s="22">
        <f>'Activity data'!AL72*UDSOEF*NtoN2O*kgtoGg</f>
        <v>6.5117978341123397</v>
      </c>
      <c r="AM113" s="22">
        <f>'Activity data'!AM72*UDSOEF*NtoN2O*kgtoGg</f>
        <v>6.489859576141968</v>
      </c>
      <c r="AN113" s="22">
        <f>'Activity data'!AN72*UDSOEF*NtoN2O*kgtoGg</f>
        <v>6.4682864562221907</v>
      </c>
      <c r="AO113" s="22">
        <f>'Activity data'!AO72*UDSOEF*NtoN2O*kgtoGg</f>
        <v>6.4469922017614101</v>
      </c>
      <c r="AP113" s="22">
        <f>'Activity data'!AP72*UDSOEF*NtoN2O*kgtoGg</f>
        <v>6.4260355661950399</v>
      </c>
      <c r="AQ113" s="22">
        <f>'Activity data'!AQ72*UDSOEF*NtoN2O*kgtoGg</f>
        <v>6.4052952956061837</v>
      </c>
      <c r="AR113" s="22">
        <f>'Activity data'!AR72*UDSOEF*NtoN2O*kgtoGg</f>
        <v>6.3829806994520775</v>
      </c>
      <c r="AS113" s="22">
        <f>'Activity data'!AS72*UDSOEF*NtoN2O*kgtoGg</f>
        <v>6.3609945868759832</v>
      </c>
      <c r="AT113" s="22">
        <f>'Activity data'!AT72*UDSOEF*NtoN2O*kgtoGg</f>
        <v>6.3392346043164984</v>
      </c>
      <c r="AU113" s="22">
        <f>'Activity data'!AU72*UDSOEF*NtoN2O*kgtoGg</f>
        <v>6.317715395830156</v>
      </c>
      <c r="AV113" s="22">
        <f>'Activity data'!AV72*UDSOEF*NtoN2O*kgtoGg</f>
        <v>6.2964260889722086</v>
      </c>
      <c r="AW113" s="22">
        <f>'Activity data'!AW72*UDSOEF*NtoN2O*kgtoGg</f>
        <v>6.2757144729127505</v>
      </c>
      <c r="AX113" s="22">
        <f>'Activity data'!AX72*UDSOEF*NtoN2O*kgtoGg</f>
        <v>6.2757144729127505</v>
      </c>
      <c r="AY113" s="22">
        <f>'Activity data'!AY72*UDSOEF*NtoN2O*kgtoGg</f>
        <v>6.2757144729127505</v>
      </c>
      <c r="AZ113" s="22">
        <f>'Activity data'!AZ72*UDSOEF*NtoN2O*kgtoGg</f>
        <v>6.2757144729127505</v>
      </c>
      <c r="BA113" s="22">
        <f>'Activity data'!BA72*UDSOEF*NtoN2O*kgtoGg</f>
        <v>6.2757144729127505</v>
      </c>
      <c r="BB113" s="22">
        <f>'Activity data'!BB72*UDSOEF*NtoN2O*kgtoGg</f>
        <v>6.2757144729127505</v>
      </c>
      <c r="BC113" s="22">
        <f>'Activity data'!BC72*UDSOEF*NtoN2O*kgtoGg</f>
        <v>6.2757144729127505</v>
      </c>
      <c r="BD113" s="22">
        <f>'Activity data'!BD72*UDSOEF*NtoN2O*kgtoGg</f>
        <v>6.2757144729127505</v>
      </c>
      <c r="BE113" s="22">
        <f>'Activity data'!BE72*UDSOEF*NtoN2O*kgtoGg</f>
        <v>6.2757144729127505</v>
      </c>
      <c r="BF113" s="22">
        <f>'Activity data'!BF72*UDSOEF*NtoN2O*kgtoGg</f>
        <v>6.2757144729127505</v>
      </c>
      <c r="BG113" s="22">
        <f>'Activity data'!BG72*UDSOEF*NtoN2O*kgtoGg</f>
        <v>6.2757144729127505</v>
      </c>
      <c r="BH113" s="22">
        <f>'Activity data'!BH72*UDSOEF*NtoN2O*kgtoGg</f>
        <v>6.2757144729127505</v>
      </c>
      <c r="BI113" s="22">
        <f>'Activity data'!BI72*UDSOEF*NtoN2O*kgtoGg</f>
        <v>6.2757144729127505</v>
      </c>
      <c r="BJ113" s="22">
        <f>'Activity data'!BJ72*UDSOEF*NtoN2O*kgtoGg</f>
        <v>6.2757144729127505</v>
      </c>
      <c r="BK113" s="22">
        <f>'Activity data'!BK72*UDSOEF*NtoN2O*kgtoGg</f>
        <v>6.2757144729127505</v>
      </c>
      <c r="BL113" s="22">
        <f>'Activity data'!BL72*UDSOEF*NtoN2O*kgtoGg</f>
        <v>6.2757144729127505</v>
      </c>
      <c r="BM113" s="22">
        <f>'Activity data'!BM72*UDSOEF*NtoN2O*kgtoGg</f>
        <v>6.2757144729127505</v>
      </c>
      <c r="BN113" s="22">
        <f>'Activity data'!BN72*UDSOEF*NtoN2O*kgtoGg</f>
        <v>6.2757144729127505</v>
      </c>
      <c r="BO113" s="22">
        <f>'Activity data'!BO72*UDSOEF*NtoN2O*kgtoGg</f>
        <v>6.2757144729127505</v>
      </c>
      <c r="BP113" s="22">
        <f>'Activity data'!BP72*UDSOEF*NtoN2O*kgtoGg</f>
        <v>6.2757144729127505</v>
      </c>
    </row>
    <row r="114" spans="1:68" x14ac:dyDescent="0.25">
      <c r="A114" t="str">
        <f t="shared" si="29"/>
        <v>3C Aggregated and non-CO2 emissions on land</v>
      </c>
      <c r="B114" t="str">
        <f t="shared" si="31"/>
        <v>3C4 Direct N2O from managed soils (N2O)</v>
      </c>
      <c r="C114" t="s">
        <v>427</v>
      </c>
      <c r="D114" t="str">
        <f t="shared" si="38"/>
        <v xml:space="preserve"> - Subsistence sheep</v>
      </c>
      <c r="E114" t="str">
        <f t="shared" si="32"/>
        <v>U&amp;D emissions - Subsistence sheep</v>
      </c>
      <c r="F114" t="str">
        <f t="shared" si="36"/>
        <v>N2O</v>
      </c>
      <c r="G114" t="str">
        <f t="shared" si="37"/>
        <v>Gg N2O</v>
      </c>
      <c r="H114" s="22">
        <f>'Activity data'!H73*UDSOEF*NtoN2O*kgtoGg</f>
        <v>0.95332401035894265</v>
      </c>
      <c r="I114" s="22">
        <f>'Activity data'!I73*UDSOEF*NtoN2O*kgtoGg</f>
        <v>0.9104579786045861</v>
      </c>
      <c r="J114" s="22">
        <f>'Activity data'!J73*UDSOEF*NtoN2O*kgtoGg</f>
        <v>0.87283890177565138</v>
      </c>
      <c r="K114" s="22">
        <f>'Activity data'!K73*UDSOEF*NtoN2O*kgtoGg</f>
        <v>0.81629898748837704</v>
      </c>
      <c r="L114" s="22">
        <f>'Activity data'!L73*UDSOEF*NtoN2O*kgtoGg</f>
        <v>0.82205473804293083</v>
      </c>
      <c r="M114" s="22">
        <f>'Activity data'!M73*UDSOEF*NtoN2O*kgtoGg</f>
        <v>0.8102888391192572</v>
      </c>
      <c r="N114" s="22">
        <f>'Activity data'!N73*UDSOEF*NtoN2O*kgtoGg</f>
        <v>0.81299181589902014</v>
      </c>
      <c r="O114" s="22">
        <f>'Activity data'!O73*UDSOEF*NtoN2O*kgtoGg</f>
        <v>0.79531116778668909</v>
      </c>
      <c r="P114" s="22">
        <f>'Activity data'!P73*UDSOEF*NtoN2O*kgtoGg</f>
        <v>0.79750534893732261</v>
      </c>
      <c r="Q114" s="22">
        <f>'Activity data'!Q73*UDSOEF*NtoN2O*kgtoGg</f>
        <v>0.77791671721574718</v>
      </c>
      <c r="R114" s="22">
        <f>'Activity data'!R73*UDSOEF*NtoN2O*kgtoGg</f>
        <v>0.75002835679395885</v>
      </c>
      <c r="S114" s="22">
        <f>'Activity data'!S73*UDSOEF*NtoN2O*kgtoGg</f>
        <v>0.73133011742336396</v>
      </c>
      <c r="T114" s="22">
        <f>'Activity data'!T73*UDSOEF*NtoN2O*kgtoGg</f>
        <v>0.71911902232420011</v>
      </c>
      <c r="U114" s="22">
        <f>'Activity data'!U73*UDSOEF*NtoN2O*kgtoGg</f>
        <v>0.72163120074303855</v>
      </c>
      <c r="V114" s="22">
        <f>'Activity data'!V73*UDSOEF*NtoN2O*kgtoGg</f>
        <v>0.70878411110745976</v>
      </c>
      <c r="W114" s="22">
        <f>'Activity data'!W73*UDSOEF*NtoN2O*kgtoGg</f>
        <v>0.70709872558596065</v>
      </c>
      <c r="X114" s="22">
        <f>'Activity data'!X73*UDSOEF*NtoN2O*kgtoGg</f>
        <v>0.69784500508112535</v>
      </c>
      <c r="Y114" s="22">
        <f>'Activity data'!Y73*UDSOEF*NtoN2O*kgtoGg</f>
        <v>0.69717721081788997</v>
      </c>
      <c r="Z114" s="22">
        <f>'Activity data'!Z73*UDSOEF*NtoN2O*kgtoGg</f>
        <v>0.69943499142216237</v>
      </c>
      <c r="AA114" s="22">
        <f>'Activity data'!AA73*UDSOEF*NtoN2O*kgtoGg</f>
        <v>0.6969546127301447</v>
      </c>
      <c r="AB114" s="22">
        <f>'Activity data'!AB73*UDSOEF*NtoN2O*kgtoGg</f>
        <v>0.68347152855815141</v>
      </c>
      <c r="AC114" s="22">
        <f>'Activity data'!AC73*UDSOEF*NtoN2O*kgtoGg</f>
        <v>0.67812917445226706</v>
      </c>
      <c r="AD114" s="22">
        <f>'Activity data'!AD73*UDSOEF*NtoN2O*kgtoGg</f>
        <v>0.69842222454353686</v>
      </c>
      <c r="AE114" s="22">
        <f>'Activity data'!AE73*UDSOEF*NtoN2O*kgtoGg</f>
        <v>0.69611642180565425</v>
      </c>
      <c r="AF114" s="22">
        <f>'Activity data'!AF73*UDSOEF*NtoN2O*kgtoGg</f>
        <v>0.69386830880232953</v>
      </c>
      <c r="AG114" s="22">
        <f>'Activity data'!AG73*UDSOEF*NtoN2O*kgtoGg</f>
        <v>0.69167915799032786</v>
      </c>
      <c r="AH114" s="22">
        <f>'Activity data'!AH73*UDSOEF*NtoN2O*kgtoGg</f>
        <v>0.68937324401779043</v>
      </c>
      <c r="AI114" s="22">
        <f>'Activity data'!AI73*UDSOEF*NtoN2O*kgtoGg</f>
        <v>0.68706691883215376</v>
      </c>
      <c r="AJ114" s="22">
        <f>'Activity data'!AJ73*UDSOEF*NtoN2O*kgtoGg</f>
        <v>0.68480552273224804</v>
      </c>
      <c r="AK114" s="22">
        <f>'Activity data'!AK73*UDSOEF*NtoN2O*kgtoGg</f>
        <v>0.68258687594332634</v>
      </c>
      <c r="AL114" s="22">
        <f>'Activity data'!AL73*UDSOEF*NtoN2O*kgtoGg</f>
        <v>0.68105773408444592</v>
      </c>
      <c r="AM114" s="22">
        <f>'Activity data'!AM73*UDSOEF*NtoN2O*kgtoGg</f>
        <v>0.67876324942081112</v>
      </c>
      <c r="AN114" s="22">
        <f>'Activity data'!AN73*UDSOEF*NtoN2O*kgtoGg</f>
        <v>0.67650695391778914</v>
      </c>
      <c r="AO114" s="22">
        <f>'Activity data'!AO73*UDSOEF*NtoN2O*kgtoGg</f>
        <v>0.67427982447342827</v>
      </c>
      <c r="AP114" s="22">
        <f>'Activity data'!AP73*UDSOEF*NtoN2O*kgtoGg</f>
        <v>0.67208800600847263</v>
      </c>
      <c r="AQ114" s="22">
        <f>'Activity data'!AQ73*UDSOEF*NtoN2O*kgtoGg</f>
        <v>0.66991881678433107</v>
      </c>
      <c r="AR114" s="22">
        <f>'Activity data'!AR73*UDSOEF*NtoN2O*kgtoGg</f>
        <v>0.66758497155742424</v>
      </c>
      <c r="AS114" s="22">
        <f>'Activity data'!AS73*UDSOEF*NtoN2O*kgtoGg</f>
        <v>0.66528548186289482</v>
      </c>
      <c r="AT114" s="22">
        <f>'Activity data'!AT73*UDSOEF*NtoN2O*kgtoGg</f>
        <v>0.66300964271782103</v>
      </c>
      <c r="AU114" s="22">
        <f>'Activity data'!AU73*UDSOEF*NtoN2O*kgtoGg</f>
        <v>0.66075898571888536</v>
      </c>
      <c r="AV114" s="22">
        <f>'Activity data'!AV73*UDSOEF*NtoN2O*kgtoGg</f>
        <v>0.65853237373579432</v>
      </c>
      <c r="AW114" s="22">
        <f>'Activity data'!AW73*UDSOEF*NtoN2O*kgtoGg</f>
        <v>0.65636618143959191</v>
      </c>
      <c r="AX114" s="22">
        <f>'Activity data'!AX73*UDSOEF*NtoN2O*kgtoGg</f>
        <v>0.65636618143959191</v>
      </c>
      <c r="AY114" s="22">
        <f>'Activity data'!AY73*UDSOEF*NtoN2O*kgtoGg</f>
        <v>0.65636618143959191</v>
      </c>
      <c r="AZ114" s="22">
        <f>'Activity data'!AZ73*UDSOEF*NtoN2O*kgtoGg</f>
        <v>0.65636618143959191</v>
      </c>
      <c r="BA114" s="22">
        <f>'Activity data'!BA73*UDSOEF*NtoN2O*kgtoGg</f>
        <v>0.65636618143959191</v>
      </c>
      <c r="BB114" s="22">
        <f>'Activity data'!BB73*UDSOEF*NtoN2O*kgtoGg</f>
        <v>0.65636618143959191</v>
      </c>
      <c r="BC114" s="22">
        <f>'Activity data'!BC73*UDSOEF*NtoN2O*kgtoGg</f>
        <v>0.65636618143959191</v>
      </c>
      <c r="BD114" s="22">
        <f>'Activity data'!BD73*UDSOEF*NtoN2O*kgtoGg</f>
        <v>0.65636618143959191</v>
      </c>
      <c r="BE114" s="22">
        <f>'Activity data'!BE73*UDSOEF*NtoN2O*kgtoGg</f>
        <v>0.65636618143959191</v>
      </c>
      <c r="BF114" s="22">
        <f>'Activity data'!BF73*UDSOEF*NtoN2O*kgtoGg</f>
        <v>0.65636618143959191</v>
      </c>
      <c r="BG114" s="22">
        <f>'Activity data'!BG73*UDSOEF*NtoN2O*kgtoGg</f>
        <v>0.65636618143959191</v>
      </c>
      <c r="BH114" s="22">
        <f>'Activity data'!BH73*UDSOEF*NtoN2O*kgtoGg</f>
        <v>0.65636618143959191</v>
      </c>
      <c r="BI114" s="22">
        <f>'Activity data'!BI73*UDSOEF*NtoN2O*kgtoGg</f>
        <v>0.65636618143959191</v>
      </c>
      <c r="BJ114" s="22">
        <f>'Activity data'!BJ73*UDSOEF*NtoN2O*kgtoGg</f>
        <v>0.65636618143959191</v>
      </c>
      <c r="BK114" s="22">
        <f>'Activity data'!BK73*UDSOEF*NtoN2O*kgtoGg</f>
        <v>0.65636618143959191</v>
      </c>
      <c r="BL114" s="22">
        <f>'Activity data'!BL73*UDSOEF*NtoN2O*kgtoGg</f>
        <v>0.65636618143959191</v>
      </c>
      <c r="BM114" s="22">
        <f>'Activity data'!BM73*UDSOEF*NtoN2O*kgtoGg</f>
        <v>0.65636618143959191</v>
      </c>
      <c r="BN114" s="22">
        <f>'Activity data'!BN73*UDSOEF*NtoN2O*kgtoGg</f>
        <v>0.65636618143959191</v>
      </c>
      <c r="BO114" s="22">
        <f>'Activity data'!BO73*UDSOEF*NtoN2O*kgtoGg</f>
        <v>0.65636618143959191</v>
      </c>
      <c r="BP114" s="22">
        <f>'Activity data'!BP73*UDSOEF*NtoN2O*kgtoGg</f>
        <v>0.65636618143959191</v>
      </c>
    </row>
    <row r="115" spans="1:68" x14ac:dyDescent="0.25">
      <c r="A115" t="str">
        <f t="shared" si="29"/>
        <v>3C Aggregated and non-CO2 emissions on land</v>
      </c>
      <c r="B115" t="str">
        <f t="shared" si="31"/>
        <v>3C4 Direct N2O from managed soils (N2O)</v>
      </c>
      <c r="C115" t="s">
        <v>427</v>
      </c>
      <c r="D115" t="str">
        <f t="shared" si="38"/>
        <v xml:space="preserve"> - Commercial goats</v>
      </c>
      <c r="E115" t="str">
        <f t="shared" si="32"/>
        <v>U&amp;D emissions - Commercial goats</v>
      </c>
      <c r="F115" t="str">
        <f t="shared" si="36"/>
        <v>N2O</v>
      </c>
      <c r="G115" t="str">
        <f t="shared" si="37"/>
        <v>Gg N2O</v>
      </c>
      <c r="H115" s="22">
        <f>'Activity data'!H74*UDSOEF*NtoN2O*kgtoGg</f>
        <v>0.9618222082748461</v>
      </c>
      <c r="I115" s="22">
        <f>'Activity data'!I74*UDSOEF*NtoN2O*kgtoGg</f>
        <v>0.85052266650980479</v>
      </c>
      <c r="J115" s="22">
        <f>'Activity data'!J74*UDSOEF*NtoN2O*kgtoGg</f>
        <v>0.79227243904398814</v>
      </c>
      <c r="K115" s="22">
        <f>'Activity data'!K74*UDSOEF*NtoN2O*kgtoGg</f>
        <v>0.74858476844462585</v>
      </c>
      <c r="L115" s="22">
        <f>'Activity data'!L74*UDSOEF*NtoN2O*kgtoGg</f>
        <v>0.81030227135483579</v>
      </c>
      <c r="M115" s="22">
        <f>'Activity data'!M74*UDSOEF*NtoN2O*kgtoGg</f>
        <v>0.82139755277689641</v>
      </c>
      <c r="N115" s="22">
        <f>'Activity data'!N74*UDSOEF*NtoN2O*kgtoGg</f>
        <v>0.83422647192115318</v>
      </c>
      <c r="O115" s="22">
        <f>'Activity data'!O74*UDSOEF*NtoN2O*kgtoGg</f>
        <v>0.83006574138788081</v>
      </c>
      <c r="P115" s="22">
        <f>'Activity data'!P74*UDSOEF*NtoN2O*kgtoGg</f>
        <v>0.81827700487694188</v>
      </c>
      <c r="Q115" s="22">
        <f>'Activity data'!Q74*UDSOEF*NtoN2O*kgtoGg</f>
        <v>0.80614154082156364</v>
      </c>
      <c r="R115" s="22">
        <f>'Activity data'!R74*UDSOEF*NtoN2O*kgtoGg</f>
        <v>0.81654336715474485</v>
      </c>
      <c r="S115" s="22">
        <f>'Activity data'!S74*UDSOEF*NtoN2O*kgtoGg</f>
        <v>0.84150775035438052</v>
      </c>
      <c r="T115" s="22">
        <f>'Activity data'!T74*UDSOEF*NtoN2O*kgtoGg</f>
        <v>0.76834823847767098</v>
      </c>
      <c r="U115" s="22">
        <f>'Activity data'!U74*UDSOEF*NtoN2O*kgtoGg</f>
        <v>0.7489314959890655</v>
      </c>
      <c r="V115" s="22">
        <f>'Activity data'!V74*UDSOEF*NtoN2O*kgtoGg</f>
        <v>0.75031840616682322</v>
      </c>
      <c r="W115" s="22">
        <f>'Activity data'!W74*UDSOEF*NtoN2O*kgtoGg</f>
        <v>0.74061003492252009</v>
      </c>
      <c r="X115" s="22">
        <f>'Activity data'!X74*UDSOEF*NtoN2O*kgtoGg</f>
        <v>0.75621277442229229</v>
      </c>
      <c r="Y115" s="22">
        <f>'Activity data'!Y74*UDSOEF*NtoN2O*kgtoGg</f>
        <v>0.73367548403373262</v>
      </c>
      <c r="Z115" s="22">
        <f>'Activity data'!Z74*UDSOEF*NtoN2O*kgtoGg</f>
        <v>0.73298202894485398</v>
      </c>
      <c r="AA115" s="22">
        <f>'Activity data'!AA74*UDSOEF*NtoN2O*kgtoGg</f>
        <v>0.72015310980059655</v>
      </c>
      <c r="AB115" s="22">
        <f>'Activity data'!AB74*UDSOEF*NtoN2O*kgtoGg</f>
        <v>0.71148492118961226</v>
      </c>
      <c r="AC115" s="22">
        <f>'Activity data'!AC74*UDSOEF*NtoN2O*kgtoGg</f>
        <v>0.704897097845264</v>
      </c>
      <c r="AD115" s="22">
        <f>'Activity data'!AD74*UDSOEF*NtoN2O*kgtoGg</f>
        <v>0.71273463571668749</v>
      </c>
      <c r="AE115" s="22">
        <f>'Activity data'!AE74*UDSOEF*NtoN2O*kgtoGg</f>
        <v>0.7101650252006555</v>
      </c>
      <c r="AF115" s="22">
        <f>'Activity data'!AF74*UDSOEF*NtoN2O*kgtoGg</f>
        <v>0.70762468808647572</v>
      </c>
      <c r="AG115" s="22">
        <f>'Activity data'!AG74*UDSOEF*NtoN2O*kgtoGg</f>
        <v>0.7051172943008992</v>
      </c>
      <c r="AH115" s="22">
        <f>'Activity data'!AH74*UDSOEF*NtoN2O*kgtoGg</f>
        <v>0.70243972539753374</v>
      </c>
      <c r="AI115" s="22">
        <f>'Activity data'!AI74*UDSOEF*NtoN2O*kgtoGg</f>
        <v>0.69972376429939276</v>
      </c>
      <c r="AJ115" s="22">
        <f>'Activity data'!AJ74*UDSOEF*NtoN2O*kgtoGg</f>
        <v>0.69702337722057717</v>
      </c>
      <c r="AK115" s="22">
        <f>'Activity data'!AK74*UDSOEF*NtoN2O*kgtoGg</f>
        <v>0.69433761306146535</v>
      </c>
      <c r="AL115" s="22">
        <f>'Activity data'!AL74*UDSOEF*NtoN2O*kgtoGg</f>
        <v>0.69246526374090833</v>
      </c>
      <c r="AM115" s="22">
        <f>'Activity data'!AM74*UDSOEF*NtoN2O*kgtoGg</f>
        <v>0.68962284701616572</v>
      </c>
      <c r="AN115" s="22">
        <f>'Activity data'!AN74*UDSOEF*NtoN2O*kgtoGg</f>
        <v>0.6867886989031653</v>
      </c>
      <c r="AO115" s="22">
        <f>'Activity data'!AO74*UDSOEF*NtoN2O*kgtoGg</f>
        <v>0.68395269472399212</v>
      </c>
      <c r="AP115" s="22">
        <f>'Activity data'!AP74*UDSOEF*NtoN2O*kgtoGg</f>
        <v>0.68112380862494692</v>
      </c>
      <c r="AQ115" s="22">
        <f>'Activity data'!AQ74*UDSOEF*NtoN2O*kgtoGg</f>
        <v>0.67828666623737732</v>
      </c>
      <c r="AR115" s="22">
        <f>'Activity data'!AR74*UDSOEF*NtoN2O*kgtoGg</f>
        <v>0.67519197637653539</v>
      </c>
      <c r="AS115" s="22">
        <f>'Activity data'!AS74*UDSOEF*NtoN2O*kgtoGg</f>
        <v>0.67209947562472383</v>
      </c>
      <c r="AT115" s="22">
        <f>'Activity data'!AT74*UDSOEF*NtoN2O*kgtoGg</f>
        <v>0.66899579929436381</v>
      </c>
      <c r="AU115" s="22">
        <f>'Activity data'!AU74*UDSOEF*NtoN2O*kgtoGg</f>
        <v>0.66588382469879681</v>
      </c>
      <c r="AV115" s="22">
        <f>'Activity data'!AV74*UDSOEF*NtoN2O*kgtoGg</f>
        <v>0.66276279443410424</v>
      </c>
      <c r="AW115" s="22">
        <f>'Activity data'!AW74*UDSOEF*NtoN2O*kgtoGg</f>
        <v>0.66309038629999661</v>
      </c>
      <c r="AX115" s="22">
        <f>'Activity data'!AX74*UDSOEF*NtoN2O*kgtoGg</f>
        <v>0.66327010694112232</v>
      </c>
      <c r="AY115" s="22">
        <f>'Activity data'!AY74*UDSOEF*NtoN2O*kgtoGg</f>
        <v>0.66340133082828245</v>
      </c>
      <c r="AZ115" s="22">
        <f>'Activity data'!AZ74*UDSOEF*NtoN2O*kgtoGg</f>
        <v>0.66346178992345339</v>
      </c>
      <c r="BA115" s="22">
        <f>'Activity data'!BA74*UDSOEF*NtoN2O*kgtoGg</f>
        <v>0.66345267615505044</v>
      </c>
      <c r="BB115" s="22">
        <f>'Activity data'!BB74*UDSOEF*NtoN2O*kgtoGg</f>
        <v>0.66356040482039547</v>
      </c>
      <c r="BC115" s="22">
        <f>'Activity data'!BC74*UDSOEF*NtoN2O*kgtoGg</f>
        <v>0.66357699170369899</v>
      </c>
      <c r="BD115" s="22">
        <f>'Activity data'!BD74*UDSOEF*NtoN2O*kgtoGg</f>
        <v>0.66348073721799961</v>
      </c>
      <c r="BE115" s="22">
        <f>'Activity data'!BE74*UDSOEF*NtoN2O*kgtoGg</f>
        <v>0.6632921100592204</v>
      </c>
      <c r="BF115" s="22">
        <f>'Activity data'!BF74*UDSOEF*NtoN2O*kgtoGg</f>
        <v>0.66302838848328538</v>
      </c>
      <c r="BG115" s="22">
        <f>'Activity data'!BG74*UDSOEF*NtoN2O*kgtoGg</f>
        <v>0.66511817015476715</v>
      </c>
      <c r="BH115" s="22">
        <f>'Activity data'!BH74*UDSOEF*NtoN2O*kgtoGg</f>
        <v>0.6671390252993622</v>
      </c>
      <c r="BI115" s="22">
        <f>'Activity data'!BI74*UDSOEF*NtoN2O*kgtoGg</f>
        <v>0.66908789493753473</v>
      </c>
      <c r="BJ115" s="22">
        <f>'Activity data'!BJ74*UDSOEF*NtoN2O*kgtoGg</f>
        <v>0.67096927888549251</v>
      </c>
      <c r="BK115" s="22">
        <f>'Activity data'!BK74*UDSOEF*NtoN2O*kgtoGg</f>
        <v>0.67280319650957576</v>
      </c>
      <c r="BL115" s="22">
        <f>'Activity data'!BL74*UDSOEF*NtoN2O*kgtoGg</f>
        <v>0.67436941152148056</v>
      </c>
      <c r="BM115" s="22">
        <f>'Activity data'!BM74*UDSOEF*NtoN2O*kgtoGg</f>
        <v>0.67588034268690744</v>
      </c>
      <c r="BN115" s="22">
        <f>'Activity data'!BN74*UDSOEF*NtoN2O*kgtoGg</f>
        <v>0.67729580402929879</v>
      </c>
      <c r="BO115" s="22">
        <f>'Activity data'!BO74*UDSOEF*NtoN2O*kgtoGg</f>
        <v>0.67865877996511259</v>
      </c>
      <c r="BP115" s="22">
        <f>'Activity data'!BP74*UDSOEF*NtoN2O*kgtoGg</f>
        <v>0.67997256265986949</v>
      </c>
    </row>
    <row r="116" spans="1:68" x14ac:dyDescent="0.25">
      <c r="A116" t="str">
        <f t="shared" si="29"/>
        <v>3C Aggregated and non-CO2 emissions on land</v>
      </c>
      <c r="B116" t="str">
        <f t="shared" si="31"/>
        <v>3C4 Direct N2O from managed soils (N2O)</v>
      </c>
      <c r="C116" t="s">
        <v>427</v>
      </c>
      <c r="D116" t="str">
        <f t="shared" si="38"/>
        <v xml:space="preserve"> - Subsistence goats</v>
      </c>
      <c r="E116" t="str">
        <f t="shared" si="32"/>
        <v>U&amp;D emissions - Subsistence goats</v>
      </c>
      <c r="F116" t="str">
        <f t="shared" si="36"/>
        <v>N2O</v>
      </c>
      <c r="G116" t="str">
        <f t="shared" si="37"/>
        <v>Gg N2O</v>
      </c>
      <c r="H116" s="22">
        <f>'Activity data'!H75*UDSOEF*NtoN2O*kgtoGg</f>
        <v>1.619719745746157</v>
      </c>
      <c r="I116" s="22">
        <f>'Activity data'!I75*UDSOEF*NtoN2O*kgtoGg</f>
        <v>1.4322900275109314</v>
      </c>
      <c r="J116" s="22">
        <f>'Activity data'!J75*UDSOEF*NtoN2O*kgtoGg</f>
        <v>1.334195969369131</v>
      </c>
      <c r="K116" s="22">
        <f>'Activity data'!K75*UDSOEF*NtoN2O*kgtoGg</f>
        <v>1.2606254257627807</v>
      </c>
      <c r="L116" s="22">
        <f>'Activity data'!L75*UDSOEF*NtoN2O*kgtoGg</f>
        <v>1.3645584159368309</v>
      </c>
      <c r="M116" s="22">
        <f>'Activity data'!M75*UDSOEF*NtoN2O*kgtoGg</f>
        <v>1.3832429984400314</v>
      </c>
      <c r="N116" s="22">
        <f>'Activity data'!N75*UDSOEF*NtoN2O*kgtoGg</f>
        <v>1.4048470469593564</v>
      </c>
      <c r="O116" s="22">
        <f>'Activity data'!O75*UDSOEF*NtoN2O*kgtoGg</f>
        <v>1.3978403285206562</v>
      </c>
      <c r="P116" s="22">
        <f>'Activity data'!P75*UDSOEF*NtoN2O*kgtoGg</f>
        <v>1.3779879596110063</v>
      </c>
      <c r="Q116" s="22">
        <f>'Activity data'!Q75*UDSOEF*NtoN2O*kgtoGg</f>
        <v>1.3575516974981312</v>
      </c>
      <c r="R116" s="22">
        <f>'Activity data'!R75*UDSOEF*NtoN2O*kgtoGg</f>
        <v>1.3750684935948814</v>
      </c>
      <c r="S116" s="22">
        <f>'Activity data'!S75*UDSOEF*NtoN2O*kgtoGg</f>
        <v>1.4171088042270812</v>
      </c>
      <c r="T116" s="22">
        <f>'Activity data'!T75*UDSOEF*NtoN2O*kgtoGg</f>
        <v>1.2939073383466055</v>
      </c>
      <c r="U116" s="22">
        <f>'Activity data'!U75*UDSOEF*NtoN2O*kgtoGg</f>
        <v>1.2612093189660056</v>
      </c>
      <c r="V116" s="22">
        <f>'Activity data'!V75*UDSOEF*NtoN2O*kgtoGg</f>
        <v>1.2635448917789056</v>
      </c>
      <c r="W116" s="22">
        <f>'Activity data'!W75*UDSOEF*NtoN2O*kgtoGg</f>
        <v>1.2471958820886055</v>
      </c>
      <c r="X116" s="22">
        <f>'Activity data'!X75*UDSOEF*NtoN2O*kgtoGg</f>
        <v>1.2734710762337309</v>
      </c>
      <c r="Y116" s="22">
        <f>'Activity data'!Y75*UDSOEF*NtoN2O*kgtoGg</f>
        <v>1.2355180180241057</v>
      </c>
      <c r="Z116" s="22">
        <f>'Activity data'!Z75*UDSOEF*NtoN2O*kgtoGg</f>
        <v>1.2343502316176553</v>
      </c>
      <c r="AA116" s="22">
        <f>'Activity data'!AA75*UDSOEF*NtoN2O*kgtoGg</f>
        <v>1.2127461830983304</v>
      </c>
      <c r="AB116" s="22">
        <f>'Activity data'!AB75*UDSOEF*NtoN2O*kgtoGg</f>
        <v>1.1981488530177054</v>
      </c>
      <c r="AC116" s="22">
        <f>'Activity data'!AC75*UDSOEF*NtoN2O*kgtoGg</f>
        <v>1.1870548821564302</v>
      </c>
      <c r="AD116" s="22">
        <f>'Activity data'!AD75*UDSOEF*NtoN2O*kgtoGg</f>
        <v>1.2001143074233065</v>
      </c>
      <c r="AE116" s="22">
        <f>'Activity data'!AE75*UDSOEF*NtoN2O*kgtoGg</f>
        <v>1.1957875549543542</v>
      </c>
      <c r="AF116" s="22">
        <f>'Activity data'!AF75*UDSOEF*NtoN2O*kgtoGg</f>
        <v>1.1915100935211234</v>
      </c>
      <c r="AG116" s="22">
        <f>'Activity data'!AG75*UDSOEF*NtoN2O*kgtoGg</f>
        <v>1.1872881026066666</v>
      </c>
      <c r="AH116" s="22">
        <f>'Activity data'!AH75*UDSOEF*NtoN2O*kgtoGg</f>
        <v>1.1827795680287032</v>
      </c>
      <c r="AI116" s="22">
        <f>'Activity data'!AI75*UDSOEF*NtoN2O*kgtoGg</f>
        <v>1.1782063880414468</v>
      </c>
      <c r="AJ116" s="22">
        <f>'Activity data'!AJ75*UDSOEF*NtoN2O*kgtoGg</f>
        <v>1.1736594318441955</v>
      </c>
      <c r="AK116" s="22">
        <f>'Activity data'!AK75*UDSOEF*NtoN2O*kgtoGg</f>
        <v>1.1691370979597568</v>
      </c>
      <c r="AL116" s="22">
        <f>'Activity data'!AL75*UDSOEF*NtoN2O*kgtoGg</f>
        <v>1.165984405364938</v>
      </c>
      <c r="AM116" s="22">
        <f>'Activity data'!AM75*UDSOEF*NtoN2O*kgtoGg</f>
        <v>1.1611982973128256</v>
      </c>
      <c r="AN116" s="22">
        <f>'Activity data'!AN75*UDSOEF*NtoN2O*kgtoGg</f>
        <v>1.1564261120852222</v>
      </c>
      <c r="AO116" s="22">
        <f>'Activity data'!AO75*UDSOEF*NtoN2O*kgtoGg</f>
        <v>1.1516508015828564</v>
      </c>
      <c r="AP116" s="22">
        <f>'Activity data'!AP75*UDSOEF*NtoN2O*kgtoGg</f>
        <v>1.1468874766209354</v>
      </c>
      <c r="AQ116" s="22">
        <f>'Activity data'!AQ75*UDSOEF*NtoN2O*kgtoGg</f>
        <v>1.1421102495845421</v>
      </c>
      <c r="AR116" s="22">
        <f>'Activity data'!AR75*UDSOEF*NtoN2O*kgtoGg</f>
        <v>1.1368993598747978</v>
      </c>
      <c r="AS116" s="22">
        <f>'Activity data'!AS75*UDSOEF*NtoN2O*kgtoGg</f>
        <v>1.1316921562228608</v>
      </c>
      <c r="AT116" s="22">
        <f>'Activity data'!AT75*UDSOEF*NtoN2O*kgtoGg</f>
        <v>1.1264661349478726</v>
      </c>
      <c r="AU116" s="22">
        <f>'Activity data'!AU75*UDSOEF*NtoN2O*kgtoGg</f>
        <v>1.1212261409173843</v>
      </c>
      <c r="AV116" s="22">
        <f>'Activity data'!AV75*UDSOEF*NtoN2O*kgtoGg</f>
        <v>1.1212261409173843</v>
      </c>
      <c r="AW116" s="22">
        <f>'Activity data'!AW75*UDSOEF*NtoN2O*kgtoGg</f>
        <v>1.1212261409173843</v>
      </c>
      <c r="AX116" s="22">
        <f>'Activity data'!AX75*UDSOEF*NtoN2O*kgtoGg</f>
        <v>1.1212261409173843</v>
      </c>
      <c r="AY116" s="22">
        <f>'Activity data'!AY75*UDSOEF*NtoN2O*kgtoGg</f>
        <v>1.1212261409173843</v>
      </c>
      <c r="AZ116" s="22">
        <f>'Activity data'!AZ75*UDSOEF*NtoN2O*kgtoGg</f>
        <v>1.1212261409173843</v>
      </c>
      <c r="BA116" s="22">
        <f>'Activity data'!BA75*UDSOEF*NtoN2O*kgtoGg</f>
        <v>1.1212261409173843</v>
      </c>
      <c r="BB116" s="22">
        <f>'Activity data'!BB75*UDSOEF*NtoN2O*kgtoGg</f>
        <v>1.1212261409173843</v>
      </c>
      <c r="BC116" s="22">
        <f>'Activity data'!BC75*UDSOEF*NtoN2O*kgtoGg</f>
        <v>1.1212261409173843</v>
      </c>
      <c r="BD116" s="22">
        <f>'Activity data'!BD75*UDSOEF*NtoN2O*kgtoGg</f>
        <v>1.1212261409173843</v>
      </c>
      <c r="BE116" s="22">
        <f>'Activity data'!BE75*UDSOEF*NtoN2O*kgtoGg</f>
        <v>1.1212261409173843</v>
      </c>
      <c r="BF116" s="22">
        <f>'Activity data'!BF75*UDSOEF*NtoN2O*kgtoGg</f>
        <v>1.1212261409173843</v>
      </c>
      <c r="BG116" s="22">
        <f>'Activity data'!BG75*UDSOEF*NtoN2O*kgtoGg</f>
        <v>1.1212261409173843</v>
      </c>
      <c r="BH116" s="22">
        <f>'Activity data'!BH75*UDSOEF*NtoN2O*kgtoGg</f>
        <v>1.1212261409173843</v>
      </c>
      <c r="BI116" s="22">
        <f>'Activity data'!BI75*UDSOEF*NtoN2O*kgtoGg</f>
        <v>1.1212261409173843</v>
      </c>
      <c r="BJ116" s="22">
        <f>'Activity data'!BJ75*UDSOEF*NtoN2O*kgtoGg</f>
        <v>1.1212261409173843</v>
      </c>
      <c r="BK116" s="22">
        <f>'Activity data'!BK75*UDSOEF*NtoN2O*kgtoGg</f>
        <v>1.1212261409173843</v>
      </c>
      <c r="BL116" s="22">
        <f>'Activity data'!BL75*UDSOEF*NtoN2O*kgtoGg</f>
        <v>1.1212261409173843</v>
      </c>
      <c r="BM116" s="22">
        <f>'Activity data'!BM75*UDSOEF*NtoN2O*kgtoGg</f>
        <v>1.1212261409173843</v>
      </c>
      <c r="BN116" s="22">
        <f>'Activity data'!BN75*UDSOEF*NtoN2O*kgtoGg</f>
        <v>1.1212261409173843</v>
      </c>
      <c r="BO116" s="22">
        <f>'Activity data'!BO75*UDSOEF*NtoN2O*kgtoGg</f>
        <v>1.1212261409173843</v>
      </c>
      <c r="BP116" s="22">
        <f>'Activity data'!BP75*UDSOEF*NtoN2O*kgtoGg</f>
        <v>1.1212261409173843</v>
      </c>
    </row>
    <row r="117" spans="1:68" x14ac:dyDescent="0.25">
      <c r="A117" t="str">
        <f t="shared" si="29"/>
        <v>3C Aggregated and non-CO2 emissions on land</v>
      </c>
      <c r="B117" t="str">
        <f t="shared" si="31"/>
        <v>3C4 Direct N2O from managed soils (N2O)</v>
      </c>
      <c r="C117" t="s">
        <v>427</v>
      </c>
      <c r="D117" t="str">
        <f t="shared" si="38"/>
        <v xml:space="preserve"> - Horses</v>
      </c>
      <c r="E117" t="str">
        <f t="shared" si="32"/>
        <v>U&amp;D emissions - Horses</v>
      </c>
      <c r="F117" t="str">
        <f t="shared" si="36"/>
        <v>N2O</v>
      </c>
      <c r="G117" t="str">
        <f t="shared" si="37"/>
        <v>Gg N2O</v>
      </c>
      <c r="H117" s="22">
        <f>'Activity data'!H76*UDSOEF*NtoN2O*kgtoGg</f>
        <v>0.1427642857142857</v>
      </c>
      <c r="I117" s="22">
        <f>'Activity data'!I76*UDSOEF*NtoN2O*kgtoGg</f>
        <v>0.1427642857142857</v>
      </c>
      <c r="J117" s="22">
        <f>'Activity data'!J76*UDSOEF*NtoN2O*kgtoGg</f>
        <v>0.1427642857142857</v>
      </c>
      <c r="K117" s="22">
        <f>'Activity data'!K76*UDSOEF*NtoN2O*kgtoGg</f>
        <v>0.14586785714285713</v>
      </c>
      <c r="L117" s="22">
        <f>'Activity data'!L76*UDSOEF*NtoN2O*kgtoGg</f>
        <v>0.14897142857142856</v>
      </c>
      <c r="M117" s="22">
        <f>'Activity data'!M76*UDSOEF*NtoN2O*kgtoGg</f>
        <v>0.15207499999999999</v>
      </c>
      <c r="N117" s="22">
        <f>'Activity data'!N76*UDSOEF*NtoN2O*kgtoGg</f>
        <v>0.15517857142857142</v>
      </c>
      <c r="O117" s="22">
        <f>'Activity data'!O76*UDSOEF*NtoN2O*kgtoGg</f>
        <v>0.15828214285714284</v>
      </c>
      <c r="P117" s="22">
        <f>'Activity data'!P76*UDSOEF*NtoN2O*kgtoGg</f>
        <v>0.16138571428571427</v>
      </c>
      <c r="Q117" s="22">
        <f>'Activity data'!Q76*UDSOEF*NtoN2O*kgtoGg</f>
        <v>0.16014428571428571</v>
      </c>
      <c r="R117" s="22">
        <f>'Activity data'!R76*UDSOEF*NtoN2O*kgtoGg</f>
        <v>0.16759285714285713</v>
      </c>
      <c r="S117" s="22">
        <f>'Activity data'!S76*UDSOEF*NtoN2O*kgtoGg</f>
        <v>0.16759285714285713</v>
      </c>
      <c r="T117" s="22">
        <f>'Activity data'!T76*UDSOEF*NtoN2O*kgtoGg</f>
        <v>0.16759285714285713</v>
      </c>
      <c r="U117" s="22">
        <f>'Activity data'!U76*UDSOEF*NtoN2O*kgtoGg</f>
        <v>0.16759285714285713</v>
      </c>
      <c r="V117" s="22">
        <f>'Activity data'!V76*UDSOEF*NtoN2O*kgtoGg</f>
        <v>0.16759285714285713</v>
      </c>
      <c r="W117" s="22">
        <f>'Activity data'!W76*UDSOEF*NtoN2O*kgtoGg</f>
        <v>0.16759285714285713</v>
      </c>
      <c r="X117" s="22">
        <f>'Activity data'!X76*UDSOEF*NtoN2O*kgtoGg</f>
        <v>0.17379999999999998</v>
      </c>
      <c r="Y117" s="22">
        <f>'Activity data'!Y76*UDSOEF*NtoN2O*kgtoGg</f>
        <v>0.18000714285714284</v>
      </c>
      <c r="Z117" s="22">
        <f>'Activity data'!Z76*UDSOEF*NtoN2O*kgtoGg</f>
        <v>0.18497285714285713</v>
      </c>
      <c r="AA117" s="22">
        <f>'Activity data'!AA76*UDSOEF*NtoN2O*kgtoGg</f>
        <v>0.18621428571428569</v>
      </c>
      <c r="AB117" s="22">
        <f>'Activity data'!AB76*UDSOEF*NtoN2O*kgtoGg</f>
        <v>0.18621428571428569</v>
      </c>
      <c r="AC117" s="22">
        <f>'Activity data'!AC76*UDSOEF*NtoN2O*kgtoGg</f>
        <v>0.18931785714285712</v>
      </c>
      <c r="AD117" s="22">
        <f>'Activity data'!AD76*UDSOEF*NtoN2O*kgtoGg</f>
        <v>0.19005724462497006</v>
      </c>
      <c r="AE117" s="22">
        <f>'Activity data'!AE76*UDSOEF*NtoN2O*kgtoGg</f>
        <v>0.19208363622463193</v>
      </c>
      <c r="AF117" s="22">
        <f>'Activity data'!AF76*UDSOEF*NtoN2O*kgtoGg</f>
        <v>0.19335569073856801</v>
      </c>
      <c r="AG117" s="22">
        <f>'Activity data'!AG76*UDSOEF*NtoN2O*kgtoGg</f>
        <v>0.19383962153671794</v>
      </c>
      <c r="AH117" s="22">
        <f>'Activity data'!AH76*UDSOEF*NtoN2O*kgtoGg</f>
        <v>0.19359931549282525</v>
      </c>
      <c r="AI117" s="22">
        <f>'Activity data'!AI76*UDSOEF*NtoN2O*kgtoGg</f>
        <v>0.193885730233024</v>
      </c>
      <c r="AJ117" s="22">
        <f>'Activity data'!AJ76*UDSOEF*NtoN2O*kgtoGg</f>
        <v>0.19395691303869547</v>
      </c>
      <c r="AK117" s="22">
        <f>'Activity data'!AK76*UDSOEF*NtoN2O*kgtoGg</f>
        <v>0.19383164818478071</v>
      </c>
      <c r="AL117" s="22">
        <f>'Activity data'!AL76*UDSOEF*NtoN2O*kgtoGg</f>
        <v>0.18295734624973706</v>
      </c>
      <c r="AM117" s="22">
        <f>'Activity data'!AM76*UDSOEF*NtoN2O*kgtoGg</f>
        <v>0.18450860729062685</v>
      </c>
      <c r="AN117" s="22">
        <f>'Activity data'!AN76*UDSOEF*NtoN2O*kgtoGg</f>
        <v>0.18592375393671523</v>
      </c>
      <c r="AO117" s="22">
        <f>'Activity data'!AO76*UDSOEF*NtoN2O*kgtoGg</f>
        <v>0.18733667265730547</v>
      </c>
      <c r="AP117" s="22">
        <f>'Activity data'!AP76*UDSOEF*NtoN2O*kgtoGg</f>
        <v>0.18863314043304705</v>
      </c>
      <c r="AQ117" s="22">
        <f>'Activity data'!AQ76*UDSOEF*NtoN2O*kgtoGg</f>
        <v>0.19001033583840751</v>
      </c>
      <c r="AR117" s="22">
        <f>'Activity data'!AR76*UDSOEF*NtoN2O*kgtoGg</f>
        <v>0.19173634407949794</v>
      </c>
      <c r="AS117" s="22">
        <f>'Activity data'!AS76*UDSOEF*NtoN2O*kgtoGg</f>
        <v>0.19340206765376577</v>
      </c>
      <c r="AT117" s="22">
        <f>'Activity data'!AT76*UDSOEF*NtoN2O*kgtoGg</f>
        <v>0.19517306712841037</v>
      </c>
      <c r="AU117" s="22">
        <f>'Activity data'!AU76*UDSOEF*NtoN2O*kgtoGg</f>
        <v>0.19701142283027392</v>
      </c>
      <c r="AV117" s="22">
        <f>'Activity data'!AV76*UDSOEF*NtoN2O*kgtoGg</f>
        <v>0.19892435789392884</v>
      </c>
      <c r="AW117" s="22">
        <f>'Activity data'!AW76*UDSOEF*NtoN2O*kgtoGg</f>
        <v>0.20148022376553243</v>
      </c>
      <c r="AX117" s="22">
        <f>'Activity data'!AX76*UDSOEF*NtoN2O*kgtoGg</f>
        <v>0.20381483832540451</v>
      </c>
      <c r="AY117" s="22">
        <f>'Activity data'!AY76*UDSOEF*NtoN2O*kgtoGg</f>
        <v>0.20650171367968645</v>
      </c>
      <c r="AZ117" s="22">
        <f>'Activity data'!AZ76*UDSOEF*NtoN2O*kgtoGg</f>
        <v>0.20941432325800674</v>
      </c>
      <c r="BA117" s="22">
        <f>'Activity data'!BA76*UDSOEF*NtoN2O*kgtoGg</f>
        <v>0.2125614418865017</v>
      </c>
      <c r="BB117" s="22">
        <f>'Activity data'!BB76*UDSOEF*NtoN2O*kgtoGg</f>
        <v>0.21573192623090343</v>
      </c>
      <c r="BC117" s="22">
        <f>'Activity data'!BC76*UDSOEF*NtoN2O*kgtoGg</f>
        <v>0.21903894502097843</v>
      </c>
      <c r="BD117" s="22">
        <f>'Activity data'!BD76*UDSOEF*NtoN2O*kgtoGg</f>
        <v>0.2223590148738476</v>
      </c>
      <c r="BE117" s="22">
        <f>'Activity data'!BE76*UDSOEF*NtoN2O*kgtoGg</f>
        <v>0.22581244346039173</v>
      </c>
      <c r="BF117" s="22">
        <f>'Activity data'!BF76*UDSOEF*NtoN2O*kgtoGg</f>
        <v>0.22950170342507009</v>
      </c>
      <c r="BG117" s="22">
        <f>'Activity data'!BG76*UDSOEF*NtoN2O*kgtoGg</f>
        <v>0.23312850700601526</v>
      </c>
      <c r="BH117" s="22">
        <f>'Activity data'!BH76*UDSOEF*NtoN2O*kgtoGg</f>
        <v>0.2369077730987765</v>
      </c>
      <c r="BI117" s="22">
        <f>'Activity data'!BI76*UDSOEF*NtoN2O*kgtoGg</f>
        <v>0.2408225958430692</v>
      </c>
      <c r="BJ117" s="22">
        <f>'Activity data'!BJ76*UDSOEF*NtoN2O*kgtoGg</f>
        <v>0.24489981765033325</v>
      </c>
      <c r="BK117" s="22">
        <f>'Activity data'!BK76*UDSOEF*NtoN2O*kgtoGg</f>
        <v>0.24925538600915334</v>
      </c>
      <c r="BL117" s="22">
        <f>'Activity data'!BL76*UDSOEF*NtoN2O*kgtoGg</f>
        <v>0.25389161468734622</v>
      </c>
      <c r="BM117" s="22">
        <f>'Activity data'!BM76*UDSOEF*NtoN2O*kgtoGg</f>
        <v>0.25874600935846481</v>
      </c>
      <c r="BN117" s="22">
        <f>'Activity data'!BN76*UDSOEF*NtoN2O*kgtoGg</f>
        <v>0.26358979059056065</v>
      </c>
      <c r="BO117" s="22">
        <f>'Activity data'!BO76*UDSOEF*NtoN2O*kgtoGg</f>
        <v>0.26867107011391467</v>
      </c>
      <c r="BP117" s="22">
        <f>'Activity data'!BP76*UDSOEF*NtoN2O*kgtoGg</f>
        <v>0.27401032355968125</v>
      </c>
    </row>
    <row r="118" spans="1:68" x14ac:dyDescent="0.25">
      <c r="A118" t="str">
        <f t="shared" si="29"/>
        <v>3C Aggregated and non-CO2 emissions on land</v>
      </c>
      <c r="B118" t="str">
        <f t="shared" si="31"/>
        <v>3C4 Direct N2O from managed soils (N2O)</v>
      </c>
      <c r="C118" t="s">
        <v>427</v>
      </c>
      <c r="D118" t="str">
        <f t="shared" si="38"/>
        <v xml:space="preserve"> - Mules &amp; Asses</v>
      </c>
      <c r="E118" t="str">
        <f t="shared" si="32"/>
        <v>U&amp;D emissions - Mules &amp; Asses</v>
      </c>
      <c r="F118" t="str">
        <f t="shared" si="36"/>
        <v>N2O</v>
      </c>
      <c r="G118" t="str">
        <f t="shared" si="37"/>
        <v>Gg N2O</v>
      </c>
      <c r="H118" s="22">
        <f>'Activity data'!H77*UDSOEF*NtoN2O*kgtoGg</f>
        <v>4.6463999999999998E-2</v>
      </c>
      <c r="I118" s="22">
        <f>'Activity data'!I77*UDSOEF*NtoN2O*kgtoGg</f>
        <v>4.6463999999999998E-2</v>
      </c>
      <c r="J118" s="22">
        <f>'Activity data'!J77*UDSOEF*NtoN2O*kgtoGg</f>
        <v>4.6463999999999998E-2</v>
      </c>
      <c r="K118" s="22">
        <f>'Activity data'!K77*UDSOEF*NtoN2O*kgtoGg</f>
        <v>4.6463999999999998E-2</v>
      </c>
      <c r="L118" s="22">
        <f>'Activity data'!L77*UDSOEF*NtoN2O*kgtoGg</f>
        <v>4.6463999999999998E-2</v>
      </c>
      <c r="M118" s="22">
        <f>'Activity data'!M77*UDSOEF*NtoN2O*kgtoGg</f>
        <v>4.6463999999999998E-2</v>
      </c>
      <c r="N118" s="22">
        <f>'Activity data'!N77*UDSOEF*NtoN2O*kgtoGg</f>
        <v>4.6463999999999998E-2</v>
      </c>
      <c r="O118" s="22">
        <f>'Activity data'!O77*UDSOEF*NtoN2O*kgtoGg</f>
        <v>4.6463999999999998E-2</v>
      </c>
      <c r="P118" s="22">
        <f>'Activity data'!P77*UDSOEF*NtoN2O*kgtoGg</f>
        <v>4.6463999999999998E-2</v>
      </c>
      <c r="Q118" s="22">
        <f>'Activity data'!Q77*UDSOEF*NtoN2O*kgtoGg</f>
        <v>4.6463999999999998E-2</v>
      </c>
      <c r="R118" s="22">
        <f>'Activity data'!R77*UDSOEF*NtoN2O*kgtoGg</f>
        <v>3.4018285714285709E-2</v>
      </c>
      <c r="S118" s="22">
        <f>'Activity data'!S77*UDSOEF*NtoN2O*kgtoGg</f>
        <v>3.4018285714285709E-2</v>
      </c>
      <c r="T118" s="22">
        <f>'Activity data'!T77*UDSOEF*NtoN2O*kgtoGg</f>
        <v>3.4018285714285709E-2</v>
      </c>
      <c r="U118" s="22">
        <f>'Activity data'!U77*UDSOEF*NtoN2O*kgtoGg</f>
        <v>3.4018285714285709E-2</v>
      </c>
      <c r="V118" s="22">
        <f>'Activity data'!V77*UDSOEF*NtoN2O*kgtoGg</f>
        <v>3.4018285714285709E-2</v>
      </c>
      <c r="W118" s="22">
        <f>'Activity data'!W77*UDSOEF*NtoN2O*kgtoGg</f>
        <v>3.4018285714285709E-2</v>
      </c>
      <c r="X118" s="22">
        <f>'Activity data'!X77*UDSOEF*NtoN2O*kgtoGg</f>
        <v>3.4028657142857147E-2</v>
      </c>
      <c r="Y118" s="22">
        <f>'Activity data'!Y77*UDSOEF*NtoN2O*kgtoGg</f>
        <v>3.414274285714286E-2</v>
      </c>
      <c r="Z118" s="22">
        <f>'Activity data'!Z77*UDSOEF*NtoN2O*kgtoGg</f>
        <v>3.4163485714285714E-2</v>
      </c>
      <c r="AA118" s="22">
        <f>'Activity data'!AA77*UDSOEF*NtoN2O*kgtoGg</f>
        <v>3.4184228571428575E-2</v>
      </c>
      <c r="AB118" s="22">
        <f>'Activity data'!AB77*UDSOEF*NtoN2O*kgtoGg</f>
        <v>3.4495371428571432E-2</v>
      </c>
      <c r="AC118" s="22">
        <f>'Activity data'!AC77*UDSOEF*NtoN2O*kgtoGg</f>
        <v>3.4640571428571423E-2</v>
      </c>
      <c r="AD118" s="22">
        <f>'Activity data'!AD77*UDSOEF*NtoN2O*kgtoGg</f>
        <v>3.4640571428571423E-2</v>
      </c>
      <c r="AE118" s="22">
        <f>'Activity data'!AE77*UDSOEF*NtoN2O*kgtoGg</f>
        <v>3.4640571428571423E-2</v>
      </c>
      <c r="AF118" s="22">
        <f>'Activity data'!AF77*UDSOEF*NtoN2O*kgtoGg</f>
        <v>3.4640571428571423E-2</v>
      </c>
      <c r="AG118" s="22">
        <f>'Activity data'!AG77*UDSOEF*NtoN2O*kgtoGg</f>
        <v>3.4640571428571423E-2</v>
      </c>
      <c r="AH118" s="22">
        <f>'Activity data'!AH77*UDSOEF*NtoN2O*kgtoGg</f>
        <v>3.4640571428571423E-2</v>
      </c>
      <c r="AI118" s="22">
        <f>'Activity data'!AI77*UDSOEF*NtoN2O*kgtoGg</f>
        <v>3.4640571428571423E-2</v>
      </c>
      <c r="AJ118" s="22">
        <f>'Activity data'!AJ77*UDSOEF*NtoN2O*kgtoGg</f>
        <v>3.4640571428571423E-2</v>
      </c>
      <c r="AK118" s="22">
        <f>'Activity data'!AK77*UDSOEF*NtoN2O*kgtoGg</f>
        <v>3.4640571428571423E-2</v>
      </c>
      <c r="AL118" s="22">
        <f>'Activity data'!AL77*UDSOEF*NtoN2O*kgtoGg</f>
        <v>3.4640571428571423E-2</v>
      </c>
      <c r="AM118" s="22">
        <f>'Activity data'!AM77*UDSOEF*NtoN2O*kgtoGg</f>
        <v>3.4640571428571423E-2</v>
      </c>
      <c r="AN118" s="22">
        <f>'Activity data'!AN77*UDSOEF*NtoN2O*kgtoGg</f>
        <v>3.4640571428571423E-2</v>
      </c>
      <c r="AO118" s="22">
        <f>'Activity data'!AO77*UDSOEF*NtoN2O*kgtoGg</f>
        <v>3.4640571428571423E-2</v>
      </c>
      <c r="AP118" s="22">
        <f>'Activity data'!AP77*UDSOEF*NtoN2O*kgtoGg</f>
        <v>3.4640571428571423E-2</v>
      </c>
      <c r="AQ118" s="22">
        <f>'Activity data'!AQ77*UDSOEF*NtoN2O*kgtoGg</f>
        <v>3.4640571428571423E-2</v>
      </c>
      <c r="AR118" s="22">
        <f>'Activity data'!AR77*UDSOEF*NtoN2O*kgtoGg</f>
        <v>3.4640571428571423E-2</v>
      </c>
      <c r="AS118" s="22">
        <f>'Activity data'!AS77*UDSOEF*NtoN2O*kgtoGg</f>
        <v>3.4640571428571423E-2</v>
      </c>
      <c r="AT118" s="22">
        <f>'Activity data'!AT77*UDSOEF*NtoN2O*kgtoGg</f>
        <v>3.4640571428571423E-2</v>
      </c>
      <c r="AU118" s="22">
        <f>'Activity data'!AU77*UDSOEF*NtoN2O*kgtoGg</f>
        <v>3.4640571428571423E-2</v>
      </c>
      <c r="AV118" s="22">
        <f>'Activity data'!AV77*UDSOEF*NtoN2O*kgtoGg</f>
        <v>3.4640571428571423E-2</v>
      </c>
      <c r="AW118" s="22">
        <f>'Activity data'!AW77*UDSOEF*NtoN2O*kgtoGg</f>
        <v>3.4640571428571423E-2</v>
      </c>
      <c r="AX118" s="22">
        <f>'Activity data'!AX77*UDSOEF*NtoN2O*kgtoGg</f>
        <v>3.4640571428571423E-2</v>
      </c>
      <c r="AY118" s="22">
        <f>'Activity data'!AY77*UDSOEF*NtoN2O*kgtoGg</f>
        <v>3.4640571428571423E-2</v>
      </c>
      <c r="AZ118" s="22">
        <f>'Activity data'!AZ77*UDSOEF*NtoN2O*kgtoGg</f>
        <v>3.4640571428571423E-2</v>
      </c>
      <c r="BA118" s="22">
        <f>'Activity data'!BA77*UDSOEF*NtoN2O*kgtoGg</f>
        <v>3.4640571428571423E-2</v>
      </c>
      <c r="BB118" s="22">
        <f>'Activity data'!BB77*UDSOEF*NtoN2O*kgtoGg</f>
        <v>3.4640571428571423E-2</v>
      </c>
      <c r="BC118" s="22">
        <f>'Activity data'!BC77*UDSOEF*NtoN2O*kgtoGg</f>
        <v>3.4640571428571423E-2</v>
      </c>
      <c r="BD118" s="22">
        <f>'Activity data'!BD77*UDSOEF*NtoN2O*kgtoGg</f>
        <v>3.4640571428571423E-2</v>
      </c>
      <c r="BE118" s="22">
        <f>'Activity data'!BE77*UDSOEF*NtoN2O*kgtoGg</f>
        <v>3.4640571428571423E-2</v>
      </c>
      <c r="BF118" s="22">
        <f>'Activity data'!BF77*UDSOEF*NtoN2O*kgtoGg</f>
        <v>3.4640571428571423E-2</v>
      </c>
      <c r="BG118" s="22">
        <f>'Activity data'!BG77*UDSOEF*NtoN2O*kgtoGg</f>
        <v>3.4640571428571423E-2</v>
      </c>
      <c r="BH118" s="22">
        <f>'Activity data'!BH77*UDSOEF*NtoN2O*kgtoGg</f>
        <v>3.4640571428571423E-2</v>
      </c>
      <c r="BI118" s="22">
        <f>'Activity data'!BI77*UDSOEF*NtoN2O*kgtoGg</f>
        <v>3.4640571428571423E-2</v>
      </c>
      <c r="BJ118" s="22">
        <f>'Activity data'!BJ77*UDSOEF*NtoN2O*kgtoGg</f>
        <v>3.4640571428571423E-2</v>
      </c>
      <c r="BK118" s="22">
        <f>'Activity data'!BK77*UDSOEF*NtoN2O*kgtoGg</f>
        <v>3.4640571428571423E-2</v>
      </c>
      <c r="BL118" s="22">
        <f>'Activity data'!BL77*UDSOEF*NtoN2O*kgtoGg</f>
        <v>3.4640571428571423E-2</v>
      </c>
      <c r="BM118" s="22">
        <f>'Activity data'!BM77*UDSOEF*NtoN2O*kgtoGg</f>
        <v>3.4640571428571423E-2</v>
      </c>
      <c r="BN118" s="22">
        <f>'Activity data'!BN77*UDSOEF*NtoN2O*kgtoGg</f>
        <v>3.4640571428571423E-2</v>
      </c>
      <c r="BO118" s="22">
        <f>'Activity data'!BO77*UDSOEF*NtoN2O*kgtoGg</f>
        <v>3.4640571428571423E-2</v>
      </c>
      <c r="BP118" s="22">
        <f>'Activity data'!BP77*UDSOEF*NtoN2O*kgtoGg</f>
        <v>3.4640571428571423E-2</v>
      </c>
    </row>
    <row r="119" spans="1:68" x14ac:dyDescent="0.25">
      <c r="A119" t="str">
        <f t="shared" si="29"/>
        <v>3C Aggregated and non-CO2 emissions on land</v>
      </c>
      <c r="B119" t="str">
        <f t="shared" si="31"/>
        <v>3C4 Direct N2O from managed soils (N2O)</v>
      </c>
      <c r="C119" t="s">
        <v>427</v>
      </c>
      <c r="D119" t="str">
        <f t="shared" si="38"/>
        <v xml:space="preserve"> - Commercial swine</v>
      </c>
      <c r="E119" t="str">
        <f t="shared" si="32"/>
        <v>U&amp;D emissions - Commercial swine</v>
      </c>
      <c r="F119" t="str">
        <f t="shared" si="36"/>
        <v>N2O</v>
      </c>
      <c r="G119" t="str">
        <f t="shared" si="37"/>
        <v>Gg N2O</v>
      </c>
      <c r="H119" s="22">
        <f>'Activity data'!H78*UDCPPEF*NtoN2O*kgtoGg</f>
        <v>0</v>
      </c>
      <c r="I119" s="22">
        <f>'Activity data'!I78*UDCPPEF*NtoN2O*kgtoGg</f>
        <v>0</v>
      </c>
      <c r="J119" s="22">
        <f>'Activity data'!J78*UDCPPEF*NtoN2O*kgtoGg</f>
        <v>0</v>
      </c>
      <c r="K119" s="22">
        <f>'Activity data'!K78*UDCPPEF*NtoN2O*kgtoGg</f>
        <v>0</v>
      </c>
      <c r="L119" s="22">
        <f>'Activity data'!L78*UDCPPEF*NtoN2O*kgtoGg</f>
        <v>0</v>
      </c>
      <c r="M119" s="22">
        <f>'Activity data'!M78*UDCPPEF*NtoN2O*kgtoGg</f>
        <v>0</v>
      </c>
      <c r="N119" s="22">
        <f>'Activity data'!N78*UDCPPEF*NtoN2O*kgtoGg</f>
        <v>0</v>
      </c>
      <c r="O119" s="22">
        <f>'Activity data'!O78*UDCPPEF*NtoN2O*kgtoGg</f>
        <v>0</v>
      </c>
      <c r="P119" s="22">
        <f>'Activity data'!P78*UDCPPEF*NtoN2O*kgtoGg</f>
        <v>0</v>
      </c>
      <c r="Q119" s="22">
        <f>'Activity data'!Q78*UDCPPEF*NtoN2O*kgtoGg</f>
        <v>0</v>
      </c>
      <c r="R119" s="22">
        <f>'Activity data'!R78*UDCPPEF*NtoN2O*kgtoGg</f>
        <v>0</v>
      </c>
      <c r="S119" s="22">
        <f>'Activity data'!S78*UDCPPEF*NtoN2O*kgtoGg</f>
        <v>0</v>
      </c>
      <c r="T119" s="22">
        <f>'Activity data'!T78*UDCPPEF*NtoN2O*kgtoGg</f>
        <v>0</v>
      </c>
      <c r="U119" s="22">
        <f>'Activity data'!U78*UDCPPEF*NtoN2O*kgtoGg</f>
        <v>0</v>
      </c>
      <c r="V119" s="22">
        <f>'Activity data'!V78*UDCPPEF*NtoN2O*kgtoGg</f>
        <v>0</v>
      </c>
      <c r="W119" s="22">
        <f>'Activity data'!W78*UDCPPEF*NtoN2O*kgtoGg</f>
        <v>0</v>
      </c>
      <c r="X119" s="22">
        <f>'Activity data'!X78*UDCPPEF*NtoN2O*kgtoGg</f>
        <v>0</v>
      </c>
      <c r="Y119" s="22">
        <f>'Activity data'!Y78*UDCPPEF*NtoN2O*kgtoGg</f>
        <v>0</v>
      </c>
      <c r="Z119" s="22">
        <f>'Activity data'!Z78*UDCPPEF*NtoN2O*kgtoGg</f>
        <v>0</v>
      </c>
      <c r="AA119" s="22">
        <f>'Activity data'!AA78*UDCPPEF*NtoN2O*kgtoGg</f>
        <v>0</v>
      </c>
      <c r="AB119" s="22">
        <f>'Activity data'!AB78*UDCPPEF*NtoN2O*kgtoGg</f>
        <v>0</v>
      </c>
      <c r="AC119" s="22">
        <f>'Activity data'!AC78*UDCPPEF*NtoN2O*kgtoGg</f>
        <v>0</v>
      </c>
      <c r="AD119" s="22">
        <f>'Activity data'!AD78*UDCPPEF*NtoN2O*kgtoGg</f>
        <v>0</v>
      </c>
      <c r="AE119" s="22">
        <f>'Activity data'!AE78*UDCPPEF*NtoN2O*kgtoGg</f>
        <v>0</v>
      </c>
      <c r="AF119" s="22">
        <f>'Activity data'!AF78*UDCPPEF*NtoN2O*kgtoGg</f>
        <v>0</v>
      </c>
      <c r="AG119" s="22">
        <f>'Activity data'!AG78*UDCPPEF*NtoN2O*kgtoGg</f>
        <v>0</v>
      </c>
      <c r="AH119" s="22">
        <f>'Activity data'!AH78*UDCPPEF*NtoN2O*kgtoGg</f>
        <v>0</v>
      </c>
      <c r="AI119" s="22">
        <f>'Activity data'!AI78*UDCPPEF*NtoN2O*kgtoGg</f>
        <v>0</v>
      </c>
      <c r="AJ119" s="22">
        <f>'Activity data'!AJ78*UDCPPEF*NtoN2O*kgtoGg</f>
        <v>0</v>
      </c>
      <c r="AK119" s="22">
        <f>'Activity data'!AK78*UDCPPEF*NtoN2O*kgtoGg</f>
        <v>0</v>
      </c>
      <c r="AL119" s="22">
        <f>'Activity data'!AL78*UDCPPEF*NtoN2O*kgtoGg</f>
        <v>0</v>
      </c>
      <c r="AM119" s="22">
        <f>'Activity data'!AM78*UDCPPEF*NtoN2O*kgtoGg</f>
        <v>0</v>
      </c>
      <c r="AN119" s="22">
        <f>'Activity data'!AN78*UDCPPEF*NtoN2O*kgtoGg</f>
        <v>0</v>
      </c>
      <c r="AO119" s="22">
        <f>'Activity data'!AO78*UDCPPEF*NtoN2O*kgtoGg</f>
        <v>0</v>
      </c>
      <c r="AP119" s="22">
        <f>'Activity data'!AP78*UDCPPEF*NtoN2O*kgtoGg</f>
        <v>0</v>
      </c>
      <c r="AQ119" s="22">
        <f>'Activity data'!AQ78*UDCPPEF*NtoN2O*kgtoGg</f>
        <v>0</v>
      </c>
      <c r="AR119" s="22">
        <f>'Activity data'!AR78*UDCPPEF*NtoN2O*kgtoGg</f>
        <v>0</v>
      </c>
      <c r="AS119" s="22">
        <f>'Activity data'!AS78*UDCPPEF*NtoN2O*kgtoGg</f>
        <v>0</v>
      </c>
      <c r="AT119" s="22">
        <f>'Activity data'!AT78*UDCPPEF*NtoN2O*kgtoGg</f>
        <v>0</v>
      </c>
      <c r="AU119" s="22">
        <f>'Activity data'!AU78*UDCPPEF*NtoN2O*kgtoGg</f>
        <v>0</v>
      </c>
      <c r="AV119" s="22">
        <f>'Activity data'!AV78*UDCPPEF*NtoN2O*kgtoGg</f>
        <v>0</v>
      </c>
      <c r="AW119" s="22">
        <f>'Activity data'!AW78*UDCPPEF*NtoN2O*kgtoGg</f>
        <v>0</v>
      </c>
      <c r="AX119" s="22">
        <f>'Activity data'!AX78*UDCPPEF*NtoN2O*kgtoGg</f>
        <v>0</v>
      </c>
      <c r="AY119" s="22">
        <f>'Activity data'!AY78*UDCPPEF*NtoN2O*kgtoGg</f>
        <v>0</v>
      </c>
      <c r="AZ119" s="22">
        <f>'Activity data'!AZ78*UDCPPEF*NtoN2O*kgtoGg</f>
        <v>0</v>
      </c>
      <c r="BA119" s="22">
        <f>'Activity data'!BA78*UDCPPEF*NtoN2O*kgtoGg</f>
        <v>0</v>
      </c>
      <c r="BB119" s="22">
        <f>'Activity data'!BB78*UDCPPEF*NtoN2O*kgtoGg</f>
        <v>0</v>
      </c>
      <c r="BC119" s="22">
        <f>'Activity data'!BC78*UDCPPEF*NtoN2O*kgtoGg</f>
        <v>0</v>
      </c>
      <c r="BD119" s="22">
        <f>'Activity data'!BD78*UDCPPEF*NtoN2O*kgtoGg</f>
        <v>0</v>
      </c>
      <c r="BE119" s="22">
        <f>'Activity data'!BE78*UDCPPEF*NtoN2O*kgtoGg</f>
        <v>0</v>
      </c>
      <c r="BF119" s="22">
        <f>'Activity data'!BF78*UDCPPEF*NtoN2O*kgtoGg</f>
        <v>0</v>
      </c>
      <c r="BG119" s="22">
        <f>'Activity data'!BG78*UDCPPEF*NtoN2O*kgtoGg</f>
        <v>0</v>
      </c>
      <c r="BH119" s="22">
        <f>'Activity data'!BH78*UDCPPEF*NtoN2O*kgtoGg</f>
        <v>0</v>
      </c>
      <c r="BI119" s="22">
        <f>'Activity data'!BI78*UDCPPEF*NtoN2O*kgtoGg</f>
        <v>0</v>
      </c>
      <c r="BJ119" s="22">
        <f>'Activity data'!BJ78*UDCPPEF*NtoN2O*kgtoGg</f>
        <v>0</v>
      </c>
      <c r="BK119" s="22">
        <f>'Activity data'!BK78*UDCPPEF*NtoN2O*kgtoGg</f>
        <v>0</v>
      </c>
      <c r="BL119" s="22">
        <f>'Activity data'!BL78*UDCPPEF*NtoN2O*kgtoGg</f>
        <v>0</v>
      </c>
      <c r="BM119" s="22">
        <f>'Activity data'!BM78*UDCPPEF*NtoN2O*kgtoGg</f>
        <v>0</v>
      </c>
      <c r="BN119" s="22">
        <f>'Activity data'!BN78*UDCPPEF*NtoN2O*kgtoGg</f>
        <v>0</v>
      </c>
      <c r="BO119" s="22">
        <f>'Activity data'!BO78*UDCPPEF*NtoN2O*kgtoGg</f>
        <v>0</v>
      </c>
      <c r="BP119" s="22">
        <f>'Activity data'!BP78*UDCPPEF*NtoN2O*kgtoGg</f>
        <v>0</v>
      </c>
    </row>
    <row r="120" spans="1:68" x14ac:dyDescent="0.25">
      <c r="A120" t="str">
        <f t="shared" si="29"/>
        <v>3C Aggregated and non-CO2 emissions on land</v>
      </c>
      <c r="B120" t="str">
        <f t="shared" si="31"/>
        <v>3C4 Direct N2O from managed soils (N2O)</v>
      </c>
      <c r="C120" t="s">
        <v>427</v>
      </c>
      <c r="D120" t="str">
        <f t="shared" si="38"/>
        <v xml:space="preserve"> - Subsistence swine</v>
      </c>
      <c r="E120" t="str">
        <f t="shared" si="32"/>
        <v>U&amp;D emissions - Subsistence swine</v>
      </c>
      <c r="F120" t="str">
        <f t="shared" si="36"/>
        <v>N2O</v>
      </c>
      <c r="G120" t="str">
        <f t="shared" si="37"/>
        <v>Gg N2O</v>
      </c>
      <c r="H120" s="22">
        <f>'Activity data'!H79*UDCPPEF*NtoN2O*kgtoGg</f>
        <v>0</v>
      </c>
      <c r="I120" s="22">
        <f>'Activity data'!I79*UDCPPEF*NtoN2O*kgtoGg</f>
        <v>0</v>
      </c>
      <c r="J120" s="22">
        <f>'Activity data'!J79*UDCPPEF*NtoN2O*kgtoGg</f>
        <v>0</v>
      </c>
      <c r="K120" s="22">
        <f>'Activity data'!K79*UDCPPEF*NtoN2O*kgtoGg</f>
        <v>0</v>
      </c>
      <c r="L120" s="22">
        <f>'Activity data'!L79*UDCPPEF*NtoN2O*kgtoGg</f>
        <v>0</v>
      </c>
      <c r="M120" s="22">
        <f>'Activity data'!M79*UDCPPEF*NtoN2O*kgtoGg</f>
        <v>0</v>
      </c>
      <c r="N120" s="22">
        <f>'Activity data'!N79*UDCPPEF*NtoN2O*kgtoGg</f>
        <v>0</v>
      </c>
      <c r="O120" s="22">
        <f>'Activity data'!O79*UDCPPEF*NtoN2O*kgtoGg</f>
        <v>0</v>
      </c>
      <c r="P120" s="22">
        <f>'Activity data'!P79*UDCPPEF*NtoN2O*kgtoGg</f>
        <v>0</v>
      </c>
      <c r="Q120" s="22">
        <f>'Activity data'!Q79*UDCPPEF*NtoN2O*kgtoGg</f>
        <v>0</v>
      </c>
      <c r="R120" s="22">
        <f>'Activity data'!R79*UDCPPEF*NtoN2O*kgtoGg</f>
        <v>0</v>
      </c>
      <c r="S120" s="22">
        <f>'Activity data'!S79*UDCPPEF*NtoN2O*kgtoGg</f>
        <v>0</v>
      </c>
      <c r="T120" s="22">
        <f>'Activity data'!T79*UDCPPEF*NtoN2O*kgtoGg</f>
        <v>0</v>
      </c>
      <c r="U120" s="22">
        <f>'Activity data'!U79*UDCPPEF*NtoN2O*kgtoGg</f>
        <v>0</v>
      </c>
      <c r="V120" s="22">
        <f>'Activity data'!V79*UDCPPEF*NtoN2O*kgtoGg</f>
        <v>0</v>
      </c>
      <c r="W120" s="22">
        <f>'Activity data'!W79*UDCPPEF*NtoN2O*kgtoGg</f>
        <v>0</v>
      </c>
      <c r="X120" s="22">
        <f>'Activity data'!X79*UDCPPEF*NtoN2O*kgtoGg</f>
        <v>0</v>
      </c>
      <c r="Y120" s="22">
        <f>'Activity data'!Y79*UDCPPEF*NtoN2O*kgtoGg</f>
        <v>0</v>
      </c>
      <c r="Z120" s="22">
        <f>'Activity data'!Z79*UDCPPEF*NtoN2O*kgtoGg</f>
        <v>0</v>
      </c>
      <c r="AA120" s="22">
        <f>'Activity data'!AA79*UDCPPEF*NtoN2O*kgtoGg</f>
        <v>0</v>
      </c>
      <c r="AB120" s="22">
        <f>'Activity data'!AB79*UDCPPEF*NtoN2O*kgtoGg</f>
        <v>0</v>
      </c>
      <c r="AC120" s="22">
        <f>'Activity data'!AC79*UDCPPEF*NtoN2O*kgtoGg</f>
        <v>0</v>
      </c>
      <c r="AD120" s="22">
        <f>'Activity data'!AD79*UDCPPEF*NtoN2O*kgtoGg</f>
        <v>0</v>
      </c>
      <c r="AE120" s="22">
        <f>'Activity data'!AE79*UDCPPEF*NtoN2O*kgtoGg</f>
        <v>0</v>
      </c>
      <c r="AF120" s="22">
        <f>'Activity data'!AF79*UDCPPEF*NtoN2O*kgtoGg</f>
        <v>0</v>
      </c>
      <c r="AG120" s="22">
        <f>'Activity data'!AG79*UDCPPEF*NtoN2O*kgtoGg</f>
        <v>0</v>
      </c>
      <c r="AH120" s="22">
        <f>'Activity data'!AH79*UDCPPEF*NtoN2O*kgtoGg</f>
        <v>0</v>
      </c>
      <c r="AI120" s="22">
        <f>'Activity data'!AI79*UDCPPEF*NtoN2O*kgtoGg</f>
        <v>0</v>
      </c>
      <c r="AJ120" s="22">
        <f>'Activity data'!AJ79*UDCPPEF*NtoN2O*kgtoGg</f>
        <v>0</v>
      </c>
      <c r="AK120" s="22">
        <f>'Activity data'!AK79*UDCPPEF*NtoN2O*kgtoGg</f>
        <v>0</v>
      </c>
      <c r="AL120" s="22">
        <f>'Activity data'!AL79*UDCPPEF*NtoN2O*kgtoGg</f>
        <v>0</v>
      </c>
      <c r="AM120" s="22">
        <f>'Activity data'!AM79*UDCPPEF*NtoN2O*kgtoGg</f>
        <v>0</v>
      </c>
      <c r="AN120" s="22">
        <f>'Activity data'!AN79*UDCPPEF*NtoN2O*kgtoGg</f>
        <v>0</v>
      </c>
      <c r="AO120" s="22">
        <f>'Activity data'!AO79*UDCPPEF*NtoN2O*kgtoGg</f>
        <v>0</v>
      </c>
      <c r="AP120" s="22">
        <f>'Activity data'!AP79*UDCPPEF*NtoN2O*kgtoGg</f>
        <v>0</v>
      </c>
      <c r="AQ120" s="22">
        <f>'Activity data'!AQ79*UDCPPEF*NtoN2O*kgtoGg</f>
        <v>0</v>
      </c>
      <c r="AR120" s="22">
        <f>'Activity data'!AR79*UDCPPEF*NtoN2O*kgtoGg</f>
        <v>0</v>
      </c>
      <c r="AS120" s="22">
        <f>'Activity data'!AS79*UDCPPEF*NtoN2O*kgtoGg</f>
        <v>0</v>
      </c>
      <c r="AT120" s="22">
        <f>'Activity data'!AT79*UDCPPEF*NtoN2O*kgtoGg</f>
        <v>0</v>
      </c>
      <c r="AU120" s="22">
        <f>'Activity data'!AU79*UDCPPEF*NtoN2O*kgtoGg</f>
        <v>0</v>
      </c>
      <c r="AV120" s="22">
        <f>'Activity data'!AV79*UDCPPEF*NtoN2O*kgtoGg</f>
        <v>0</v>
      </c>
      <c r="AW120" s="22">
        <f>'Activity data'!AW79*UDCPPEF*NtoN2O*kgtoGg</f>
        <v>0</v>
      </c>
      <c r="AX120" s="22">
        <f>'Activity data'!AX79*UDCPPEF*NtoN2O*kgtoGg</f>
        <v>0</v>
      </c>
      <c r="AY120" s="22">
        <f>'Activity data'!AY79*UDCPPEF*NtoN2O*kgtoGg</f>
        <v>0</v>
      </c>
      <c r="AZ120" s="22">
        <f>'Activity data'!AZ79*UDCPPEF*NtoN2O*kgtoGg</f>
        <v>0</v>
      </c>
      <c r="BA120" s="22">
        <f>'Activity data'!BA79*UDCPPEF*NtoN2O*kgtoGg</f>
        <v>0</v>
      </c>
      <c r="BB120" s="22">
        <f>'Activity data'!BB79*UDCPPEF*NtoN2O*kgtoGg</f>
        <v>0</v>
      </c>
      <c r="BC120" s="22">
        <f>'Activity data'!BC79*UDCPPEF*NtoN2O*kgtoGg</f>
        <v>0</v>
      </c>
      <c r="BD120" s="22">
        <f>'Activity data'!BD79*UDCPPEF*NtoN2O*kgtoGg</f>
        <v>0</v>
      </c>
      <c r="BE120" s="22">
        <f>'Activity data'!BE79*UDCPPEF*NtoN2O*kgtoGg</f>
        <v>0</v>
      </c>
      <c r="BF120" s="22">
        <f>'Activity data'!BF79*UDCPPEF*NtoN2O*kgtoGg</f>
        <v>0</v>
      </c>
      <c r="BG120" s="22">
        <f>'Activity data'!BG79*UDCPPEF*NtoN2O*kgtoGg</f>
        <v>0</v>
      </c>
      <c r="BH120" s="22">
        <f>'Activity data'!BH79*UDCPPEF*NtoN2O*kgtoGg</f>
        <v>0</v>
      </c>
      <c r="BI120" s="22">
        <f>'Activity data'!BI79*UDCPPEF*NtoN2O*kgtoGg</f>
        <v>0</v>
      </c>
      <c r="BJ120" s="22">
        <f>'Activity data'!BJ79*UDCPPEF*NtoN2O*kgtoGg</f>
        <v>0</v>
      </c>
      <c r="BK120" s="22">
        <f>'Activity data'!BK79*UDCPPEF*NtoN2O*kgtoGg</f>
        <v>0</v>
      </c>
      <c r="BL120" s="22">
        <f>'Activity data'!BL79*UDCPPEF*NtoN2O*kgtoGg</f>
        <v>0</v>
      </c>
      <c r="BM120" s="22">
        <f>'Activity data'!BM79*UDCPPEF*NtoN2O*kgtoGg</f>
        <v>0</v>
      </c>
      <c r="BN120" s="22">
        <f>'Activity data'!BN79*UDCPPEF*NtoN2O*kgtoGg</f>
        <v>0</v>
      </c>
      <c r="BO120" s="22">
        <f>'Activity data'!BO79*UDCPPEF*NtoN2O*kgtoGg</f>
        <v>0</v>
      </c>
      <c r="BP120" s="22">
        <f>'Activity data'!BP79*UDCPPEF*NtoN2O*kgtoGg</f>
        <v>0</v>
      </c>
    </row>
    <row r="121" spans="1:68" x14ac:dyDescent="0.25">
      <c r="A121" t="str">
        <f t="shared" si="29"/>
        <v>3C Aggregated and non-CO2 emissions on land</v>
      </c>
      <c r="B121" t="str">
        <f t="shared" si="31"/>
        <v>3C4 Direct N2O from managed soils (N2O)</v>
      </c>
      <c r="C121" t="s">
        <v>427</v>
      </c>
      <c r="D121" t="str">
        <f t="shared" si="38"/>
        <v xml:space="preserve"> - Commercial layers</v>
      </c>
      <c r="E121" t="str">
        <f t="shared" si="32"/>
        <v>U&amp;D emissions - Commercial layers</v>
      </c>
      <c r="F121" t="str">
        <f t="shared" si="36"/>
        <v>N2O</v>
      </c>
      <c r="G121" t="str">
        <f t="shared" si="37"/>
        <v>Gg N2O</v>
      </c>
      <c r="H121" s="22">
        <f>'Activity data'!H80*UDCPPEF*NtoN2O*kgtoGg</f>
        <v>0</v>
      </c>
      <c r="I121" s="22">
        <f>'Activity data'!I80*UDCPPEF*NtoN2O*kgtoGg</f>
        <v>0</v>
      </c>
      <c r="J121" s="22">
        <f>'Activity data'!J80*UDCPPEF*NtoN2O*kgtoGg</f>
        <v>0</v>
      </c>
      <c r="K121" s="22">
        <f>'Activity data'!K80*UDCPPEF*NtoN2O*kgtoGg</f>
        <v>0</v>
      </c>
      <c r="L121" s="22">
        <f>'Activity data'!L80*UDCPPEF*NtoN2O*kgtoGg</f>
        <v>0</v>
      </c>
      <c r="M121" s="22">
        <f>'Activity data'!M80*UDCPPEF*NtoN2O*kgtoGg</f>
        <v>0</v>
      </c>
      <c r="N121" s="22">
        <f>'Activity data'!N80*UDCPPEF*NtoN2O*kgtoGg</f>
        <v>0</v>
      </c>
      <c r="O121" s="22">
        <f>'Activity data'!O80*UDCPPEF*NtoN2O*kgtoGg</f>
        <v>0</v>
      </c>
      <c r="P121" s="22">
        <f>'Activity data'!P80*UDCPPEF*NtoN2O*kgtoGg</f>
        <v>0</v>
      </c>
      <c r="Q121" s="22">
        <f>'Activity data'!Q80*UDCPPEF*NtoN2O*kgtoGg</f>
        <v>0</v>
      </c>
      <c r="R121" s="22">
        <f>'Activity data'!R80*UDCPPEF*NtoN2O*kgtoGg</f>
        <v>0</v>
      </c>
      <c r="S121" s="22">
        <f>'Activity data'!S80*UDCPPEF*NtoN2O*kgtoGg</f>
        <v>0</v>
      </c>
      <c r="T121" s="22">
        <f>'Activity data'!T80*UDCPPEF*NtoN2O*kgtoGg</f>
        <v>0</v>
      </c>
      <c r="U121" s="22">
        <f>'Activity data'!U80*UDCPPEF*NtoN2O*kgtoGg</f>
        <v>0</v>
      </c>
      <c r="V121" s="22">
        <f>'Activity data'!V80*UDCPPEF*NtoN2O*kgtoGg</f>
        <v>0</v>
      </c>
      <c r="W121" s="22">
        <f>'Activity data'!W80*UDCPPEF*NtoN2O*kgtoGg</f>
        <v>0</v>
      </c>
      <c r="X121" s="22">
        <f>'Activity data'!X80*UDCPPEF*NtoN2O*kgtoGg</f>
        <v>0</v>
      </c>
      <c r="Y121" s="22">
        <f>'Activity data'!Y80*UDCPPEF*NtoN2O*kgtoGg</f>
        <v>0</v>
      </c>
      <c r="Z121" s="22">
        <f>'Activity data'!Z80*UDCPPEF*NtoN2O*kgtoGg</f>
        <v>0</v>
      </c>
      <c r="AA121" s="22">
        <f>'Activity data'!AA80*UDCPPEF*NtoN2O*kgtoGg</f>
        <v>0</v>
      </c>
      <c r="AB121" s="22">
        <f>'Activity data'!AB80*UDCPPEF*NtoN2O*kgtoGg</f>
        <v>0</v>
      </c>
      <c r="AC121" s="22">
        <f>'Activity data'!AC80*UDCPPEF*NtoN2O*kgtoGg</f>
        <v>0</v>
      </c>
      <c r="AD121" s="22">
        <f>'Activity data'!AD80*UDCPPEF*NtoN2O*kgtoGg</f>
        <v>0</v>
      </c>
      <c r="AE121" s="22">
        <f>'Activity data'!AE80*UDCPPEF*NtoN2O*kgtoGg</f>
        <v>0</v>
      </c>
      <c r="AF121" s="22">
        <f>'Activity data'!AF80*UDCPPEF*NtoN2O*kgtoGg</f>
        <v>0</v>
      </c>
      <c r="AG121" s="22">
        <f>'Activity data'!AG80*UDCPPEF*NtoN2O*kgtoGg</f>
        <v>0</v>
      </c>
      <c r="AH121" s="22">
        <f>'Activity data'!AH80*UDCPPEF*NtoN2O*kgtoGg</f>
        <v>0</v>
      </c>
      <c r="AI121" s="22">
        <f>'Activity data'!AI80*UDCPPEF*NtoN2O*kgtoGg</f>
        <v>0</v>
      </c>
      <c r="AJ121" s="22">
        <f>'Activity data'!AJ80*UDCPPEF*NtoN2O*kgtoGg</f>
        <v>0</v>
      </c>
      <c r="AK121" s="22">
        <f>'Activity data'!AK80*UDCPPEF*NtoN2O*kgtoGg</f>
        <v>0</v>
      </c>
      <c r="AL121" s="22">
        <f>'Activity data'!AL80*UDCPPEF*NtoN2O*kgtoGg</f>
        <v>0</v>
      </c>
      <c r="AM121" s="22">
        <f>'Activity data'!AM80*UDCPPEF*NtoN2O*kgtoGg</f>
        <v>0</v>
      </c>
      <c r="AN121" s="22">
        <f>'Activity data'!AN80*UDCPPEF*NtoN2O*kgtoGg</f>
        <v>0</v>
      </c>
      <c r="AO121" s="22">
        <f>'Activity data'!AO80*UDCPPEF*NtoN2O*kgtoGg</f>
        <v>0</v>
      </c>
      <c r="AP121" s="22">
        <f>'Activity data'!AP80*UDCPPEF*NtoN2O*kgtoGg</f>
        <v>0</v>
      </c>
      <c r="AQ121" s="22">
        <f>'Activity data'!AQ80*UDCPPEF*NtoN2O*kgtoGg</f>
        <v>0</v>
      </c>
      <c r="AR121" s="22">
        <f>'Activity data'!AR80*UDCPPEF*NtoN2O*kgtoGg</f>
        <v>0</v>
      </c>
      <c r="AS121" s="22">
        <f>'Activity data'!AS80*UDCPPEF*NtoN2O*kgtoGg</f>
        <v>0</v>
      </c>
      <c r="AT121" s="22">
        <f>'Activity data'!AT80*UDCPPEF*NtoN2O*kgtoGg</f>
        <v>0</v>
      </c>
      <c r="AU121" s="22">
        <f>'Activity data'!AU80*UDCPPEF*NtoN2O*kgtoGg</f>
        <v>0</v>
      </c>
      <c r="AV121" s="22">
        <f>'Activity data'!AV80*UDCPPEF*NtoN2O*kgtoGg</f>
        <v>0</v>
      </c>
      <c r="AW121" s="22">
        <f>'Activity data'!AW80*UDCPPEF*NtoN2O*kgtoGg</f>
        <v>0</v>
      </c>
      <c r="AX121" s="22">
        <f>'Activity data'!AX80*UDCPPEF*NtoN2O*kgtoGg</f>
        <v>0</v>
      </c>
      <c r="AY121" s="22">
        <f>'Activity data'!AY80*UDCPPEF*NtoN2O*kgtoGg</f>
        <v>0</v>
      </c>
      <c r="AZ121" s="22">
        <f>'Activity data'!AZ80*UDCPPEF*NtoN2O*kgtoGg</f>
        <v>0</v>
      </c>
      <c r="BA121" s="22">
        <f>'Activity data'!BA80*UDCPPEF*NtoN2O*kgtoGg</f>
        <v>0</v>
      </c>
      <c r="BB121" s="22">
        <f>'Activity data'!BB80*UDCPPEF*NtoN2O*kgtoGg</f>
        <v>0</v>
      </c>
      <c r="BC121" s="22">
        <f>'Activity data'!BC80*UDCPPEF*NtoN2O*kgtoGg</f>
        <v>0</v>
      </c>
      <c r="BD121" s="22">
        <f>'Activity data'!BD80*UDCPPEF*NtoN2O*kgtoGg</f>
        <v>0</v>
      </c>
      <c r="BE121" s="22">
        <f>'Activity data'!BE80*UDCPPEF*NtoN2O*kgtoGg</f>
        <v>0</v>
      </c>
      <c r="BF121" s="22">
        <f>'Activity data'!BF80*UDCPPEF*NtoN2O*kgtoGg</f>
        <v>0</v>
      </c>
      <c r="BG121" s="22">
        <f>'Activity data'!BG80*UDCPPEF*NtoN2O*kgtoGg</f>
        <v>0</v>
      </c>
      <c r="BH121" s="22">
        <f>'Activity data'!BH80*UDCPPEF*NtoN2O*kgtoGg</f>
        <v>0</v>
      </c>
      <c r="BI121" s="22">
        <f>'Activity data'!BI80*UDCPPEF*NtoN2O*kgtoGg</f>
        <v>0</v>
      </c>
      <c r="BJ121" s="22">
        <f>'Activity data'!BJ80*UDCPPEF*NtoN2O*kgtoGg</f>
        <v>0</v>
      </c>
      <c r="BK121" s="22">
        <f>'Activity data'!BK80*UDCPPEF*NtoN2O*kgtoGg</f>
        <v>0</v>
      </c>
      <c r="BL121" s="22">
        <f>'Activity data'!BL80*UDCPPEF*NtoN2O*kgtoGg</f>
        <v>0</v>
      </c>
      <c r="BM121" s="22">
        <f>'Activity data'!BM80*UDCPPEF*NtoN2O*kgtoGg</f>
        <v>0</v>
      </c>
      <c r="BN121" s="22">
        <f>'Activity data'!BN80*UDCPPEF*NtoN2O*kgtoGg</f>
        <v>0</v>
      </c>
      <c r="BO121" s="22">
        <f>'Activity data'!BO80*UDCPPEF*NtoN2O*kgtoGg</f>
        <v>0</v>
      </c>
      <c r="BP121" s="22">
        <f>'Activity data'!BP80*UDCPPEF*NtoN2O*kgtoGg</f>
        <v>0</v>
      </c>
    </row>
    <row r="122" spans="1:68" x14ac:dyDescent="0.25">
      <c r="A122" t="str">
        <f t="shared" si="29"/>
        <v>3C Aggregated and non-CO2 emissions on land</v>
      </c>
      <c r="B122" t="str">
        <f t="shared" si="31"/>
        <v>3C4 Direct N2O from managed soils (N2O)</v>
      </c>
      <c r="C122" t="s">
        <v>427</v>
      </c>
      <c r="D122" t="str">
        <f t="shared" si="38"/>
        <v xml:space="preserve"> - Commercial broilers</v>
      </c>
      <c r="E122" t="str">
        <f t="shared" si="32"/>
        <v>U&amp;D emissions - Commercial broilers</v>
      </c>
      <c r="F122" t="str">
        <f t="shared" si="36"/>
        <v>N2O</v>
      </c>
      <c r="G122" t="str">
        <f t="shared" si="37"/>
        <v>Gg N2O</v>
      </c>
      <c r="H122" s="22">
        <f>'Activity data'!H81*UDCPPEF*NtoN2O*kgtoGg</f>
        <v>0</v>
      </c>
      <c r="I122" s="22">
        <f>'Activity data'!I81*UDCPPEF*NtoN2O*kgtoGg</f>
        <v>0</v>
      </c>
      <c r="J122" s="22">
        <f>'Activity data'!J81*UDCPPEF*NtoN2O*kgtoGg</f>
        <v>0</v>
      </c>
      <c r="K122" s="22">
        <f>'Activity data'!K81*UDCPPEF*NtoN2O*kgtoGg</f>
        <v>0</v>
      </c>
      <c r="L122" s="22">
        <f>'Activity data'!L81*UDCPPEF*NtoN2O*kgtoGg</f>
        <v>0</v>
      </c>
      <c r="M122" s="22">
        <f>'Activity data'!M81*UDCPPEF*NtoN2O*kgtoGg</f>
        <v>0</v>
      </c>
      <c r="N122" s="22">
        <f>'Activity data'!N81*UDCPPEF*NtoN2O*kgtoGg</f>
        <v>0</v>
      </c>
      <c r="O122" s="22">
        <f>'Activity data'!O81*UDCPPEF*NtoN2O*kgtoGg</f>
        <v>0</v>
      </c>
      <c r="P122" s="22">
        <f>'Activity data'!P81*UDCPPEF*NtoN2O*kgtoGg</f>
        <v>0</v>
      </c>
      <c r="Q122" s="22">
        <f>'Activity data'!Q81*UDCPPEF*NtoN2O*kgtoGg</f>
        <v>0</v>
      </c>
      <c r="R122" s="22">
        <f>'Activity data'!R81*UDCPPEF*NtoN2O*kgtoGg</f>
        <v>0</v>
      </c>
      <c r="S122" s="22">
        <f>'Activity data'!S81*UDCPPEF*NtoN2O*kgtoGg</f>
        <v>0</v>
      </c>
      <c r="T122" s="22">
        <f>'Activity data'!T81*UDCPPEF*NtoN2O*kgtoGg</f>
        <v>0</v>
      </c>
      <c r="U122" s="22">
        <f>'Activity data'!U81*UDCPPEF*NtoN2O*kgtoGg</f>
        <v>0</v>
      </c>
      <c r="V122" s="22">
        <f>'Activity data'!V81*UDCPPEF*NtoN2O*kgtoGg</f>
        <v>0</v>
      </c>
      <c r="W122" s="22">
        <f>'Activity data'!W81*UDCPPEF*NtoN2O*kgtoGg</f>
        <v>0</v>
      </c>
      <c r="X122" s="22">
        <f>'Activity data'!X81*UDCPPEF*NtoN2O*kgtoGg</f>
        <v>0</v>
      </c>
      <c r="Y122" s="22">
        <f>'Activity data'!Y81*UDCPPEF*NtoN2O*kgtoGg</f>
        <v>0</v>
      </c>
      <c r="Z122" s="22">
        <f>'Activity data'!Z81*UDCPPEF*NtoN2O*kgtoGg</f>
        <v>0</v>
      </c>
      <c r="AA122" s="22">
        <f>'Activity data'!AA81*UDCPPEF*NtoN2O*kgtoGg</f>
        <v>0</v>
      </c>
      <c r="AB122" s="22">
        <f>'Activity data'!AB81*UDCPPEF*NtoN2O*kgtoGg</f>
        <v>0</v>
      </c>
      <c r="AC122" s="22">
        <f>'Activity data'!AC81*UDCPPEF*NtoN2O*kgtoGg</f>
        <v>0</v>
      </c>
      <c r="AD122" s="22">
        <f>'Activity data'!AD81*UDCPPEF*NtoN2O*kgtoGg</f>
        <v>0</v>
      </c>
      <c r="AE122" s="22">
        <f>'Activity data'!AE81*UDCPPEF*NtoN2O*kgtoGg</f>
        <v>0</v>
      </c>
      <c r="AF122" s="22">
        <f>'Activity data'!AF81*UDCPPEF*NtoN2O*kgtoGg</f>
        <v>0</v>
      </c>
      <c r="AG122" s="22">
        <f>'Activity data'!AG81*UDCPPEF*NtoN2O*kgtoGg</f>
        <v>0</v>
      </c>
      <c r="AH122" s="22">
        <f>'Activity data'!AH81*UDCPPEF*NtoN2O*kgtoGg</f>
        <v>0</v>
      </c>
      <c r="AI122" s="22">
        <f>'Activity data'!AI81*UDCPPEF*NtoN2O*kgtoGg</f>
        <v>0</v>
      </c>
      <c r="AJ122" s="22">
        <f>'Activity data'!AJ81*UDCPPEF*NtoN2O*kgtoGg</f>
        <v>0</v>
      </c>
      <c r="AK122" s="22">
        <f>'Activity data'!AK81*UDCPPEF*NtoN2O*kgtoGg</f>
        <v>0</v>
      </c>
      <c r="AL122" s="22">
        <f>'Activity data'!AL81*UDCPPEF*NtoN2O*kgtoGg</f>
        <v>0</v>
      </c>
      <c r="AM122" s="22">
        <f>'Activity data'!AM81*UDCPPEF*NtoN2O*kgtoGg</f>
        <v>0</v>
      </c>
      <c r="AN122" s="22">
        <f>'Activity data'!AN81*UDCPPEF*NtoN2O*kgtoGg</f>
        <v>0</v>
      </c>
      <c r="AO122" s="22">
        <f>'Activity data'!AO81*UDCPPEF*NtoN2O*kgtoGg</f>
        <v>0</v>
      </c>
      <c r="AP122" s="22">
        <f>'Activity data'!AP81*UDCPPEF*NtoN2O*kgtoGg</f>
        <v>0</v>
      </c>
      <c r="AQ122" s="22">
        <f>'Activity data'!AQ81*UDCPPEF*NtoN2O*kgtoGg</f>
        <v>0</v>
      </c>
      <c r="AR122" s="22">
        <f>'Activity data'!AR81*UDCPPEF*NtoN2O*kgtoGg</f>
        <v>0</v>
      </c>
      <c r="AS122" s="22">
        <f>'Activity data'!AS81*UDCPPEF*NtoN2O*kgtoGg</f>
        <v>0</v>
      </c>
      <c r="AT122" s="22">
        <f>'Activity data'!AT81*UDCPPEF*NtoN2O*kgtoGg</f>
        <v>0</v>
      </c>
      <c r="AU122" s="22">
        <f>'Activity data'!AU81*UDCPPEF*NtoN2O*kgtoGg</f>
        <v>0</v>
      </c>
      <c r="AV122" s="22">
        <f>'Activity data'!AV81*UDCPPEF*NtoN2O*kgtoGg</f>
        <v>0</v>
      </c>
      <c r="AW122" s="22">
        <f>'Activity data'!AW81*UDCPPEF*NtoN2O*kgtoGg</f>
        <v>0</v>
      </c>
      <c r="AX122" s="22">
        <f>'Activity data'!AX81*UDCPPEF*NtoN2O*kgtoGg</f>
        <v>0</v>
      </c>
      <c r="AY122" s="22">
        <f>'Activity data'!AY81*UDCPPEF*NtoN2O*kgtoGg</f>
        <v>0</v>
      </c>
      <c r="AZ122" s="22">
        <f>'Activity data'!AZ81*UDCPPEF*NtoN2O*kgtoGg</f>
        <v>0</v>
      </c>
      <c r="BA122" s="22">
        <f>'Activity data'!BA81*UDCPPEF*NtoN2O*kgtoGg</f>
        <v>0</v>
      </c>
      <c r="BB122" s="22">
        <f>'Activity data'!BB81*UDCPPEF*NtoN2O*kgtoGg</f>
        <v>0</v>
      </c>
      <c r="BC122" s="22">
        <f>'Activity data'!BC81*UDCPPEF*NtoN2O*kgtoGg</f>
        <v>0</v>
      </c>
      <c r="BD122" s="22">
        <f>'Activity data'!BD81*UDCPPEF*NtoN2O*kgtoGg</f>
        <v>0</v>
      </c>
      <c r="BE122" s="22">
        <f>'Activity data'!BE81*UDCPPEF*NtoN2O*kgtoGg</f>
        <v>0</v>
      </c>
      <c r="BF122" s="22">
        <f>'Activity data'!BF81*UDCPPEF*NtoN2O*kgtoGg</f>
        <v>0</v>
      </c>
      <c r="BG122" s="22">
        <f>'Activity data'!BG81*UDCPPEF*NtoN2O*kgtoGg</f>
        <v>0</v>
      </c>
      <c r="BH122" s="22">
        <f>'Activity data'!BH81*UDCPPEF*NtoN2O*kgtoGg</f>
        <v>0</v>
      </c>
      <c r="BI122" s="22">
        <f>'Activity data'!BI81*UDCPPEF*NtoN2O*kgtoGg</f>
        <v>0</v>
      </c>
      <c r="BJ122" s="22">
        <f>'Activity data'!BJ81*UDCPPEF*NtoN2O*kgtoGg</f>
        <v>0</v>
      </c>
      <c r="BK122" s="22">
        <f>'Activity data'!BK81*UDCPPEF*NtoN2O*kgtoGg</f>
        <v>0</v>
      </c>
      <c r="BL122" s="22">
        <f>'Activity data'!BL81*UDCPPEF*NtoN2O*kgtoGg</f>
        <v>0</v>
      </c>
      <c r="BM122" s="22">
        <f>'Activity data'!BM81*UDCPPEF*NtoN2O*kgtoGg</f>
        <v>0</v>
      </c>
      <c r="BN122" s="22">
        <f>'Activity data'!BN81*UDCPPEF*NtoN2O*kgtoGg</f>
        <v>0</v>
      </c>
      <c r="BO122" s="22">
        <f>'Activity data'!BO81*UDCPPEF*NtoN2O*kgtoGg</f>
        <v>0</v>
      </c>
      <c r="BP122" s="22">
        <f>'Activity data'!BP81*UDCPPEF*NtoN2O*kgtoGg</f>
        <v>0</v>
      </c>
    </row>
    <row r="123" spans="1:68" x14ac:dyDescent="0.25">
      <c r="A123" t="str">
        <f>A122</f>
        <v>3C Aggregated and non-CO2 emissions on land</v>
      </c>
      <c r="B123" t="str">
        <f t="shared" si="31"/>
        <v>3C4 Direct N2O from managed soils (N2O)</v>
      </c>
      <c r="C123" t="s">
        <v>60</v>
      </c>
      <c r="D123" t="str">
        <f>" - "&amp;'Activity data'!D87</f>
        <v xml:space="preserve"> - Forest remaining forest land</v>
      </c>
      <c r="E123" t="str">
        <f t="shared" si="32"/>
        <v>FSOM - Forest remaining forest land</v>
      </c>
      <c r="G123" t="str">
        <f t="shared" si="37"/>
        <v>Gg N2O</v>
      </c>
      <c r="H123" s="22" t="str">
        <f>IFERROR(('Activity data'!H87*(1/Constants!$H$112))*ttokg*FSOMEF*NtoN2O*kgtoGg,"NO")</f>
        <v>NO</v>
      </c>
      <c r="I123" s="22" t="str">
        <f>IFERROR(('Activity data'!I87*(1/Constants!$H$112))*ttokg*FSOMEF*NtoN2O*kgtoGg,"NO")</f>
        <v>NO</v>
      </c>
      <c r="J123" s="22" t="str">
        <f>IFERROR(('Activity data'!J87*(1/Constants!$H$112))*ttokg*FSOMEF*NtoN2O*kgtoGg,"NO")</f>
        <v>NO</v>
      </c>
      <c r="K123" s="22" t="str">
        <f>IFERROR(('Activity data'!K87*(1/Constants!$H$112))*ttokg*FSOMEF*NtoN2O*kgtoGg,"NO")</f>
        <v>NO</v>
      </c>
      <c r="L123" s="22" t="str">
        <f>IFERROR(('Activity data'!L87*(1/Constants!$H$112))*ttokg*FSOMEF*NtoN2O*kgtoGg,"NO")</f>
        <v>NO</v>
      </c>
      <c r="M123" s="22" t="str">
        <f>IFERROR(('Activity data'!M87*(1/Constants!$H$112))*ttokg*FSOMEF*NtoN2O*kgtoGg,"NO")</f>
        <v>NO</v>
      </c>
      <c r="N123" s="22" t="str">
        <f>IFERROR(('Activity data'!N87*(1/Constants!$H$112))*ttokg*FSOMEF*NtoN2O*kgtoGg,"NO")</f>
        <v>NO</v>
      </c>
      <c r="O123" s="22" t="str">
        <f>IFERROR(('Activity data'!O87*(1/Constants!$H$112))*ttokg*FSOMEF*NtoN2O*kgtoGg,"NO")</f>
        <v>NO</v>
      </c>
      <c r="P123" s="22" t="str">
        <f>IFERROR(('Activity data'!P87*(1/Constants!$H$112))*ttokg*FSOMEF*NtoN2O*kgtoGg,"NO")</f>
        <v>NO</v>
      </c>
      <c r="Q123" s="22" t="str">
        <f>IFERROR(('Activity data'!Q87*(1/Constants!$H$112))*ttokg*FSOMEF*NtoN2O*kgtoGg,"NO")</f>
        <v>NO</v>
      </c>
      <c r="R123" s="22" t="str">
        <f>IFERROR(('Activity data'!R87*(1/Constants!$H$112))*ttokg*FSOMEF*NtoN2O*kgtoGg,"NO")</f>
        <v>NO</v>
      </c>
      <c r="S123" s="22" t="str">
        <f>IFERROR(('Activity data'!S87*(1/Constants!$H$112))*ttokg*FSOMEF*NtoN2O*kgtoGg,"NO")</f>
        <v>NO</v>
      </c>
      <c r="T123" s="22" t="str">
        <f>IFERROR(('Activity data'!T87*(1/Constants!$H$112))*ttokg*FSOMEF*NtoN2O*kgtoGg,"NO")</f>
        <v>NO</v>
      </c>
      <c r="U123" s="22" t="str">
        <f>IFERROR(('Activity data'!U87*(1/Constants!$H$112))*ttokg*FSOMEF*NtoN2O*kgtoGg,"NO")</f>
        <v>NO</v>
      </c>
      <c r="V123" s="22" t="str">
        <f>IFERROR(('Activity data'!V87*(1/Constants!$H$112))*ttokg*FSOMEF*NtoN2O*kgtoGg,"NO")</f>
        <v>NO</v>
      </c>
      <c r="W123" s="22" t="str">
        <f>IFERROR(('Activity data'!W87*(1/Constants!$H$112))*ttokg*FSOMEF*NtoN2O*kgtoGg,"NO")</f>
        <v>NO</v>
      </c>
      <c r="X123" s="22" t="str">
        <f>IFERROR(('Activity data'!X87*(1/Constants!$H$112))*ttokg*FSOMEF*NtoN2O*kgtoGg,"NO")</f>
        <v>NO</v>
      </c>
      <c r="Y123" s="22" t="str">
        <f>IFERROR(('Activity data'!Y87*(1/Constants!$H$112))*ttokg*FSOMEF*NtoN2O*kgtoGg,"NO")</f>
        <v>NO</v>
      </c>
      <c r="Z123" s="22" t="str">
        <f>IFERROR(('Activity data'!Z87*(1/Constants!$H$112))*ttokg*FSOMEF*NtoN2O*kgtoGg,"NO")</f>
        <v>NO</v>
      </c>
      <c r="AA123" s="22" t="str">
        <f>IFERROR(('Activity data'!AA87*(1/Constants!$H$112))*ttokg*FSOMEF*NtoN2O*kgtoGg,"NO")</f>
        <v>NO</v>
      </c>
      <c r="AB123" s="22" t="str">
        <f>IFERROR(('Activity data'!AB87*(1/Constants!$H$112))*ttokg*FSOMEF*NtoN2O*kgtoGg,"NO")</f>
        <v>NO</v>
      </c>
      <c r="AC123" s="22" t="str">
        <f>IFERROR(('Activity data'!AC87*(1/Constants!$H$112))*ttokg*FSOMEF*NtoN2O*kgtoGg,"NO")</f>
        <v>NO</v>
      </c>
      <c r="AD123" s="22" t="str">
        <f>IFERROR(('Activity data'!AD87*(1/Constants!$H$112))*ttokg*FSOMEF*NtoN2O*kgtoGg,"NO")</f>
        <v>NO</v>
      </c>
      <c r="AE123" s="22" t="str">
        <f>IFERROR(('Activity data'!AE87*(1/Constants!$H$112))*ttokg*FSOMEF*NtoN2O*kgtoGg,"NO")</f>
        <v>NO</v>
      </c>
      <c r="AF123" s="22" t="str">
        <f>IFERROR(('Activity data'!AF87*(1/Constants!$H$112))*ttokg*FSOMEF*NtoN2O*kgtoGg,"NO")</f>
        <v>NO</v>
      </c>
      <c r="AG123" s="22" t="str">
        <f>IFERROR(('Activity data'!AG87*(1/Constants!$H$112))*ttokg*FSOMEF*NtoN2O*kgtoGg,"NO")</f>
        <v>NO</v>
      </c>
      <c r="AH123" s="22" t="str">
        <f>IFERROR(('Activity data'!AH87*(1/Constants!$H$112))*ttokg*FSOMEF*NtoN2O*kgtoGg,"NO")</f>
        <v>NO</v>
      </c>
      <c r="AI123" s="22" t="str">
        <f>IFERROR(('Activity data'!AI87*(1/Constants!$H$112))*ttokg*FSOMEF*NtoN2O*kgtoGg,"NO")</f>
        <v>NO</v>
      </c>
      <c r="AJ123" s="22" t="str">
        <f>IFERROR(('Activity data'!AJ87*(1/Constants!$H$112))*ttokg*FSOMEF*NtoN2O*kgtoGg,"NO")</f>
        <v>NO</v>
      </c>
      <c r="AK123" s="22" t="str">
        <f>IFERROR(('Activity data'!AK87*(1/Constants!$H$112))*ttokg*FSOMEF*NtoN2O*kgtoGg,"NO")</f>
        <v>NO</v>
      </c>
      <c r="AL123" s="22" t="str">
        <f>IFERROR(('Activity data'!AL87*(1/Constants!$H$112))*ttokg*FSOMEF*NtoN2O*kgtoGg,"NO")</f>
        <v>NO</v>
      </c>
      <c r="AM123" s="22" t="str">
        <f>IFERROR(('Activity data'!AM87*(1/Constants!$H$112))*ttokg*FSOMEF*NtoN2O*kgtoGg,"NO")</f>
        <v>NO</v>
      </c>
      <c r="AN123" s="22" t="str">
        <f>IFERROR(('Activity data'!AN87*(1/Constants!$H$112))*ttokg*FSOMEF*NtoN2O*kgtoGg,"NO")</f>
        <v>NO</v>
      </c>
      <c r="AO123" s="22" t="str">
        <f>IFERROR(('Activity data'!AO87*(1/Constants!$H$112))*ttokg*FSOMEF*NtoN2O*kgtoGg,"NO")</f>
        <v>NO</v>
      </c>
      <c r="AP123" s="22" t="str">
        <f>IFERROR(('Activity data'!AP87*(1/Constants!$H$112))*ttokg*FSOMEF*NtoN2O*kgtoGg,"NO")</f>
        <v>NO</v>
      </c>
      <c r="AQ123" s="22" t="str">
        <f>IFERROR(('Activity data'!AQ87*(1/Constants!$H$112))*ttokg*FSOMEF*NtoN2O*kgtoGg,"NO")</f>
        <v>NO</v>
      </c>
      <c r="AR123" s="22" t="str">
        <f>IFERROR(('Activity data'!AR87*(1/Constants!$H$112))*ttokg*FSOMEF*NtoN2O*kgtoGg,"NO")</f>
        <v>NO</v>
      </c>
      <c r="AS123" s="22" t="str">
        <f>IFERROR(('Activity data'!AS87*(1/Constants!$H$112))*ttokg*FSOMEF*NtoN2O*kgtoGg,"NO")</f>
        <v>NO</v>
      </c>
      <c r="AT123" s="22" t="str">
        <f>IFERROR(('Activity data'!AT87*(1/Constants!$H$112))*ttokg*FSOMEF*NtoN2O*kgtoGg,"NO")</f>
        <v>NO</v>
      </c>
      <c r="AU123" s="22" t="str">
        <f>IFERROR(('Activity data'!AU87*(1/Constants!$H$112))*ttokg*FSOMEF*NtoN2O*kgtoGg,"NO")</f>
        <v>NO</v>
      </c>
      <c r="AV123" s="22" t="str">
        <f>IFERROR(('Activity data'!AV87*(1/Constants!$H$112))*ttokg*FSOMEF*NtoN2O*kgtoGg,"NO")</f>
        <v>NO</v>
      </c>
      <c r="AW123" s="22" t="str">
        <f>IFERROR(('Activity data'!AW87*(1/Constants!$H$112))*ttokg*FSOMEF*NtoN2O*kgtoGg,"NO")</f>
        <v>NO</v>
      </c>
      <c r="AX123" s="22" t="str">
        <f>IFERROR(('Activity data'!AX87*(1/Constants!$H$112))*ttokg*FSOMEF*NtoN2O*kgtoGg,"NO")</f>
        <v>NO</v>
      </c>
      <c r="AY123" s="22" t="str">
        <f>IFERROR(('Activity data'!AY87*(1/Constants!$H$112))*ttokg*FSOMEF*NtoN2O*kgtoGg,"NO")</f>
        <v>NO</v>
      </c>
      <c r="AZ123" s="22" t="str">
        <f>IFERROR(('Activity data'!AZ87*(1/Constants!$H$112))*ttokg*FSOMEF*NtoN2O*kgtoGg,"NO")</f>
        <v>NO</v>
      </c>
      <c r="BA123" s="22" t="str">
        <f>IFERROR(('Activity data'!BA87*(1/Constants!$H$112))*ttokg*FSOMEF*NtoN2O*kgtoGg,"NO")</f>
        <v>NO</v>
      </c>
      <c r="BB123" s="22" t="str">
        <f>IFERROR(('Activity data'!BB87*(1/Constants!$H$112))*ttokg*FSOMEF*NtoN2O*kgtoGg,"NO")</f>
        <v>NO</v>
      </c>
      <c r="BC123" s="22" t="str">
        <f>IFERROR(('Activity data'!BC87*(1/Constants!$H$112))*ttokg*FSOMEF*NtoN2O*kgtoGg,"NO")</f>
        <v>NO</v>
      </c>
      <c r="BD123" s="22" t="str">
        <f>IFERROR(('Activity data'!BD87*(1/Constants!$H$112))*ttokg*FSOMEF*NtoN2O*kgtoGg,"NO")</f>
        <v>NO</v>
      </c>
      <c r="BE123" s="22" t="str">
        <f>IFERROR(('Activity data'!BE87*(1/Constants!$H$112))*ttokg*FSOMEF*NtoN2O*kgtoGg,"NO")</f>
        <v>NO</v>
      </c>
      <c r="BF123" s="22" t="str">
        <f>IFERROR(('Activity data'!BF87*(1/Constants!$H$112))*ttokg*FSOMEF*NtoN2O*kgtoGg,"NO")</f>
        <v>NO</v>
      </c>
      <c r="BG123" s="22" t="str">
        <f>IFERROR(('Activity data'!BG87*(1/Constants!$H$112))*ttokg*FSOMEF*NtoN2O*kgtoGg,"NO")</f>
        <v>NO</v>
      </c>
      <c r="BH123" s="22" t="str">
        <f>IFERROR(('Activity data'!BH87*(1/Constants!$H$112))*ttokg*FSOMEF*NtoN2O*kgtoGg,"NO")</f>
        <v>NO</v>
      </c>
      <c r="BI123" s="22" t="str">
        <f>IFERROR(('Activity data'!BI87*(1/Constants!$H$112))*ttokg*FSOMEF*NtoN2O*kgtoGg,"NO")</f>
        <v>NO</v>
      </c>
      <c r="BJ123" s="22" t="str">
        <f>IFERROR(('Activity data'!BJ87*(1/Constants!$H$112))*ttokg*FSOMEF*NtoN2O*kgtoGg,"NO")</f>
        <v>NO</v>
      </c>
      <c r="BK123" s="22" t="str">
        <f>IFERROR(('Activity data'!BK87*(1/Constants!$H$112))*ttokg*FSOMEF*NtoN2O*kgtoGg,"NO")</f>
        <v>NO</v>
      </c>
      <c r="BL123" s="22" t="str">
        <f>IFERROR(('Activity data'!BL87*(1/Constants!$H$112))*ttokg*FSOMEF*NtoN2O*kgtoGg,"NO")</f>
        <v>NO</v>
      </c>
      <c r="BM123" s="22" t="str">
        <f>IFERROR(('Activity data'!BM87*(1/Constants!$H$112))*ttokg*FSOMEF*NtoN2O*kgtoGg,"NO")</f>
        <v>NO</v>
      </c>
      <c r="BN123" s="22" t="str">
        <f>IFERROR(('Activity data'!BN87*(1/Constants!$H$112))*ttokg*FSOMEF*NtoN2O*kgtoGg,"NO")</f>
        <v>NO</v>
      </c>
      <c r="BO123" s="22" t="str">
        <f>IFERROR(('Activity data'!BO87*(1/Constants!$H$112))*ttokg*FSOMEF*NtoN2O*kgtoGg,"NO")</f>
        <v>NO</v>
      </c>
      <c r="BP123" s="22" t="str">
        <f>IFERROR(('Activity data'!BP87*(1/Constants!$H$112))*ttokg*FSOMEF*NtoN2O*kgtoGg,"NO")</f>
        <v>NO</v>
      </c>
    </row>
    <row r="124" spans="1:68" x14ac:dyDescent="0.25">
      <c r="A124" t="str">
        <f t="shared" ref="A124:A135" si="39">A123</f>
        <v>3C Aggregated and non-CO2 emissions on land</v>
      </c>
      <c r="B124" t="str">
        <f t="shared" si="31"/>
        <v>3C4 Direct N2O from managed soils (N2O)</v>
      </c>
      <c r="C124" t="s">
        <v>60</v>
      </c>
      <c r="D124" t="str">
        <f>" - "&amp;'Activity data'!D88</f>
        <v xml:space="preserve"> - Land converted to forest land</v>
      </c>
      <c r="E124" t="str">
        <f t="shared" ref="E124:E128" si="40">C124&amp;D124</f>
        <v>FSOM - Land converted to forest land</v>
      </c>
      <c r="G124" t="str">
        <f t="shared" si="37"/>
        <v>Gg N2O</v>
      </c>
      <c r="H124" s="22" t="str">
        <f>IFERROR(('Activity data'!H88*(1/Constants!$H$112))*ttokg*FSOMEF*NtoN2O*kgtoGg,"NO")</f>
        <v>NO</v>
      </c>
      <c r="I124" s="22" t="str">
        <f>IFERROR(('Activity data'!#REF!*(1/Constants!$H$112))*ttokg*FSOMEF*NtoN2O*kgtoGg,"NO")</f>
        <v>NO</v>
      </c>
      <c r="J124" s="22" t="str">
        <f>IFERROR(('Activity data'!#REF!*(1/Constants!$H$112))*ttokg*FSOMEF*NtoN2O*kgtoGg,"NO")</f>
        <v>NO</v>
      </c>
      <c r="K124" s="22" t="str">
        <f>IFERROR(('Activity data'!#REF!*(1/Constants!$H$112))*ttokg*FSOMEF*NtoN2O*kgtoGg,"NO")</f>
        <v>NO</v>
      </c>
      <c r="L124" s="22" t="str">
        <f>IFERROR(('Activity data'!#REF!*(1/Constants!$H$112))*ttokg*FSOMEF*NtoN2O*kgtoGg,"NO")</f>
        <v>NO</v>
      </c>
      <c r="M124" s="22" t="str">
        <f>IFERROR(('Activity data'!#REF!*(1/Constants!$H$112))*ttokg*FSOMEF*NtoN2O*kgtoGg,"NO")</f>
        <v>NO</v>
      </c>
      <c r="N124" s="22" t="str">
        <f>IFERROR(('Activity data'!#REF!*(1/Constants!$H$112))*ttokg*FSOMEF*NtoN2O*kgtoGg,"NO")</f>
        <v>NO</v>
      </c>
      <c r="O124" s="22" t="str">
        <f>IFERROR(('Activity data'!#REF!*(1/Constants!$H$112))*ttokg*FSOMEF*NtoN2O*kgtoGg,"NO")</f>
        <v>NO</v>
      </c>
      <c r="P124" s="22" t="str">
        <f>IFERROR(('Activity data'!#REF!*(1/Constants!$H$112))*ttokg*FSOMEF*NtoN2O*kgtoGg,"NO")</f>
        <v>NO</v>
      </c>
      <c r="Q124" s="22" t="str">
        <f>IFERROR(('Activity data'!#REF!*(1/Constants!$H$112))*ttokg*FSOMEF*NtoN2O*kgtoGg,"NO")</f>
        <v>NO</v>
      </c>
      <c r="R124" s="22" t="str">
        <f>IFERROR(('Activity data'!#REF!*(1/Constants!$H$112))*ttokg*FSOMEF*NtoN2O*kgtoGg,"NO")</f>
        <v>NO</v>
      </c>
      <c r="S124" s="22" t="str">
        <f>IFERROR(('Activity data'!#REF!*(1/Constants!$H$112))*ttokg*FSOMEF*NtoN2O*kgtoGg,"NO")</f>
        <v>NO</v>
      </c>
      <c r="T124" s="22" t="str">
        <f>IFERROR(('Activity data'!#REF!*(1/Constants!$H$112))*ttokg*FSOMEF*NtoN2O*kgtoGg,"NO")</f>
        <v>NO</v>
      </c>
      <c r="U124" s="22" t="str">
        <f>IFERROR(('Activity data'!#REF!*(1/Constants!$H$112))*ttokg*FSOMEF*NtoN2O*kgtoGg,"NO")</f>
        <v>NO</v>
      </c>
      <c r="V124" s="22" t="str">
        <f>IFERROR(('Activity data'!#REF!*(1/Constants!$H$112))*ttokg*FSOMEF*NtoN2O*kgtoGg,"NO")</f>
        <v>NO</v>
      </c>
      <c r="W124" s="22" t="str">
        <f>IFERROR(('Activity data'!#REF!*(1/Constants!$H$112))*ttokg*FSOMEF*NtoN2O*kgtoGg,"NO")</f>
        <v>NO</v>
      </c>
      <c r="X124" s="22" t="str">
        <f>IFERROR(('Activity data'!#REF!*(1/Constants!$H$112))*ttokg*FSOMEF*NtoN2O*kgtoGg,"NO")</f>
        <v>NO</v>
      </c>
      <c r="Y124" s="22" t="str">
        <f>IFERROR(('Activity data'!#REF!*(1/Constants!$H$112))*ttokg*FSOMEF*NtoN2O*kgtoGg,"NO")</f>
        <v>NO</v>
      </c>
      <c r="Z124" s="22" t="str">
        <f>IFERROR(('Activity data'!#REF!*(1/Constants!$H$112))*ttokg*FSOMEF*NtoN2O*kgtoGg,"NO")</f>
        <v>NO</v>
      </c>
      <c r="AA124" s="22" t="str">
        <f>IFERROR(('Activity data'!#REF!*(1/Constants!$H$112))*ttokg*FSOMEF*NtoN2O*kgtoGg,"NO")</f>
        <v>NO</v>
      </c>
      <c r="AB124" s="22" t="str">
        <f>IFERROR(('Activity data'!#REF!*(1/Constants!$H$112))*ttokg*FSOMEF*NtoN2O*kgtoGg,"NO")</f>
        <v>NO</v>
      </c>
      <c r="AC124" s="22" t="str">
        <f>IFERROR(('Activity data'!#REF!*(1/Constants!$H$112))*ttokg*FSOMEF*NtoN2O*kgtoGg,"NO")</f>
        <v>NO</v>
      </c>
      <c r="AD124" s="22" t="str">
        <f>IFERROR(('Activity data'!#REF!*(1/Constants!$H$112))*ttokg*FSOMEF*NtoN2O*kgtoGg,"NO")</f>
        <v>NO</v>
      </c>
      <c r="AE124" s="22" t="str">
        <f>IFERROR(('Activity data'!#REF!*(1/Constants!$H$112))*ttokg*FSOMEF*NtoN2O*kgtoGg,"NO")</f>
        <v>NO</v>
      </c>
      <c r="AF124" s="22" t="str">
        <f>IFERROR(('Activity data'!#REF!*(1/Constants!$H$112))*ttokg*FSOMEF*NtoN2O*kgtoGg,"NO")</f>
        <v>NO</v>
      </c>
      <c r="AG124" s="22" t="str">
        <f>IFERROR(('Activity data'!#REF!*(1/Constants!$H$112))*ttokg*FSOMEF*NtoN2O*kgtoGg,"NO")</f>
        <v>NO</v>
      </c>
      <c r="AH124" s="22" t="str">
        <f>IFERROR(('Activity data'!#REF!*(1/Constants!$H$112))*ttokg*FSOMEF*NtoN2O*kgtoGg,"NO")</f>
        <v>NO</v>
      </c>
      <c r="AI124" s="22" t="str">
        <f>IFERROR(('Activity data'!#REF!*(1/Constants!$H$112))*ttokg*FSOMEF*NtoN2O*kgtoGg,"NO")</f>
        <v>NO</v>
      </c>
      <c r="AJ124" s="22" t="str">
        <f>IFERROR(('Activity data'!#REF!*(1/Constants!$H$112))*ttokg*FSOMEF*NtoN2O*kgtoGg,"NO")</f>
        <v>NO</v>
      </c>
      <c r="AK124" s="22" t="str">
        <f>IFERROR(('Activity data'!#REF!*(1/Constants!$H$112))*ttokg*FSOMEF*NtoN2O*kgtoGg,"NO")</f>
        <v>NO</v>
      </c>
      <c r="AL124" s="22" t="str">
        <f>IFERROR(('Activity data'!#REF!*(1/Constants!$H$112))*ttokg*FSOMEF*NtoN2O*kgtoGg,"NO")</f>
        <v>NO</v>
      </c>
      <c r="AM124" s="22" t="str">
        <f>IFERROR(('Activity data'!#REF!*(1/Constants!$H$112))*ttokg*FSOMEF*NtoN2O*kgtoGg,"NO")</f>
        <v>NO</v>
      </c>
      <c r="AN124" s="22" t="str">
        <f>IFERROR(('Activity data'!#REF!*(1/Constants!$H$112))*ttokg*FSOMEF*NtoN2O*kgtoGg,"NO")</f>
        <v>NO</v>
      </c>
      <c r="AO124" s="22" t="str">
        <f>IFERROR(('Activity data'!#REF!*(1/Constants!$H$112))*ttokg*FSOMEF*NtoN2O*kgtoGg,"NO")</f>
        <v>NO</v>
      </c>
      <c r="AP124" s="22" t="str">
        <f>IFERROR(('Activity data'!#REF!*(1/Constants!$H$112))*ttokg*FSOMEF*NtoN2O*kgtoGg,"NO")</f>
        <v>NO</v>
      </c>
      <c r="AQ124" s="22" t="str">
        <f>IFERROR(('Activity data'!#REF!*(1/Constants!$H$112))*ttokg*FSOMEF*NtoN2O*kgtoGg,"NO")</f>
        <v>NO</v>
      </c>
      <c r="AR124" s="22" t="str">
        <f>IFERROR(('Activity data'!#REF!*(1/Constants!$H$112))*ttokg*FSOMEF*NtoN2O*kgtoGg,"NO")</f>
        <v>NO</v>
      </c>
      <c r="AS124" s="22" t="str">
        <f>IFERROR(('Activity data'!#REF!*(1/Constants!$H$112))*ttokg*FSOMEF*NtoN2O*kgtoGg,"NO")</f>
        <v>NO</v>
      </c>
      <c r="AT124" s="22" t="str">
        <f>IFERROR(('Activity data'!#REF!*(1/Constants!$H$112))*ttokg*FSOMEF*NtoN2O*kgtoGg,"NO")</f>
        <v>NO</v>
      </c>
      <c r="AU124" s="22" t="str">
        <f>IFERROR(('Activity data'!#REF!*(1/Constants!$H$112))*ttokg*FSOMEF*NtoN2O*kgtoGg,"NO")</f>
        <v>NO</v>
      </c>
      <c r="AV124" s="22" t="str">
        <f>IFERROR(('Activity data'!#REF!*(1/Constants!$H$112))*ttokg*FSOMEF*NtoN2O*kgtoGg,"NO")</f>
        <v>NO</v>
      </c>
      <c r="AW124" s="22" t="str">
        <f>IFERROR(('Activity data'!#REF!*(1/Constants!$H$112))*ttokg*FSOMEF*NtoN2O*kgtoGg,"NO")</f>
        <v>NO</v>
      </c>
      <c r="AX124" s="22" t="str">
        <f>IFERROR(('Activity data'!#REF!*(1/Constants!$H$112))*ttokg*FSOMEF*NtoN2O*kgtoGg,"NO")</f>
        <v>NO</v>
      </c>
      <c r="AY124" s="22" t="str">
        <f>IFERROR(('Activity data'!#REF!*(1/Constants!$H$112))*ttokg*FSOMEF*NtoN2O*kgtoGg,"NO")</f>
        <v>NO</v>
      </c>
      <c r="AZ124" s="22" t="str">
        <f>IFERROR(('Activity data'!#REF!*(1/Constants!$H$112))*ttokg*FSOMEF*NtoN2O*kgtoGg,"NO")</f>
        <v>NO</v>
      </c>
      <c r="BA124" s="22" t="str">
        <f>IFERROR(('Activity data'!#REF!*(1/Constants!$H$112))*ttokg*FSOMEF*NtoN2O*kgtoGg,"NO")</f>
        <v>NO</v>
      </c>
      <c r="BB124" s="22" t="str">
        <f>IFERROR(('Activity data'!#REF!*(1/Constants!$H$112))*ttokg*FSOMEF*NtoN2O*kgtoGg,"NO")</f>
        <v>NO</v>
      </c>
      <c r="BC124" s="22" t="str">
        <f>IFERROR(('Activity data'!#REF!*(1/Constants!$H$112))*ttokg*FSOMEF*NtoN2O*kgtoGg,"NO")</f>
        <v>NO</v>
      </c>
      <c r="BD124" s="22" t="str">
        <f>IFERROR(('Activity data'!#REF!*(1/Constants!$H$112))*ttokg*FSOMEF*NtoN2O*kgtoGg,"NO")</f>
        <v>NO</v>
      </c>
      <c r="BE124" s="22" t="str">
        <f>IFERROR(('Activity data'!#REF!*(1/Constants!$H$112))*ttokg*FSOMEF*NtoN2O*kgtoGg,"NO")</f>
        <v>NO</v>
      </c>
      <c r="BF124" s="22" t="str">
        <f>IFERROR(('Activity data'!#REF!*(1/Constants!$H$112))*ttokg*FSOMEF*NtoN2O*kgtoGg,"NO")</f>
        <v>NO</v>
      </c>
      <c r="BG124" s="22" t="str">
        <f>IFERROR(('Activity data'!#REF!*(1/Constants!$H$112))*ttokg*FSOMEF*NtoN2O*kgtoGg,"NO")</f>
        <v>NO</v>
      </c>
      <c r="BH124" s="22" t="str">
        <f>IFERROR(('Activity data'!#REF!*(1/Constants!$H$112))*ttokg*FSOMEF*NtoN2O*kgtoGg,"NO")</f>
        <v>NO</v>
      </c>
      <c r="BI124" s="22" t="str">
        <f>IFERROR(('Activity data'!#REF!*(1/Constants!$H$112))*ttokg*FSOMEF*NtoN2O*kgtoGg,"NO")</f>
        <v>NO</v>
      </c>
      <c r="BJ124" s="22" t="str">
        <f>IFERROR(('Activity data'!#REF!*(1/Constants!$H$112))*ttokg*FSOMEF*NtoN2O*kgtoGg,"NO")</f>
        <v>NO</v>
      </c>
      <c r="BK124" s="22" t="str">
        <f>IFERROR(('Activity data'!#REF!*(1/Constants!$H$112))*ttokg*FSOMEF*NtoN2O*kgtoGg,"NO")</f>
        <v>NO</v>
      </c>
      <c r="BL124" s="22" t="str">
        <f>IFERROR(('Activity data'!#REF!*(1/Constants!$H$112))*ttokg*FSOMEF*NtoN2O*kgtoGg,"NO")</f>
        <v>NO</v>
      </c>
      <c r="BM124" s="22" t="str">
        <f>IFERROR(('Activity data'!#REF!*(1/Constants!$H$112))*ttokg*FSOMEF*NtoN2O*kgtoGg,"NO")</f>
        <v>NO</v>
      </c>
      <c r="BN124" s="22" t="str">
        <f>IFERROR(('Activity data'!#REF!*(1/Constants!$H$112))*ttokg*FSOMEF*NtoN2O*kgtoGg,"NO")</f>
        <v>NO</v>
      </c>
      <c r="BO124" s="22" t="str">
        <f>IFERROR(('Activity data'!#REF!*(1/Constants!$H$112))*ttokg*FSOMEF*NtoN2O*kgtoGg,"NO")</f>
        <v>NO</v>
      </c>
      <c r="BP124" s="22" t="str">
        <f>IFERROR(('Activity data'!#REF!*(1/Constants!$H$112))*ttokg*FSOMEF*NtoN2O*kgtoGg,"NO")</f>
        <v>NO</v>
      </c>
    </row>
    <row r="125" spans="1:68" x14ac:dyDescent="0.25">
      <c r="A125" t="str">
        <f t="shared" si="39"/>
        <v>3C Aggregated and non-CO2 emissions on land</v>
      </c>
      <c r="B125" t="str">
        <f t="shared" si="31"/>
        <v>3C4 Direct N2O from managed soils (N2O)</v>
      </c>
      <c r="C125" t="s">
        <v>60</v>
      </c>
      <c r="D125" t="str">
        <f>" - "&amp;'Activity data'!D89</f>
        <v xml:space="preserve"> - Cropland remaining cropland</v>
      </c>
      <c r="E125" t="str">
        <f t="shared" si="40"/>
        <v>FSOM - Cropland remaining cropland</v>
      </c>
      <c r="G125" t="str">
        <f t="shared" si="37"/>
        <v>Gg N2O</v>
      </c>
      <c r="H125" s="22" t="str">
        <f>IFERROR(('Activity data'!H89*(1/Constants!$H$112))*ttokg*FSOMEF*NtoN2O*kgtoGg,"NO")</f>
        <v>NO</v>
      </c>
      <c r="I125" s="22" t="str">
        <f>IFERROR(('Activity data'!#REF!*(1/Constants!$H$112))*ttokg*FSOMEF*NtoN2O*kgtoGg,"NO")</f>
        <v>NO</v>
      </c>
      <c r="J125" s="22" t="str">
        <f>IFERROR(('Activity data'!#REF!*(1/Constants!$H$112))*ttokg*FSOMEF*NtoN2O*kgtoGg,"NO")</f>
        <v>NO</v>
      </c>
      <c r="K125" s="22" t="str">
        <f>IFERROR(('Activity data'!#REF!*(1/Constants!$H$112))*ttokg*FSOMEF*NtoN2O*kgtoGg,"NO")</f>
        <v>NO</v>
      </c>
      <c r="L125" s="22" t="str">
        <f>IFERROR(('Activity data'!#REF!*(1/Constants!$H$112))*ttokg*FSOMEF*NtoN2O*kgtoGg,"NO")</f>
        <v>NO</v>
      </c>
      <c r="M125" s="22" t="str">
        <f>IFERROR(('Activity data'!#REF!*(1/Constants!$H$112))*ttokg*FSOMEF*NtoN2O*kgtoGg,"NO")</f>
        <v>NO</v>
      </c>
      <c r="N125" s="22" t="str">
        <f>IFERROR(('Activity data'!#REF!*(1/Constants!$H$112))*ttokg*FSOMEF*NtoN2O*kgtoGg,"NO")</f>
        <v>NO</v>
      </c>
      <c r="O125" s="22" t="str">
        <f>IFERROR(('Activity data'!#REF!*(1/Constants!$H$112))*ttokg*FSOMEF*NtoN2O*kgtoGg,"NO")</f>
        <v>NO</v>
      </c>
      <c r="P125" s="22" t="str">
        <f>IFERROR(('Activity data'!#REF!*(1/Constants!$H$112))*ttokg*FSOMEF*NtoN2O*kgtoGg,"NO")</f>
        <v>NO</v>
      </c>
      <c r="Q125" s="22" t="str">
        <f>IFERROR(('Activity data'!#REF!*(1/Constants!$H$112))*ttokg*FSOMEF*NtoN2O*kgtoGg,"NO")</f>
        <v>NO</v>
      </c>
      <c r="R125" s="22" t="str">
        <f>IFERROR(('Activity data'!#REF!*(1/Constants!$H$112))*ttokg*FSOMEF*NtoN2O*kgtoGg,"NO")</f>
        <v>NO</v>
      </c>
      <c r="S125" s="22" t="str">
        <f>IFERROR(('Activity data'!#REF!*(1/Constants!$H$112))*ttokg*FSOMEF*NtoN2O*kgtoGg,"NO")</f>
        <v>NO</v>
      </c>
      <c r="T125" s="22" t="str">
        <f>IFERROR(('Activity data'!#REF!*(1/Constants!$H$112))*ttokg*FSOMEF*NtoN2O*kgtoGg,"NO")</f>
        <v>NO</v>
      </c>
      <c r="U125" s="22" t="str">
        <f>IFERROR(('Activity data'!#REF!*(1/Constants!$H$112))*ttokg*FSOMEF*NtoN2O*kgtoGg,"NO")</f>
        <v>NO</v>
      </c>
      <c r="V125" s="22" t="str">
        <f>IFERROR(('Activity data'!#REF!*(1/Constants!$H$112))*ttokg*FSOMEF*NtoN2O*kgtoGg,"NO")</f>
        <v>NO</v>
      </c>
      <c r="W125" s="22" t="str">
        <f>IFERROR(('Activity data'!#REF!*(1/Constants!$H$112))*ttokg*FSOMEF*NtoN2O*kgtoGg,"NO")</f>
        <v>NO</v>
      </c>
      <c r="X125" s="22" t="str">
        <f>IFERROR(('Activity data'!#REF!*(1/Constants!$H$112))*ttokg*FSOMEF*NtoN2O*kgtoGg,"NO")</f>
        <v>NO</v>
      </c>
      <c r="Y125" s="22" t="str">
        <f>IFERROR(('Activity data'!#REF!*(1/Constants!$H$112))*ttokg*FSOMEF*NtoN2O*kgtoGg,"NO")</f>
        <v>NO</v>
      </c>
      <c r="Z125" s="22" t="str">
        <f>IFERROR(('Activity data'!#REF!*(1/Constants!$H$112))*ttokg*FSOMEF*NtoN2O*kgtoGg,"NO")</f>
        <v>NO</v>
      </c>
      <c r="AA125" s="22" t="str">
        <f>IFERROR(('Activity data'!#REF!*(1/Constants!$H$112))*ttokg*FSOMEF*NtoN2O*kgtoGg,"NO")</f>
        <v>NO</v>
      </c>
      <c r="AB125" s="22" t="str">
        <f>IFERROR(('Activity data'!#REF!*(1/Constants!$H$112))*ttokg*FSOMEF*NtoN2O*kgtoGg,"NO")</f>
        <v>NO</v>
      </c>
      <c r="AC125" s="22" t="str">
        <f>IFERROR(('Activity data'!#REF!*(1/Constants!$H$112))*ttokg*FSOMEF*NtoN2O*kgtoGg,"NO")</f>
        <v>NO</v>
      </c>
      <c r="AD125" s="22" t="str">
        <f>IFERROR(('Activity data'!#REF!*(1/Constants!$H$112))*ttokg*FSOMEF*NtoN2O*kgtoGg,"NO")</f>
        <v>NO</v>
      </c>
      <c r="AE125" s="22" t="str">
        <f>IFERROR(('Activity data'!#REF!*(1/Constants!$H$112))*ttokg*FSOMEF*NtoN2O*kgtoGg,"NO")</f>
        <v>NO</v>
      </c>
      <c r="AF125" s="22" t="str">
        <f>IFERROR(('Activity data'!#REF!*(1/Constants!$H$112))*ttokg*FSOMEF*NtoN2O*kgtoGg,"NO")</f>
        <v>NO</v>
      </c>
      <c r="AG125" s="22" t="str">
        <f>IFERROR(('Activity data'!#REF!*(1/Constants!$H$112))*ttokg*FSOMEF*NtoN2O*kgtoGg,"NO")</f>
        <v>NO</v>
      </c>
      <c r="AH125" s="22" t="str">
        <f>IFERROR(('Activity data'!#REF!*(1/Constants!$H$112))*ttokg*FSOMEF*NtoN2O*kgtoGg,"NO")</f>
        <v>NO</v>
      </c>
      <c r="AI125" s="22" t="str">
        <f>IFERROR(('Activity data'!#REF!*(1/Constants!$H$112))*ttokg*FSOMEF*NtoN2O*kgtoGg,"NO")</f>
        <v>NO</v>
      </c>
      <c r="AJ125" s="22" t="str">
        <f>IFERROR(('Activity data'!#REF!*(1/Constants!$H$112))*ttokg*FSOMEF*NtoN2O*kgtoGg,"NO")</f>
        <v>NO</v>
      </c>
      <c r="AK125" s="22" t="str">
        <f>IFERROR(('Activity data'!#REF!*(1/Constants!$H$112))*ttokg*FSOMEF*NtoN2O*kgtoGg,"NO")</f>
        <v>NO</v>
      </c>
      <c r="AL125" s="22" t="str">
        <f>IFERROR(('Activity data'!#REF!*(1/Constants!$H$112))*ttokg*FSOMEF*NtoN2O*kgtoGg,"NO")</f>
        <v>NO</v>
      </c>
      <c r="AM125" s="22" t="str">
        <f>IFERROR(('Activity data'!#REF!*(1/Constants!$H$112))*ttokg*FSOMEF*NtoN2O*kgtoGg,"NO")</f>
        <v>NO</v>
      </c>
      <c r="AN125" s="22" t="str">
        <f>IFERROR(('Activity data'!#REF!*(1/Constants!$H$112))*ttokg*FSOMEF*NtoN2O*kgtoGg,"NO")</f>
        <v>NO</v>
      </c>
      <c r="AO125" s="22" t="str">
        <f>IFERROR(('Activity data'!#REF!*(1/Constants!$H$112))*ttokg*FSOMEF*NtoN2O*kgtoGg,"NO")</f>
        <v>NO</v>
      </c>
      <c r="AP125" s="22" t="str">
        <f>IFERROR(('Activity data'!#REF!*(1/Constants!$H$112))*ttokg*FSOMEF*NtoN2O*kgtoGg,"NO")</f>
        <v>NO</v>
      </c>
      <c r="AQ125" s="22" t="str">
        <f>IFERROR(('Activity data'!#REF!*(1/Constants!$H$112))*ttokg*FSOMEF*NtoN2O*kgtoGg,"NO")</f>
        <v>NO</v>
      </c>
      <c r="AR125" s="22" t="str">
        <f>IFERROR(('Activity data'!#REF!*(1/Constants!$H$112))*ttokg*FSOMEF*NtoN2O*kgtoGg,"NO")</f>
        <v>NO</v>
      </c>
      <c r="AS125" s="22" t="str">
        <f>IFERROR(('Activity data'!#REF!*(1/Constants!$H$112))*ttokg*FSOMEF*NtoN2O*kgtoGg,"NO")</f>
        <v>NO</v>
      </c>
      <c r="AT125" s="22" t="str">
        <f>IFERROR(('Activity data'!#REF!*(1/Constants!$H$112))*ttokg*FSOMEF*NtoN2O*kgtoGg,"NO")</f>
        <v>NO</v>
      </c>
      <c r="AU125" s="22" t="str">
        <f>IFERROR(('Activity data'!#REF!*(1/Constants!$H$112))*ttokg*FSOMEF*NtoN2O*kgtoGg,"NO")</f>
        <v>NO</v>
      </c>
      <c r="AV125" s="22" t="str">
        <f>IFERROR(('Activity data'!#REF!*(1/Constants!$H$112))*ttokg*FSOMEF*NtoN2O*kgtoGg,"NO")</f>
        <v>NO</v>
      </c>
      <c r="AW125" s="22" t="str">
        <f>IFERROR(('Activity data'!#REF!*(1/Constants!$H$112))*ttokg*FSOMEF*NtoN2O*kgtoGg,"NO")</f>
        <v>NO</v>
      </c>
      <c r="AX125" s="22" t="str">
        <f>IFERROR(('Activity data'!#REF!*(1/Constants!$H$112))*ttokg*FSOMEF*NtoN2O*kgtoGg,"NO")</f>
        <v>NO</v>
      </c>
      <c r="AY125" s="22" t="str">
        <f>IFERROR(('Activity data'!#REF!*(1/Constants!$H$112))*ttokg*FSOMEF*NtoN2O*kgtoGg,"NO")</f>
        <v>NO</v>
      </c>
      <c r="AZ125" s="22" t="str">
        <f>IFERROR(('Activity data'!#REF!*(1/Constants!$H$112))*ttokg*FSOMEF*NtoN2O*kgtoGg,"NO")</f>
        <v>NO</v>
      </c>
      <c r="BA125" s="22" t="str">
        <f>IFERROR(('Activity data'!#REF!*(1/Constants!$H$112))*ttokg*FSOMEF*NtoN2O*kgtoGg,"NO")</f>
        <v>NO</v>
      </c>
      <c r="BB125" s="22" t="str">
        <f>IFERROR(('Activity data'!#REF!*(1/Constants!$H$112))*ttokg*FSOMEF*NtoN2O*kgtoGg,"NO")</f>
        <v>NO</v>
      </c>
      <c r="BC125" s="22" t="str">
        <f>IFERROR(('Activity data'!#REF!*(1/Constants!$H$112))*ttokg*FSOMEF*NtoN2O*kgtoGg,"NO")</f>
        <v>NO</v>
      </c>
      <c r="BD125" s="22" t="str">
        <f>IFERROR(('Activity data'!#REF!*(1/Constants!$H$112))*ttokg*FSOMEF*NtoN2O*kgtoGg,"NO")</f>
        <v>NO</v>
      </c>
      <c r="BE125" s="22" t="str">
        <f>IFERROR(('Activity data'!#REF!*(1/Constants!$H$112))*ttokg*FSOMEF*NtoN2O*kgtoGg,"NO")</f>
        <v>NO</v>
      </c>
      <c r="BF125" s="22" t="str">
        <f>IFERROR(('Activity data'!#REF!*(1/Constants!$H$112))*ttokg*FSOMEF*NtoN2O*kgtoGg,"NO")</f>
        <v>NO</v>
      </c>
      <c r="BG125" s="22" t="str">
        <f>IFERROR(('Activity data'!#REF!*(1/Constants!$H$112))*ttokg*FSOMEF*NtoN2O*kgtoGg,"NO")</f>
        <v>NO</v>
      </c>
      <c r="BH125" s="22" t="str">
        <f>IFERROR(('Activity data'!#REF!*(1/Constants!$H$112))*ttokg*FSOMEF*NtoN2O*kgtoGg,"NO")</f>
        <v>NO</v>
      </c>
      <c r="BI125" s="22" t="str">
        <f>IFERROR(('Activity data'!#REF!*(1/Constants!$H$112))*ttokg*FSOMEF*NtoN2O*kgtoGg,"NO")</f>
        <v>NO</v>
      </c>
      <c r="BJ125" s="22" t="str">
        <f>IFERROR(('Activity data'!#REF!*(1/Constants!$H$112))*ttokg*FSOMEF*NtoN2O*kgtoGg,"NO")</f>
        <v>NO</v>
      </c>
      <c r="BK125" s="22" t="str">
        <f>IFERROR(('Activity data'!#REF!*(1/Constants!$H$112))*ttokg*FSOMEF*NtoN2O*kgtoGg,"NO")</f>
        <v>NO</v>
      </c>
      <c r="BL125" s="22" t="str">
        <f>IFERROR(('Activity data'!#REF!*(1/Constants!$H$112))*ttokg*FSOMEF*NtoN2O*kgtoGg,"NO")</f>
        <v>NO</v>
      </c>
      <c r="BM125" s="22" t="str">
        <f>IFERROR(('Activity data'!#REF!*(1/Constants!$H$112))*ttokg*FSOMEF*NtoN2O*kgtoGg,"NO")</f>
        <v>NO</v>
      </c>
      <c r="BN125" s="22" t="str">
        <f>IFERROR(('Activity data'!#REF!*(1/Constants!$H$112))*ttokg*FSOMEF*NtoN2O*kgtoGg,"NO")</f>
        <v>NO</v>
      </c>
      <c r="BO125" s="22" t="str">
        <f>IFERROR(('Activity data'!#REF!*(1/Constants!$H$112))*ttokg*FSOMEF*NtoN2O*kgtoGg,"NO")</f>
        <v>NO</v>
      </c>
      <c r="BP125" s="22" t="str">
        <f>IFERROR(('Activity data'!#REF!*(1/Constants!$H$112))*ttokg*FSOMEF*NtoN2O*kgtoGg,"NO")</f>
        <v>NO</v>
      </c>
    </row>
    <row r="126" spans="1:68" x14ac:dyDescent="0.25">
      <c r="A126" t="str">
        <f t="shared" si="39"/>
        <v>3C Aggregated and non-CO2 emissions on land</v>
      </c>
      <c r="B126" t="str">
        <f t="shared" si="31"/>
        <v>3C4 Direct N2O from managed soils (N2O)</v>
      </c>
      <c r="C126" t="s">
        <v>60</v>
      </c>
      <c r="D126" t="str">
        <f>" - "&amp;'Activity data'!D90</f>
        <v xml:space="preserve"> - Land converted to cropland</v>
      </c>
      <c r="E126" t="str">
        <f t="shared" si="40"/>
        <v>FSOM - Land converted to cropland</v>
      </c>
      <c r="G126" t="str">
        <f t="shared" si="37"/>
        <v>Gg N2O</v>
      </c>
      <c r="H126" s="22" t="str">
        <f>IFERROR(('Activity data'!H90*(1/Constants!$H$112))*ttokg*FSOMEF*NtoN2O*kgtoGg,"NO")</f>
        <v>NO</v>
      </c>
      <c r="I126" s="22" t="str">
        <f>IFERROR(('Activity data'!#REF!*(1/Constants!$H$112))*ttokg*FSOMEF*NtoN2O*kgtoGg,"NO")</f>
        <v>NO</v>
      </c>
      <c r="J126" s="22" t="str">
        <f>IFERROR(('Activity data'!#REF!*(1/Constants!$H$112))*ttokg*FSOMEF*NtoN2O*kgtoGg,"NO")</f>
        <v>NO</v>
      </c>
      <c r="K126" s="22" t="str">
        <f>IFERROR(('Activity data'!#REF!*(1/Constants!$H$112))*ttokg*FSOMEF*NtoN2O*kgtoGg,"NO")</f>
        <v>NO</v>
      </c>
      <c r="L126" s="22" t="str">
        <f>IFERROR(('Activity data'!#REF!*(1/Constants!$H$112))*ttokg*FSOMEF*NtoN2O*kgtoGg,"NO")</f>
        <v>NO</v>
      </c>
      <c r="M126" s="22" t="str">
        <f>IFERROR(('Activity data'!#REF!*(1/Constants!$H$112))*ttokg*FSOMEF*NtoN2O*kgtoGg,"NO")</f>
        <v>NO</v>
      </c>
      <c r="N126" s="22" t="str">
        <f>IFERROR(('Activity data'!#REF!*(1/Constants!$H$112))*ttokg*FSOMEF*NtoN2O*kgtoGg,"NO")</f>
        <v>NO</v>
      </c>
      <c r="O126" s="22" t="str">
        <f>IFERROR(('Activity data'!#REF!*(1/Constants!$H$112))*ttokg*FSOMEF*NtoN2O*kgtoGg,"NO")</f>
        <v>NO</v>
      </c>
      <c r="P126" s="22" t="str">
        <f>IFERROR(('Activity data'!#REF!*(1/Constants!$H$112))*ttokg*FSOMEF*NtoN2O*kgtoGg,"NO")</f>
        <v>NO</v>
      </c>
      <c r="Q126" s="22" t="str">
        <f>IFERROR(('Activity data'!#REF!*(1/Constants!$H$112))*ttokg*FSOMEF*NtoN2O*kgtoGg,"NO")</f>
        <v>NO</v>
      </c>
      <c r="R126" s="22" t="str">
        <f>IFERROR(('Activity data'!#REF!*(1/Constants!$H$112))*ttokg*FSOMEF*NtoN2O*kgtoGg,"NO")</f>
        <v>NO</v>
      </c>
      <c r="S126" s="22" t="str">
        <f>IFERROR(('Activity data'!#REF!*(1/Constants!$H$112))*ttokg*FSOMEF*NtoN2O*kgtoGg,"NO")</f>
        <v>NO</v>
      </c>
      <c r="T126" s="22" t="str">
        <f>IFERROR(('Activity data'!#REF!*(1/Constants!$H$112))*ttokg*FSOMEF*NtoN2O*kgtoGg,"NO")</f>
        <v>NO</v>
      </c>
      <c r="U126" s="22" t="str">
        <f>IFERROR(('Activity data'!#REF!*(1/Constants!$H$112))*ttokg*FSOMEF*NtoN2O*kgtoGg,"NO")</f>
        <v>NO</v>
      </c>
      <c r="V126" s="22" t="str">
        <f>IFERROR(('Activity data'!#REF!*(1/Constants!$H$112))*ttokg*FSOMEF*NtoN2O*kgtoGg,"NO")</f>
        <v>NO</v>
      </c>
      <c r="W126" s="22" t="str">
        <f>IFERROR(('Activity data'!#REF!*(1/Constants!$H$112))*ttokg*FSOMEF*NtoN2O*kgtoGg,"NO")</f>
        <v>NO</v>
      </c>
      <c r="X126" s="22" t="str">
        <f>IFERROR(('Activity data'!#REF!*(1/Constants!$H$112))*ttokg*FSOMEF*NtoN2O*kgtoGg,"NO")</f>
        <v>NO</v>
      </c>
      <c r="Y126" s="22" t="str">
        <f>IFERROR(('Activity data'!#REF!*(1/Constants!$H$112))*ttokg*FSOMEF*NtoN2O*kgtoGg,"NO")</f>
        <v>NO</v>
      </c>
      <c r="Z126" s="22" t="str">
        <f>IFERROR(('Activity data'!#REF!*(1/Constants!$H$112))*ttokg*FSOMEF*NtoN2O*kgtoGg,"NO")</f>
        <v>NO</v>
      </c>
      <c r="AA126" s="22" t="str">
        <f>IFERROR(('Activity data'!#REF!*(1/Constants!$H$112))*ttokg*FSOMEF*NtoN2O*kgtoGg,"NO")</f>
        <v>NO</v>
      </c>
      <c r="AB126" s="22" t="str">
        <f>IFERROR(('Activity data'!#REF!*(1/Constants!$H$112))*ttokg*FSOMEF*NtoN2O*kgtoGg,"NO")</f>
        <v>NO</v>
      </c>
      <c r="AC126" s="22" t="str">
        <f>IFERROR(('Activity data'!#REF!*(1/Constants!$H$112))*ttokg*FSOMEF*NtoN2O*kgtoGg,"NO")</f>
        <v>NO</v>
      </c>
      <c r="AD126" s="22" t="str">
        <f>IFERROR(('Activity data'!#REF!*(1/Constants!$H$112))*ttokg*FSOMEF*NtoN2O*kgtoGg,"NO")</f>
        <v>NO</v>
      </c>
      <c r="AE126" s="22" t="str">
        <f>IFERROR(('Activity data'!#REF!*(1/Constants!$H$112))*ttokg*FSOMEF*NtoN2O*kgtoGg,"NO")</f>
        <v>NO</v>
      </c>
      <c r="AF126" s="22" t="str">
        <f>IFERROR(('Activity data'!#REF!*(1/Constants!$H$112))*ttokg*FSOMEF*NtoN2O*kgtoGg,"NO")</f>
        <v>NO</v>
      </c>
      <c r="AG126" s="22" t="str">
        <f>IFERROR(('Activity data'!#REF!*(1/Constants!$H$112))*ttokg*FSOMEF*NtoN2O*kgtoGg,"NO")</f>
        <v>NO</v>
      </c>
      <c r="AH126" s="22" t="str">
        <f>IFERROR(('Activity data'!#REF!*(1/Constants!$H$112))*ttokg*FSOMEF*NtoN2O*kgtoGg,"NO")</f>
        <v>NO</v>
      </c>
      <c r="AI126" s="22" t="str">
        <f>IFERROR(('Activity data'!#REF!*(1/Constants!$H$112))*ttokg*FSOMEF*NtoN2O*kgtoGg,"NO")</f>
        <v>NO</v>
      </c>
      <c r="AJ126" s="22" t="str">
        <f>IFERROR(('Activity data'!#REF!*(1/Constants!$H$112))*ttokg*FSOMEF*NtoN2O*kgtoGg,"NO")</f>
        <v>NO</v>
      </c>
      <c r="AK126" s="22" t="str">
        <f>IFERROR(('Activity data'!#REF!*(1/Constants!$H$112))*ttokg*FSOMEF*NtoN2O*kgtoGg,"NO")</f>
        <v>NO</v>
      </c>
      <c r="AL126" s="22" t="str">
        <f>IFERROR(('Activity data'!#REF!*(1/Constants!$H$112))*ttokg*FSOMEF*NtoN2O*kgtoGg,"NO")</f>
        <v>NO</v>
      </c>
      <c r="AM126" s="22" t="str">
        <f>IFERROR(('Activity data'!#REF!*(1/Constants!$H$112))*ttokg*FSOMEF*NtoN2O*kgtoGg,"NO")</f>
        <v>NO</v>
      </c>
      <c r="AN126" s="22" t="str">
        <f>IFERROR(('Activity data'!#REF!*(1/Constants!$H$112))*ttokg*FSOMEF*NtoN2O*kgtoGg,"NO")</f>
        <v>NO</v>
      </c>
      <c r="AO126" s="22" t="str">
        <f>IFERROR(('Activity data'!#REF!*(1/Constants!$H$112))*ttokg*FSOMEF*NtoN2O*kgtoGg,"NO")</f>
        <v>NO</v>
      </c>
      <c r="AP126" s="22" t="str">
        <f>IFERROR(('Activity data'!#REF!*(1/Constants!$H$112))*ttokg*FSOMEF*NtoN2O*kgtoGg,"NO")</f>
        <v>NO</v>
      </c>
      <c r="AQ126" s="22" t="str">
        <f>IFERROR(('Activity data'!#REF!*(1/Constants!$H$112))*ttokg*FSOMEF*NtoN2O*kgtoGg,"NO")</f>
        <v>NO</v>
      </c>
      <c r="AR126" s="22" t="str">
        <f>IFERROR(('Activity data'!#REF!*(1/Constants!$H$112))*ttokg*FSOMEF*NtoN2O*kgtoGg,"NO")</f>
        <v>NO</v>
      </c>
      <c r="AS126" s="22" t="str">
        <f>IFERROR(('Activity data'!#REF!*(1/Constants!$H$112))*ttokg*FSOMEF*NtoN2O*kgtoGg,"NO")</f>
        <v>NO</v>
      </c>
      <c r="AT126" s="22" t="str">
        <f>IFERROR(('Activity data'!#REF!*(1/Constants!$H$112))*ttokg*FSOMEF*NtoN2O*kgtoGg,"NO")</f>
        <v>NO</v>
      </c>
      <c r="AU126" s="22" t="str">
        <f>IFERROR(('Activity data'!#REF!*(1/Constants!$H$112))*ttokg*FSOMEF*NtoN2O*kgtoGg,"NO")</f>
        <v>NO</v>
      </c>
      <c r="AV126" s="22" t="str">
        <f>IFERROR(('Activity data'!#REF!*(1/Constants!$H$112))*ttokg*FSOMEF*NtoN2O*kgtoGg,"NO")</f>
        <v>NO</v>
      </c>
      <c r="AW126" s="22" t="str">
        <f>IFERROR(('Activity data'!#REF!*(1/Constants!$H$112))*ttokg*FSOMEF*NtoN2O*kgtoGg,"NO")</f>
        <v>NO</v>
      </c>
      <c r="AX126" s="22" t="str">
        <f>IFERROR(('Activity data'!#REF!*(1/Constants!$H$112))*ttokg*FSOMEF*NtoN2O*kgtoGg,"NO")</f>
        <v>NO</v>
      </c>
      <c r="AY126" s="22" t="str">
        <f>IFERROR(('Activity data'!#REF!*(1/Constants!$H$112))*ttokg*FSOMEF*NtoN2O*kgtoGg,"NO")</f>
        <v>NO</v>
      </c>
      <c r="AZ126" s="22" t="str">
        <f>IFERROR(('Activity data'!#REF!*(1/Constants!$H$112))*ttokg*FSOMEF*NtoN2O*kgtoGg,"NO")</f>
        <v>NO</v>
      </c>
      <c r="BA126" s="22" t="str">
        <f>IFERROR(('Activity data'!#REF!*(1/Constants!$H$112))*ttokg*FSOMEF*NtoN2O*kgtoGg,"NO")</f>
        <v>NO</v>
      </c>
      <c r="BB126" s="22" t="str">
        <f>IFERROR(('Activity data'!#REF!*(1/Constants!$H$112))*ttokg*FSOMEF*NtoN2O*kgtoGg,"NO")</f>
        <v>NO</v>
      </c>
      <c r="BC126" s="22" t="str">
        <f>IFERROR(('Activity data'!#REF!*(1/Constants!$H$112))*ttokg*FSOMEF*NtoN2O*kgtoGg,"NO")</f>
        <v>NO</v>
      </c>
      <c r="BD126" s="22" t="str">
        <f>IFERROR(('Activity data'!#REF!*(1/Constants!$H$112))*ttokg*FSOMEF*NtoN2O*kgtoGg,"NO")</f>
        <v>NO</v>
      </c>
      <c r="BE126" s="22" t="str">
        <f>IFERROR(('Activity data'!#REF!*(1/Constants!$H$112))*ttokg*FSOMEF*NtoN2O*kgtoGg,"NO")</f>
        <v>NO</v>
      </c>
      <c r="BF126" s="22" t="str">
        <f>IFERROR(('Activity data'!#REF!*(1/Constants!$H$112))*ttokg*FSOMEF*NtoN2O*kgtoGg,"NO")</f>
        <v>NO</v>
      </c>
      <c r="BG126" s="22" t="str">
        <f>IFERROR(('Activity data'!#REF!*(1/Constants!$H$112))*ttokg*FSOMEF*NtoN2O*kgtoGg,"NO")</f>
        <v>NO</v>
      </c>
      <c r="BH126" s="22" t="str">
        <f>IFERROR(('Activity data'!#REF!*(1/Constants!$H$112))*ttokg*FSOMEF*NtoN2O*kgtoGg,"NO")</f>
        <v>NO</v>
      </c>
      <c r="BI126" s="22" t="str">
        <f>IFERROR(('Activity data'!#REF!*(1/Constants!$H$112))*ttokg*FSOMEF*NtoN2O*kgtoGg,"NO")</f>
        <v>NO</v>
      </c>
      <c r="BJ126" s="22" t="str">
        <f>IFERROR(('Activity data'!#REF!*(1/Constants!$H$112))*ttokg*FSOMEF*NtoN2O*kgtoGg,"NO")</f>
        <v>NO</v>
      </c>
      <c r="BK126" s="22" t="str">
        <f>IFERROR(('Activity data'!#REF!*(1/Constants!$H$112))*ttokg*FSOMEF*NtoN2O*kgtoGg,"NO")</f>
        <v>NO</v>
      </c>
      <c r="BL126" s="22" t="str">
        <f>IFERROR(('Activity data'!#REF!*(1/Constants!$H$112))*ttokg*FSOMEF*NtoN2O*kgtoGg,"NO")</f>
        <v>NO</v>
      </c>
      <c r="BM126" s="22" t="str">
        <f>IFERROR(('Activity data'!#REF!*(1/Constants!$H$112))*ttokg*FSOMEF*NtoN2O*kgtoGg,"NO")</f>
        <v>NO</v>
      </c>
      <c r="BN126" s="22" t="str">
        <f>IFERROR(('Activity data'!#REF!*(1/Constants!$H$112))*ttokg*FSOMEF*NtoN2O*kgtoGg,"NO")</f>
        <v>NO</v>
      </c>
      <c r="BO126" s="22" t="str">
        <f>IFERROR(('Activity data'!#REF!*(1/Constants!$H$112))*ttokg*FSOMEF*NtoN2O*kgtoGg,"NO")</f>
        <v>NO</v>
      </c>
      <c r="BP126" s="22" t="str">
        <f>IFERROR(('Activity data'!#REF!*(1/Constants!$H$112))*ttokg*FSOMEF*NtoN2O*kgtoGg,"NO")</f>
        <v>NO</v>
      </c>
    </row>
    <row r="127" spans="1:68" x14ac:dyDescent="0.25">
      <c r="A127" t="str">
        <f t="shared" si="39"/>
        <v>3C Aggregated and non-CO2 emissions on land</v>
      </c>
      <c r="B127" t="str">
        <f t="shared" si="31"/>
        <v>3C4 Direct N2O from managed soils (N2O)</v>
      </c>
      <c r="C127" t="s">
        <v>60</v>
      </c>
      <c r="D127" t="str">
        <f>" - "&amp;'Activity data'!D91</f>
        <v xml:space="preserve"> - Grassland remaining grassland</v>
      </c>
      <c r="E127" t="str">
        <f t="shared" si="40"/>
        <v>FSOM - Grassland remaining grassland</v>
      </c>
      <c r="G127" t="str">
        <f t="shared" si="37"/>
        <v>Gg N2O</v>
      </c>
      <c r="H127" s="22" t="str">
        <f>IFERROR(('Activity data'!H91*(1/Constants!$H$112))*ttokg*FSOMEF*NtoN2O*kgtoGg,"NO")</f>
        <v>NO</v>
      </c>
      <c r="I127" s="22" t="str">
        <f>IFERROR(('Activity data'!#REF!*(1/Constants!$H$112))*ttokg*FSOMEF*NtoN2O*kgtoGg,"NO")</f>
        <v>NO</v>
      </c>
      <c r="J127" s="22" t="str">
        <f>IFERROR(('Activity data'!#REF!*(1/Constants!$H$112))*ttokg*FSOMEF*NtoN2O*kgtoGg,"NO")</f>
        <v>NO</v>
      </c>
      <c r="K127" s="22" t="str">
        <f>IFERROR(('Activity data'!#REF!*(1/Constants!$H$112))*ttokg*FSOMEF*NtoN2O*kgtoGg,"NO")</f>
        <v>NO</v>
      </c>
      <c r="L127" s="22" t="str">
        <f>IFERROR(('Activity data'!#REF!*(1/Constants!$H$112))*ttokg*FSOMEF*NtoN2O*kgtoGg,"NO")</f>
        <v>NO</v>
      </c>
      <c r="M127" s="22" t="str">
        <f>IFERROR(('Activity data'!#REF!*(1/Constants!$H$112))*ttokg*FSOMEF*NtoN2O*kgtoGg,"NO")</f>
        <v>NO</v>
      </c>
      <c r="N127" s="22" t="str">
        <f>IFERROR(('Activity data'!#REF!*(1/Constants!$H$112))*ttokg*FSOMEF*NtoN2O*kgtoGg,"NO")</f>
        <v>NO</v>
      </c>
      <c r="O127" s="22" t="str">
        <f>IFERROR(('Activity data'!#REF!*(1/Constants!$H$112))*ttokg*FSOMEF*NtoN2O*kgtoGg,"NO")</f>
        <v>NO</v>
      </c>
      <c r="P127" s="22" t="str">
        <f>IFERROR(('Activity data'!#REF!*(1/Constants!$H$112))*ttokg*FSOMEF*NtoN2O*kgtoGg,"NO")</f>
        <v>NO</v>
      </c>
      <c r="Q127" s="22" t="str">
        <f>IFERROR(('Activity data'!#REF!*(1/Constants!$H$112))*ttokg*FSOMEF*NtoN2O*kgtoGg,"NO")</f>
        <v>NO</v>
      </c>
      <c r="R127" s="22" t="str">
        <f>IFERROR(('Activity data'!#REF!*(1/Constants!$H$112))*ttokg*FSOMEF*NtoN2O*kgtoGg,"NO")</f>
        <v>NO</v>
      </c>
      <c r="S127" s="22" t="str">
        <f>IFERROR(('Activity data'!#REF!*(1/Constants!$H$112))*ttokg*FSOMEF*NtoN2O*kgtoGg,"NO")</f>
        <v>NO</v>
      </c>
      <c r="T127" s="22" t="str">
        <f>IFERROR(('Activity data'!#REF!*(1/Constants!$H$112))*ttokg*FSOMEF*NtoN2O*kgtoGg,"NO")</f>
        <v>NO</v>
      </c>
      <c r="U127" s="22" t="str">
        <f>IFERROR(('Activity data'!#REF!*(1/Constants!$H$112))*ttokg*FSOMEF*NtoN2O*kgtoGg,"NO")</f>
        <v>NO</v>
      </c>
      <c r="V127" s="22" t="str">
        <f>IFERROR(('Activity data'!#REF!*(1/Constants!$H$112))*ttokg*FSOMEF*NtoN2O*kgtoGg,"NO")</f>
        <v>NO</v>
      </c>
      <c r="W127" s="22" t="str">
        <f>IFERROR(('Activity data'!#REF!*(1/Constants!$H$112))*ttokg*FSOMEF*NtoN2O*kgtoGg,"NO")</f>
        <v>NO</v>
      </c>
      <c r="X127" s="22" t="str">
        <f>IFERROR(('Activity data'!#REF!*(1/Constants!$H$112))*ttokg*FSOMEF*NtoN2O*kgtoGg,"NO")</f>
        <v>NO</v>
      </c>
      <c r="Y127" s="22" t="str">
        <f>IFERROR(('Activity data'!#REF!*(1/Constants!$H$112))*ttokg*FSOMEF*NtoN2O*kgtoGg,"NO")</f>
        <v>NO</v>
      </c>
      <c r="Z127" s="22" t="str">
        <f>IFERROR(('Activity data'!#REF!*(1/Constants!$H$112))*ttokg*FSOMEF*NtoN2O*kgtoGg,"NO")</f>
        <v>NO</v>
      </c>
      <c r="AA127" s="22" t="str">
        <f>IFERROR(('Activity data'!#REF!*(1/Constants!$H$112))*ttokg*FSOMEF*NtoN2O*kgtoGg,"NO")</f>
        <v>NO</v>
      </c>
      <c r="AB127" s="22" t="str">
        <f>IFERROR(('Activity data'!#REF!*(1/Constants!$H$112))*ttokg*FSOMEF*NtoN2O*kgtoGg,"NO")</f>
        <v>NO</v>
      </c>
      <c r="AC127" s="22" t="str">
        <f>IFERROR(('Activity data'!#REF!*(1/Constants!$H$112))*ttokg*FSOMEF*NtoN2O*kgtoGg,"NO")</f>
        <v>NO</v>
      </c>
      <c r="AD127" s="22" t="str">
        <f>IFERROR(('Activity data'!#REF!*(1/Constants!$H$112))*ttokg*FSOMEF*NtoN2O*kgtoGg,"NO")</f>
        <v>NO</v>
      </c>
      <c r="AE127" s="22" t="str">
        <f>IFERROR(('Activity data'!#REF!*(1/Constants!$H$112))*ttokg*FSOMEF*NtoN2O*kgtoGg,"NO")</f>
        <v>NO</v>
      </c>
      <c r="AF127" s="22" t="str">
        <f>IFERROR(('Activity data'!#REF!*(1/Constants!$H$112))*ttokg*FSOMEF*NtoN2O*kgtoGg,"NO")</f>
        <v>NO</v>
      </c>
      <c r="AG127" s="22" t="str">
        <f>IFERROR(('Activity data'!#REF!*(1/Constants!$H$112))*ttokg*FSOMEF*NtoN2O*kgtoGg,"NO")</f>
        <v>NO</v>
      </c>
      <c r="AH127" s="22" t="str">
        <f>IFERROR(('Activity data'!#REF!*(1/Constants!$H$112))*ttokg*FSOMEF*NtoN2O*kgtoGg,"NO")</f>
        <v>NO</v>
      </c>
      <c r="AI127" s="22" t="str">
        <f>IFERROR(('Activity data'!#REF!*(1/Constants!$H$112))*ttokg*FSOMEF*NtoN2O*kgtoGg,"NO")</f>
        <v>NO</v>
      </c>
      <c r="AJ127" s="22" t="str">
        <f>IFERROR(('Activity data'!#REF!*(1/Constants!$H$112))*ttokg*FSOMEF*NtoN2O*kgtoGg,"NO")</f>
        <v>NO</v>
      </c>
      <c r="AK127" s="22" t="str">
        <f>IFERROR(('Activity data'!#REF!*(1/Constants!$H$112))*ttokg*FSOMEF*NtoN2O*kgtoGg,"NO")</f>
        <v>NO</v>
      </c>
      <c r="AL127" s="22" t="str">
        <f>IFERROR(('Activity data'!#REF!*(1/Constants!$H$112))*ttokg*FSOMEF*NtoN2O*kgtoGg,"NO")</f>
        <v>NO</v>
      </c>
      <c r="AM127" s="22" t="str">
        <f>IFERROR(('Activity data'!#REF!*(1/Constants!$H$112))*ttokg*FSOMEF*NtoN2O*kgtoGg,"NO")</f>
        <v>NO</v>
      </c>
      <c r="AN127" s="22" t="str">
        <f>IFERROR(('Activity data'!#REF!*(1/Constants!$H$112))*ttokg*FSOMEF*NtoN2O*kgtoGg,"NO")</f>
        <v>NO</v>
      </c>
      <c r="AO127" s="22" t="str">
        <f>IFERROR(('Activity data'!#REF!*(1/Constants!$H$112))*ttokg*FSOMEF*NtoN2O*kgtoGg,"NO")</f>
        <v>NO</v>
      </c>
      <c r="AP127" s="22" t="str">
        <f>IFERROR(('Activity data'!#REF!*(1/Constants!$H$112))*ttokg*FSOMEF*NtoN2O*kgtoGg,"NO")</f>
        <v>NO</v>
      </c>
      <c r="AQ127" s="22" t="str">
        <f>IFERROR(('Activity data'!#REF!*(1/Constants!$H$112))*ttokg*FSOMEF*NtoN2O*kgtoGg,"NO")</f>
        <v>NO</v>
      </c>
      <c r="AR127" s="22" t="str">
        <f>IFERROR(('Activity data'!#REF!*(1/Constants!$H$112))*ttokg*FSOMEF*NtoN2O*kgtoGg,"NO")</f>
        <v>NO</v>
      </c>
      <c r="AS127" s="22" t="str">
        <f>IFERROR(('Activity data'!#REF!*(1/Constants!$H$112))*ttokg*FSOMEF*NtoN2O*kgtoGg,"NO")</f>
        <v>NO</v>
      </c>
      <c r="AT127" s="22" t="str">
        <f>IFERROR(('Activity data'!#REF!*(1/Constants!$H$112))*ttokg*FSOMEF*NtoN2O*kgtoGg,"NO")</f>
        <v>NO</v>
      </c>
      <c r="AU127" s="22" t="str">
        <f>IFERROR(('Activity data'!#REF!*(1/Constants!$H$112))*ttokg*FSOMEF*NtoN2O*kgtoGg,"NO")</f>
        <v>NO</v>
      </c>
      <c r="AV127" s="22" t="str">
        <f>IFERROR(('Activity data'!#REF!*(1/Constants!$H$112))*ttokg*FSOMEF*NtoN2O*kgtoGg,"NO")</f>
        <v>NO</v>
      </c>
      <c r="AW127" s="22" t="str">
        <f>IFERROR(('Activity data'!#REF!*(1/Constants!$H$112))*ttokg*FSOMEF*NtoN2O*kgtoGg,"NO")</f>
        <v>NO</v>
      </c>
      <c r="AX127" s="22" t="str">
        <f>IFERROR(('Activity data'!#REF!*(1/Constants!$H$112))*ttokg*FSOMEF*NtoN2O*kgtoGg,"NO")</f>
        <v>NO</v>
      </c>
      <c r="AY127" s="22" t="str">
        <f>IFERROR(('Activity data'!#REF!*(1/Constants!$H$112))*ttokg*FSOMEF*NtoN2O*kgtoGg,"NO")</f>
        <v>NO</v>
      </c>
      <c r="AZ127" s="22" t="str">
        <f>IFERROR(('Activity data'!#REF!*(1/Constants!$H$112))*ttokg*FSOMEF*NtoN2O*kgtoGg,"NO")</f>
        <v>NO</v>
      </c>
      <c r="BA127" s="22" t="str">
        <f>IFERROR(('Activity data'!#REF!*(1/Constants!$H$112))*ttokg*FSOMEF*NtoN2O*kgtoGg,"NO")</f>
        <v>NO</v>
      </c>
      <c r="BB127" s="22" t="str">
        <f>IFERROR(('Activity data'!#REF!*(1/Constants!$H$112))*ttokg*FSOMEF*NtoN2O*kgtoGg,"NO")</f>
        <v>NO</v>
      </c>
      <c r="BC127" s="22" t="str">
        <f>IFERROR(('Activity data'!#REF!*(1/Constants!$H$112))*ttokg*FSOMEF*NtoN2O*kgtoGg,"NO")</f>
        <v>NO</v>
      </c>
      <c r="BD127" s="22" t="str">
        <f>IFERROR(('Activity data'!#REF!*(1/Constants!$H$112))*ttokg*FSOMEF*NtoN2O*kgtoGg,"NO")</f>
        <v>NO</v>
      </c>
      <c r="BE127" s="22" t="str">
        <f>IFERROR(('Activity data'!#REF!*(1/Constants!$H$112))*ttokg*FSOMEF*NtoN2O*kgtoGg,"NO")</f>
        <v>NO</v>
      </c>
      <c r="BF127" s="22" t="str">
        <f>IFERROR(('Activity data'!#REF!*(1/Constants!$H$112))*ttokg*FSOMEF*NtoN2O*kgtoGg,"NO")</f>
        <v>NO</v>
      </c>
      <c r="BG127" s="22" t="str">
        <f>IFERROR(('Activity data'!#REF!*(1/Constants!$H$112))*ttokg*FSOMEF*NtoN2O*kgtoGg,"NO")</f>
        <v>NO</v>
      </c>
      <c r="BH127" s="22" t="str">
        <f>IFERROR(('Activity data'!#REF!*(1/Constants!$H$112))*ttokg*FSOMEF*NtoN2O*kgtoGg,"NO")</f>
        <v>NO</v>
      </c>
      <c r="BI127" s="22" t="str">
        <f>IFERROR(('Activity data'!#REF!*(1/Constants!$H$112))*ttokg*FSOMEF*NtoN2O*kgtoGg,"NO")</f>
        <v>NO</v>
      </c>
      <c r="BJ127" s="22" t="str">
        <f>IFERROR(('Activity data'!#REF!*(1/Constants!$H$112))*ttokg*FSOMEF*NtoN2O*kgtoGg,"NO")</f>
        <v>NO</v>
      </c>
      <c r="BK127" s="22" t="str">
        <f>IFERROR(('Activity data'!#REF!*(1/Constants!$H$112))*ttokg*FSOMEF*NtoN2O*kgtoGg,"NO")</f>
        <v>NO</v>
      </c>
      <c r="BL127" s="22" t="str">
        <f>IFERROR(('Activity data'!#REF!*(1/Constants!$H$112))*ttokg*FSOMEF*NtoN2O*kgtoGg,"NO")</f>
        <v>NO</v>
      </c>
      <c r="BM127" s="22" t="str">
        <f>IFERROR(('Activity data'!#REF!*(1/Constants!$H$112))*ttokg*FSOMEF*NtoN2O*kgtoGg,"NO")</f>
        <v>NO</v>
      </c>
      <c r="BN127" s="22" t="str">
        <f>IFERROR(('Activity data'!#REF!*(1/Constants!$H$112))*ttokg*FSOMEF*NtoN2O*kgtoGg,"NO")</f>
        <v>NO</v>
      </c>
      <c r="BO127" s="22" t="str">
        <f>IFERROR(('Activity data'!#REF!*(1/Constants!$H$112))*ttokg*FSOMEF*NtoN2O*kgtoGg,"NO")</f>
        <v>NO</v>
      </c>
      <c r="BP127" s="22" t="str">
        <f>IFERROR(('Activity data'!#REF!*(1/Constants!$H$112))*ttokg*FSOMEF*NtoN2O*kgtoGg,"NO")</f>
        <v>NO</v>
      </c>
    </row>
    <row r="128" spans="1:68" x14ac:dyDescent="0.25">
      <c r="A128" t="str">
        <f t="shared" si="39"/>
        <v>3C Aggregated and non-CO2 emissions on land</v>
      </c>
      <c r="B128" t="str">
        <f t="shared" si="31"/>
        <v>3C4 Direct N2O from managed soils (N2O)</v>
      </c>
      <c r="C128" t="s">
        <v>60</v>
      </c>
      <c r="D128" t="str">
        <f>" - "&amp;'Activity data'!D92</f>
        <v xml:space="preserve"> - Land converted to grassland</v>
      </c>
      <c r="E128" t="str">
        <f t="shared" si="40"/>
        <v>FSOM - Land converted to grassland</v>
      </c>
      <c r="G128" t="str">
        <f t="shared" si="37"/>
        <v>Gg N2O</v>
      </c>
      <c r="H128" s="22">
        <f>IFERROR(('Activity data'!H92*(1/Constants!$H$112))*ttokg*FSOMEF*NtoN2O*kgtoGg,"NO")</f>
        <v>0</v>
      </c>
      <c r="I128" s="22" t="str">
        <f>IFERROR(('Activity data'!#REF!*(1/Constants!$H$112))*ttokg*FSOMEF*NtoN2O*kgtoGg,"NO")</f>
        <v>NO</v>
      </c>
      <c r="J128" s="22" t="str">
        <f>IFERROR(('Activity data'!#REF!*(1/Constants!$H$112))*ttokg*FSOMEF*NtoN2O*kgtoGg,"NO")</f>
        <v>NO</v>
      </c>
      <c r="K128" s="22" t="str">
        <f>IFERROR(('Activity data'!#REF!*(1/Constants!$H$112))*ttokg*FSOMEF*NtoN2O*kgtoGg,"NO")</f>
        <v>NO</v>
      </c>
      <c r="L128" s="22" t="str">
        <f>IFERROR(('Activity data'!#REF!*(1/Constants!$H$112))*ttokg*FSOMEF*NtoN2O*kgtoGg,"NO")</f>
        <v>NO</v>
      </c>
      <c r="M128" s="22" t="str">
        <f>IFERROR(('Activity data'!#REF!*(1/Constants!$H$112))*ttokg*FSOMEF*NtoN2O*kgtoGg,"NO")</f>
        <v>NO</v>
      </c>
      <c r="N128" s="22" t="str">
        <f>IFERROR(('Activity data'!#REF!*(1/Constants!$H$112))*ttokg*FSOMEF*NtoN2O*kgtoGg,"NO")</f>
        <v>NO</v>
      </c>
      <c r="O128" s="22" t="str">
        <f>IFERROR(('Activity data'!#REF!*(1/Constants!$H$112))*ttokg*FSOMEF*NtoN2O*kgtoGg,"NO")</f>
        <v>NO</v>
      </c>
      <c r="P128" s="22" t="str">
        <f>IFERROR(('Activity data'!#REF!*(1/Constants!$H$112))*ttokg*FSOMEF*NtoN2O*kgtoGg,"NO")</f>
        <v>NO</v>
      </c>
      <c r="Q128" s="22" t="str">
        <f>IFERROR(('Activity data'!#REF!*(1/Constants!$H$112))*ttokg*FSOMEF*NtoN2O*kgtoGg,"NO")</f>
        <v>NO</v>
      </c>
      <c r="R128" s="22" t="str">
        <f>IFERROR(('Activity data'!#REF!*(1/Constants!$H$112))*ttokg*FSOMEF*NtoN2O*kgtoGg,"NO")</f>
        <v>NO</v>
      </c>
      <c r="S128" s="22" t="str">
        <f>IFERROR(('Activity data'!#REF!*(1/Constants!$H$112))*ttokg*FSOMEF*NtoN2O*kgtoGg,"NO")</f>
        <v>NO</v>
      </c>
      <c r="T128" s="22" t="str">
        <f>IFERROR(('Activity data'!#REF!*(1/Constants!$H$112))*ttokg*FSOMEF*NtoN2O*kgtoGg,"NO")</f>
        <v>NO</v>
      </c>
      <c r="U128" s="22" t="str">
        <f>IFERROR(('Activity data'!#REF!*(1/Constants!$H$112))*ttokg*FSOMEF*NtoN2O*kgtoGg,"NO")</f>
        <v>NO</v>
      </c>
      <c r="V128" s="22" t="str">
        <f>IFERROR(('Activity data'!#REF!*(1/Constants!$H$112))*ttokg*FSOMEF*NtoN2O*kgtoGg,"NO")</f>
        <v>NO</v>
      </c>
      <c r="W128" s="22" t="str">
        <f>IFERROR(('Activity data'!#REF!*(1/Constants!$H$112))*ttokg*FSOMEF*NtoN2O*kgtoGg,"NO")</f>
        <v>NO</v>
      </c>
      <c r="X128" s="22" t="str">
        <f>IFERROR(('Activity data'!#REF!*(1/Constants!$H$112))*ttokg*FSOMEF*NtoN2O*kgtoGg,"NO")</f>
        <v>NO</v>
      </c>
      <c r="Y128" s="22" t="str">
        <f>IFERROR(('Activity data'!#REF!*(1/Constants!$H$112))*ttokg*FSOMEF*NtoN2O*kgtoGg,"NO")</f>
        <v>NO</v>
      </c>
      <c r="Z128" s="22" t="str">
        <f>IFERROR(('Activity data'!#REF!*(1/Constants!$H$112))*ttokg*FSOMEF*NtoN2O*kgtoGg,"NO")</f>
        <v>NO</v>
      </c>
      <c r="AA128" s="22" t="str">
        <f>IFERROR(('Activity data'!#REF!*(1/Constants!$H$112))*ttokg*FSOMEF*NtoN2O*kgtoGg,"NO")</f>
        <v>NO</v>
      </c>
      <c r="AB128" s="22" t="str">
        <f>IFERROR(('Activity data'!#REF!*(1/Constants!$H$112))*ttokg*FSOMEF*NtoN2O*kgtoGg,"NO")</f>
        <v>NO</v>
      </c>
      <c r="AC128" s="22" t="str">
        <f>IFERROR(('Activity data'!#REF!*(1/Constants!$H$112))*ttokg*FSOMEF*NtoN2O*kgtoGg,"NO")</f>
        <v>NO</v>
      </c>
      <c r="AD128" s="22" t="str">
        <f>IFERROR(('Activity data'!#REF!*(1/Constants!$H$112))*ttokg*FSOMEF*NtoN2O*kgtoGg,"NO")</f>
        <v>NO</v>
      </c>
      <c r="AE128" s="22" t="str">
        <f>IFERROR(('Activity data'!#REF!*(1/Constants!$H$112))*ttokg*FSOMEF*NtoN2O*kgtoGg,"NO")</f>
        <v>NO</v>
      </c>
      <c r="AF128" s="22" t="str">
        <f>IFERROR(('Activity data'!#REF!*(1/Constants!$H$112))*ttokg*FSOMEF*NtoN2O*kgtoGg,"NO")</f>
        <v>NO</v>
      </c>
      <c r="AG128" s="22" t="str">
        <f>IFERROR(('Activity data'!#REF!*(1/Constants!$H$112))*ttokg*FSOMEF*NtoN2O*kgtoGg,"NO")</f>
        <v>NO</v>
      </c>
      <c r="AH128" s="22" t="str">
        <f>IFERROR(('Activity data'!#REF!*(1/Constants!$H$112))*ttokg*FSOMEF*NtoN2O*kgtoGg,"NO")</f>
        <v>NO</v>
      </c>
      <c r="AI128" s="22" t="str">
        <f>IFERROR(('Activity data'!#REF!*(1/Constants!$H$112))*ttokg*FSOMEF*NtoN2O*kgtoGg,"NO")</f>
        <v>NO</v>
      </c>
      <c r="AJ128" s="22" t="str">
        <f>IFERROR(('Activity data'!#REF!*(1/Constants!$H$112))*ttokg*FSOMEF*NtoN2O*kgtoGg,"NO")</f>
        <v>NO</v>
      </c>
      <c r="AK128" s="22" t="str">
        <f>IFERROR(('Activity data'!#REF!*(1/Constants!$H$112))*ttokg*FSOMEF*NtoN2O*kgtoGg,"NO")</f>
        <v>NO</v>
      </c>
      <c r="AL128" s="22" t="str">
        <f>IFERROR(('Activity data'!#REF!*(1/Constants!$H$112))*ttokg*FSOMEF*NtoN2O*kgtoGg,"NO")</f>
        <v>NO</v>
      </c>
      <c r="AM128" s="22" t="str">
        <f>IFERROR(('Activity data'!#REF!*(1/Constants!$H$112))*ttokg*FSOMEF*NtoN2O*kgtoGg,"NO")</f>
        <v>NO</v>
      </c>
      <c r="AN128" s="22" t="str">
        <f>IFERROR(('Activity data'!#REF!*(1/Constants!$H$112))*ttokg*FSOMEF*NtoN2O*kgtoGg,"NO")</f>
        <v>NO</v>
      </c>
      <c r="AO128" s="22" t="str">
        <f>IFERROR(('Activity data'!#REF!*(1/Constants!$H$112))*ttokg*FSOMEF*NtoN2O*kgtoGg,"NO")</f>
        <v>NO</v>
      </c>
      <c r="AP128" s="22" t="str">
        <f>IFERROR(('Activity data'!#REF!*(1/Constants!$H$112))*ttokg*FSOMEF*NtoN2O*kgtoGg,"NO")</f>
        <v>NO</v>
      </c>
      <c r="AQ128" s="22" t="str">
        <f>IFERROR(('Activity data'!#REF!*(1/Constants!$H$112))*ttokg*FSOMEF*NtoN2O*kgtoGg,"NO")</f>
        <v>NO</v>
      </c>
      <c r="AR128" s="22" t="str">
        <f>IFERROR(('Activity data'!#REF!*(1/Constants!$H$112))*ttokg*FSOMEF*NtoN2O*kgtoGg,"NO")</f>
        <v>NO</v>
      </c>
      <c r="AS128" s="22" t="str">
        <f>IFERROR(('Activity data'!#REF!*(1/Constants!$H$112))*ttokg*FSOMEF*NtoN2O*kgtoGg,"NO")</f>
        <v>NO</v>
      </c>
      <c r="AT128" s="22" t="str">
        <f>IFERROR(('Activity data'!#REF!*(1/Constants!$H$112))*ttokg*FSOMEF*NtoN2O*kgtoGg,"NO")</f>
        <v>NO</v>
      </c>
      <c r="AU128" s="22" t="str">
        <f>IFERROR(('Activity data'!#REF!*(1/Constants!$H$112))*ttokg*FSOMEF*NtoN2O*kgtoGg,"NO")</f>
        <v>NO</v>
      </c>
      <c r="AV128" s="22" t="str">
        <f>IFERROR(('Activity data'!#REF!*(1/Constants!$H$112))*ttokg*FSOMEF*NtoN2O*kgtoGg,"NO")</f>
        <v>NO</v>
      </c>
      <c r="AW128" s="22" t="str">
        <f>IFERROR(('Activity data'!#REF!*(1/Constants!$H$112))*ttokg*FSOMEF*NtoN2O*kgtoGg,"NO")</f>
        <v>NO</v>
      </c>
      <c r="AX128" s="22" t="str">
        <f>IFERROR(('Activity data'!#REF!*(1/Constants!$H$112))*ttokg*FSOMEF*NtoN2O*kgtoGg,"NO")</f>
        <v>NO</v>
      </c>
      <c r="AY128" s="22" t="str">
        <f>IFERROR(('Activity data'!#REF!*(1/Constants!$H$112))*ttokg*FSOMEF*NtoN2O*kgtoGg,"NO")</f>
        <v>NO</v>
      </c>
      <c r="AZ128" s="22" t="str">
        <f>IFERROR(('Activity data'!#REF!*(1/Constants!$H$112))*ttokg*FSOMEF*NtoN2O*kgtoGg,"NO")</f>
        <v>NO</v>
      </c>
      <c r="BA128" s="22" t="str">
        <f>IFERROR(('Activity data'!#REF!*(1/Constants!$H$112))*ttokg*FSOMEF*NtoN2O*kgtoGg,"NO")</f>
        <v>NO</v>
      </c>
      <c r="BB128" s="22" t="str">
        <f>IFERROR(('Activity data'!#REF!*(1/Constants!$H$112))*ttokg*FSOMEF*NtoN2O*kgtoGg,"NO")</f>
        <v>NO</v>
      </c>
      <c r="BC128" s="22" t="str">
        <f>IFERROR(('Activity data'!#REF!*(1/Constants!$H$112))*ttokg*FSOMEF*NtoN2O*kgtoGg,"NO")</f>
        <v>NO</v>
      </c>
      <c r="BD128" s="22" t="str">
        <f>IFERROR(('Activity data'!#REF!*(1/Constants!$H$112))*ttokg*FSOMEF*NtoN2O*kgtoGg,"NO")</f>
        <v>NO</v>
      </c>
      <c r="BE128" s="22" t="str">
        <f>IFERROR(('Activity data'!#REF!*(1/Constants!$H$112))*ttokg*FSOMEF*NtoN2O*kgtoGg,"NO")</f>
        <v>NO</v>
      </c>
      <c r="BF128" s="22" t="str">
        <f>IFERROR(('Activity data'!#REF!*(1/Constants!$H$112))*ttokg*FSOMEF*NtoN2O*kgtoGg,"NO")</f>
        <v>NO</v>
      </c>
      <c r="BG128" s="22" t="str">
        <f>IFERROR(('Activity data'!#REF!*(1/Constants!$H$112))*ttokg*FSOMEF*NtoN2O*kgtoGg,"NO")</f>
        <v>NO</v>
      </c>
      <c r="BH128" s="22" t="str">
        <f>IFERROR(('Activity data'!#REF!*(1/Constants!$H$112))*ttokg*FSOMEF*NtoN2O*kgtoGg,"NO")</f>
        <v>NO</v>
      </c>
      <c r="BI128" s="22" t="str">
        <f>IFERROR(('Activity data'!#REF!*(1/Constants!$H$112))*ttokg*FSOMEF*NtoN2O*kgtoGg,"NO")</f>
        <v>NO</v>
      </c>
      <c r="BJ128" s="22" t="str">
        <f>IFERROR(('Activity data'!#REF!*(1/Constants!$H$112))*ttokg*FSOMEF*NtoN2O*kgtoGg,"NO")</f>
        <v>NO</v>
      </c>
      <c r="BK128" s="22" t="str">
        <f>IFERROR(('Activity data'!#REF!*(1/Constants!$H$112))*ttokg*FSOMEF*NtoN2O*kgtoGg,"NO")</f>
        <v>NO</v>
      </c>
      <c r="BL128" s="22" t="str">
        <f>IFERROR(('Activity data'!#REF!*(1/Constants!$H$112))*ttokg*FSOMEF*NtoN2O*kgtoGg,"NO")</f>
        <v>NO</v>
      </c>
      <c r="BM128" s="22" t="str">
        <f>IFERROR(('Activity data'!#REF!*(1/Constants!$H$112))*ttokg*FSOMEF*NtoN2O*kgtoGg,"NO")</f>
        <v>NO</v>
      </c>
      <c r="BN128" s="22" t="str">
        <f>IFERROR(('Activity data'!#REF!*(1/Constants!$H$112))*ttokg*FSOMEF*NtoN2O*kgtoGg,"NO")</f>
        <v>NO</v>
      </c>
      <c r="BO128" s="22" t="str">
        <f>IFERROR(('Activity data'!#REF!*(1/Constants!$H$112))*ttokg*FSOMEF*NtoN2O*kgtoGg,"NO")</f>
        <v>NO</v>
      </c>
      <c r="BP128" s="22" t="str">
        <f>IFERROR(('Activity data'!#REF!*(1/Constants!$H$112))*ttokg*FSOMEF*NtoN2O*kgtoGg,"NO")</f>
        <v>NO</v>
      </c>
    </row>
    <row r="129" spans="1:68" x14ac:dyDescent="0.25">
      <c r="A129" t="str">
        <f t="shared" si="39"/>
        <v>3C Aggregated and non-CO2 emissions on land</v>
      </c>
      <c r="B129" t="str">
        <f t="shared" si="31"/>
        <v>3C4 Direct N2O from managed soils (N2O)</v>
      </c>
      <c r="C129" t="s">
        <v>60</v>
      </c>
      <c r="D129" t="str">
        <f>" - "&amp;'Activity data'!D89</f>
        <v xml:space="preserve"> - Cropland remaining cropland</v>
      </c>
      <c r="E129" t="str">
        <f t="shared" si="32"/>
        <v>FSOM - Cropland remaining cropland</v>
      </c>
      <c r="G129" t="str">
        <f t="shared" si="37"/>
        <v>Gg N2O</v>
      </c>
      <c r="H129" s="22" t="str">
        <f>IFERROR(('Activity data'!H93*(1/Constants!$H$112))*ttokg*FSOMEF*NtoN2O*kgtoGg,"NO")</f>
        <v>NO</v>
      </c>
      <c r="I129" s="22" t="str">
        <f>IFERROR(('Activity data'!I89*(1/Constants!$H$111))*ttokg*FSOMEF*NtoN2O*kgtoGg,"NO")</f>
        <v>NO</v>
      </c>
      <c r="J129" s="22" t="str">
        <f>IFERROR(('Activity data'!J89*(1/Constants!$H$111))*ttokg*FSOMEF*NtoN2O*kgtoGg,"NO")</f>
        <v>NO</v>
      </c>
      <c r="K129" s="22" t="str">
        <f>IFERROR(('Activity data'!K89*(1/Constants!$H$111))*ttokg*FSOMEF*NtoN2O*kgtoGg,"NO")</f>
        <v>NO</v>
      </c>
      <c r="L129" s="22" t="str">
        <f>IFERROR(('Activity data'!L89*(1/Constants!$H$111))*ttokg*FSOMEF*NtoN2O*kgtoGg,"NO")</f>
        <v>NO</v>
      </c>
      <c r="M129" s="22" t="str">
        <f>IFERROR(('Activity data'!M89*(1/Constants!$H$111))*ttokg*FSOMEF*NtoN2O*kgtoGg,"NO")</f>
        <v>NO</v>
      </c>
      <c r="N129" s="22" t="str">
        <f>IFERROR(('Activity data'!N89*(1/Constants!$H$111))*ttokg*FSOMEF*NtoN2O*kgtoGg,"NO")</f>
        <v>NO</v>
      </c>
      <c r="O129" s="22" t="str">
        <f>IFERROR(('Activity data'!O89*(1/Constants!$H$111))*ttokg*FSOMEF*NtoN2O*kgtoGg,"NO")</f>
        <v>NO</v>
      </c>
      <c r="P129" s="22" t="str">
        <f>IFERROR(('Activity data'!P89*(1/Constants!$H$111))*ttokg*FSOMEF*NtoN2O*kgtoGg,"NO")</f>
        <v>NO</v>
      </c>
      <c r="Q129" s="22" t="str">
        <f>IFERROR(('Activity data'!Q89*(1/Constants!$H$111))*ttokg*FSOMEF*NtoN2O*kgtoGg,"NO")</f>
        <v>NO</v>
      </c>
      <c r="R129" s="22" t="str">
        <f>IFERROR(('Activity data'!R89*(1/Constants!$H$111))*ttokg*FSOMEF*NtoN2O*kgtoGg,"NO")</f>
        <v>NO</v>
      </c>
      <c r="S129" s="22" t="str">
        <f>IFERROR(('Activity data'!S89*(1/Constants!$H$111))*ttokg*FSOMEF*NtoN2O*kgtoGg,"NO")</f>
        <v>NO</v>
      </c>
      <c r="T129" s="22" t="str">
        <f>IFERROR(('Activity data'!T89*(1/Constants!$H$111))*ttokg*FSOMEF*NtoN2O*kgtoGg,"NO")</f>
        <v>NO</v>
      </c>
      <c r="U129" s="22" t="str">
        <f>IFERROR(('Activity data'!U89*(1/Constants!$H$111))*ttokg*FSOMEF*NtoN2O*kgtoGg,"NO")</f>
        <v>NO</v>
      </c>
      <c r="V129" s="22" t="str">
        <f>IFERROR(('Activity data'!V89*(1/Constants!$H$111))*ttokg*FSOMEF*NtoN2O*kgtoGg,"NO")</f>
        <v>NO</v>
      </c>
      <c r="W129" s="22" t="str">
        <f>IFERROR(('Activity data'!W89*(1/Constants!$H$111))*ttokg*FSOMEF*NtoN2O*kgtoGg,"NO")</f>
        <v>NO</v>
      </c>
      <c r="X129" s="22" t="str">
        <f>IFERROR(('Activity data'!X89*(1/Constants!$H$111))*ttokg*FSOMEF*NtoN2O*kgtoGg,"NO")</f>
        <v>NO</v>
      </c>
      <c r="Y129" s="22" t="str">
        <f>IFERROR(('Activity data'!Y89*(1/Constants!$H$111))*ttokg*FSOMEF*NtoN2O*kgtoGg,"NO")</f>
        <v>NO</v>
      </c>
      <c r="Z129" s="22" t="str">
        <f>IFERROR(('Activity data'!Z89*(1/Constants!$H$111))*ttokg*FSOMEF*NtoN2O*kgtoGg,"NO")</f>
        <v>NO</v>
      </c>
      <c r="AA129" s="22" t="str">
        <f>IFERROR(('Activity data'!AA89*(1/Constants!$H$111))*ttokg*FSOMEF*NtoN2O*kgtoGg,"NO")</f>
        <v>NO</v>
      </c>
      <c r="AB129" s="22" t="str">
        <f>IFERROR(('Activity data'!AB89*(1/Constants!$H$111))*ttokg*FSOMEF*NtoN2O*kgtoGg,"NO")</f>
        <v>NO</v>
      </c>
      <c r="AC129" s="22" t="str">
        <f>IFERROR(('Activity data'!AC89*(1/Constants!$H$111))*ttokg*FSOMEF*NtoN2O*kgtoGg,"NO")</f>
        <v>NO</v>
      </c>
      <c r="AD129" s="22" t="str">
        <f>IFERROR(('Activity data'!AD89*(1/Constants!$H$111))*ttokg*FSOMEF*NtoN2O*kgtoGg,"NO")</f>
        <v>NO</v>
      </c>
      <c r="AE129" s="22" t="str">
        <f>IFERROR(('Activity data'!AE89*(1/Constants!$H$111))*ttokg*FSOMEF*NtoN2O*kgtoGg,"NO")</f>
        <v>NO</v>
      </c>
      <c r="AF129" s="22" t="str">
        <f>IFERROR(('Activity data'!AF89*(1/Constants!$H$111))*ttokg*FSOMEF*NtoN2O*kgtoGg,"NO")</f>
        <v>NO</v>
      </c>
      <c r="AG129" s="22" t="str">
        <f>IFERROR(('Activity data'!AG89*(1/Constants!$H$111))*ttokg*FSOMEF*NtoN2O*kgtoGg,"NO")</f>
        <v>NO</v>
      </c>
      <c r="AH129" s="22" t="str">
        <f>IFERROR(('Activity data'!AH89*(1/Constants!$H$111))*ttokg*FSOMEF*NtoN2O*kgtoGg,"NO")</f>
        <v>NO</v>
      </c>
      <c r="AI129" s="22" t="str">
        <f>IFERROR(('Activity data'!AI89*(1/Constants!$H$111))*ttokg*FSOMEF*NtoN2O*kgtoGg,"NO")</f>
        <v>NO</v>
      </c>
      <c r="AJ129" s="22" t="str">
        <f>IFERROR(('Activity data'!AJ89*(1/Constants!$H$111))*ttokg*FSOMEF*NtoN2O*kgtoGg,"NO")</f>
        <v>NO</v>
      </c>
      <c r="AK129" s="22" t="str">
        <f>IFERROR(('Activity data'!AK89*(1/Constants!$H$111))*ttokg*FSOMEF*NtoN2O*kgtoGg,"NO")</f>
        <v>NO</v>
      </c>
      <c r="AL129" s="22" t="str">
        <f>IFERROR(('Activity data'!AL89*(1/Constants!$H$111))*ttokg*FSOMEF*NtoN2O*kgtoGg,"NO")</f>
        <v>NO</v>
      </c>
      <c r="AM129" s="22" t="str">
        <f>IFERROR(('Activity data'!AM89*(1/Constants!$H$111))*ttokg*FSOMEF*NtoN2O*kgtoGg,"NO")</f>
        <v>NO</v>
      </c>
      <c r="AN129" s="22" t="str">
        <f>IFERROR(('Activity data'!AN89*(1/Constants!$H$111))*ttokg*FSOMEF*NtoN2O*kgtoGg,"NO")</f>
        <v>NO</v>
      </c>
      <c r="AO129" s="22" t="str">
        <f>IFERROR(('Activity data'!AO89*(1/Constants!$H$111))*ttokg*FSOMEF*NtoN2O*kgtoGg,"NO")</f>
        <v>NO</v>
      </c>
      <c r="AP129" s="22" t="str">
        <f>IFERROR(('Activity data'!AP89*(1/Constants!$H$111))*ttokg*FSOMEF*NtoN2O*kgtoGg,"NO")</f>
        <v>NO</v>
      </c>
      <c r="AQ129" s="22" t="str">
        <f>IFERROR(('Activity data'!AQ89*(1/Constants!$H$111))*ttokg*FSOMEF*NtoN2O*kgtoGg,"NO")</f>
        <v>NO</v>
      </c>
      <c r="AR129" s="22" t="str">
        <f>IFERROR(('Activity data'!AR89*(1/Constants!$H$111))*ttokg*FSOMEF*NtoN2O*kgtoGg,"NO")</f>
        <v>NO</v>
      </c>
      <c r="AS129" s="22" t="str">
        <f>IFERROR(('Activity data'!AS89*(1/Constants!$H$111))*ttokg*FSOMEF*NtoN2O*kgtoGg,"NO")</f>
        <v>NO</v>
      </c>
      <c r="AT129" s="22" t="str">
        <f>IFERROR(('Activity data'!AT89*(1/Constants!$H$111))*ttokg*FSOMEF*NtoN2O*kgtoGg,"NO")</f>
        <v>NO</v>
      </c>
      <c r="AU129" s="22" t="str">
        <f>IFERROR(('Activity data'!AU89*(1/Constants!$H$111))*ttokg*FSOMEF*NtoN2O*kgtoGg,"NO")</f>
        <v>NO</v>
      </c>
      <c r="AV129" s="22" t="str">
        <f>IFERROR(('Activity data'!AV89*(1/Constants!$H$111))*ttokg*FSOMEF*NtoN2O*kgtoGg,"NO")</f>
        <v>NO</v>
      </c>
      <c r="AW129" s="22" t="str">
        <f>IFERROR(('Activity data'!AW89*(1/Constants!$H$111))*ttokg*FSOMEF*NtoN2O*kgtoGg,"NO")</f>
        <v>NO</v>
      </c>
      <c r="AX129" s="22" t="str">
        <f>IFERROR(('Activity data'!AX89*(1/Constants!$H$111))*ttokg*FSOMEF*NtoN2O*kgtoGg,"NO")</f>
        <v>NO</v>
      </c>
      <c r="AY129" s="22" t="str">
        <f>IFERROR(('Activity data'!AY89*(1/Constants!$H$111))*ttokg*FSOMEF*NtoN2O*kgtoGg,"NO")</f>
        <v>NO</v>
      </c>
      <c r="AZ129" s="22" t="str">
        <f>IFERROR(('Activity data'!AZ89*(1/Constants!$H$111))*ttokg*FSOMEF*NtoN2O*kgtoGg,"NO")</f>
        <v>NO</v>
      </c>
      <c r="BA129" s="22" t="str">
        <f>IFERROR(('Activity data'!BA89*(1/Constants!$H$111))*ttokg*FSOMEF*NtoN2O*kgtoGg,"NO")</f>
        <v>NO</v>
      </c>
      <c r="BB129" s="22" t="str">
        <f>IFERROR(('Activity data'!BB89*(1/Constants!$H$111))*ttokg*FSOMEF*NtoN2O*kgtoGg,"NO")</f>
        <v>NO</v>
      </c>
      <c r="BC129" s="22" t="str">
        <f>IFERROR(('Activity data'!BC89*(1/Constants!$H$111))*ttokg*FSOMEF*NtoN2O*kgtoGg,"NO")</f>
        <v>NO</v>
      </c>
      <c r="BD129" s="22" t="str">
        <f>IFERROR(('Activity data'!BD89*(1/Constants!$H$111))*ttokg*FSOMEF*NtoN2O*kgtoGg,"NO")</f>
        <v>NO</v>
      </c>
      <c r="BE129" s="22" t="str">
        <f>IFERROR(('Activity data'!BE89*(1/Constants!$H$111))*ttokg*FSOMEF*NtoN2O*kgtoGg,"NO")</f>
        <v>NO</v>
      </c>
      <c r="BF129" s="22" t="str">
        <f>IFERROR(('Activity data'!BF89*(1/Constants!$H$111))*ttokg*FSOMEF*NtoN2O*kgtoGg,"NO")</f>
        <v>NO</v>
      </c>
      <c r="BG129" s="22" t="str">
        <f>IFERROR(('Activity data'!BG89*(1/Constants!$H$111))*ttokg*FSOMEF*NtoN2O*kgtoGg,"NO")</f>
        <v>NO</v>
      </c>
      <c r="BH129" s="22" t="str">
        <f>IFERROR(('Activity data'!BH89*(1/Constants!$H$111))*ttokg*FSOMEF*NtoN2O*kgtoGg,"NO")</f>
        <v>NO</v>
      </c>
      <c r="BI129" s="22" t="str">
        <f>IFERROR(('Activity data'!BI89*(1/Constants!$H$111))*ttokg*FSOMEF*NtoN2O*kgtoGg,"NO")</f>
        <v>NO</v>
      </c>
      <c r="BJ129" s="22" t="str">
        <f>IFERROR(('Activity data'!BJ89*(1/Constants!$H$111))*ttokg*FSOMEF*NtoN2O*kgtoGg,"NO")</f>
        <v>NO</v>
      </c>
      <c r="BK129" s="22" t="str">
        <f>IFERROR(('Activity data'!BK89*(1/Constants!$H$111))*ttokg*FSOMEF*NtoN2O*kgtoGg,"NO")</f>
        <v>NO</v>
      </c>
      <c r="BL129" s="22" t="str">
        <f>IFERROR(('Activity data'!BL89*(1/Constants!$H$111))*ttokg*FSOMEF*NtoN2O*kgtoGg,"NO")</f>
        <v>NO</v>
      </c>
      <c r="BM129" s="22" t="str">
        <f>IFERROR(('Activity data'!BM89*(1/Constants!$H$111))*ttokg*FSOMEF*NtoN2O*kgtoGg,"NO")</f>
        <v>NO</v>
      </c>
      <c r="BN129" s="22" t="str">
        <f>IFERROR(('Activity data'!BN89*(1/Constants!$H$111))*ttokg*FSOMEF*NtoN2O*kgtoGg,"NO")</f>
        <v>NO</v>
      </c>
      <c r="BO129" s="22" t="str">
        <f>IFERROR(('Activity data'!BO89*(1/Constants!$H$111))*ttokg*FSOMEF*NtoN2O*kgtoGg,"NO")</f>
        <v>NO</v>
      </c>
      <c r="BP129" s="22" t="str">
        <f>IFERROR(('Activity data'!BP89*(1/Constants!$H$111))*ttokg*FSOMEF*NtoN2O*kgtoGg,"NO")</f>
        <v>NO</v>
      </c>
    </row>
    <row r="130" spans="1:68" x14ac:dyDescent="0.25">
      <c r="A130" t="str">
        <f t="shared" si="39"/>
        <v>3C Aggregated and non-CO2 emissions on land</v>
      </c>
      <c r="B130" t="str">
        <f t="shared" si="31"/>
        <v>3C4 Direct N2O from managed soils (N2O)</v>
      </c>
      <c r="C130" t="s">
        <v>60</v>
      </c>
      <c r="D130" t="str">
        <f>" - "&amp;'Activity data'!D90</f>
        <v xml:space="preserve"> - Land converted to cropland</v>
      </c>
      <c r="E130" t="str">
        <f t="shared" ref="E130:E134" si="41">C130&amp;D130</f>
        <v>FSOM - Land converted to cropland</v>
      </c>
      <c r="G130" t="str">
        <f t="shared" si="37"/>
        <v>Gg N2O</v>
      </c>
      <c r="H130" s="22" t="str">
        <f>IFERROR(('Activity data'!H94*(1/Constants!$H$112))*ttokg*FSOMEF*NtoN2O*kgtoGg,"NO")</f>
        <v>NO</v>
      </c>
      <c r="I130" s="22" t="str">
        <f>IFERROR(('Activity data'!#REF!*(1/Constants!$H$109))*ttokg*FSOMEF*NtoN2O*kgtoGg,"NO")</f>
        <v>NO</v>
      </c>
      <c r="J130" s="22" t="str">
        <f>IFERROR(('Activity data'!#REF!*(1/Constants!$H$109))*ttokg*FSOMEF*NtoN2O*kgtoGg,"NO")</f>
        <v>NO</v>
      </c>
      <c r="K130" s="22" t="str">
        <f>IFERROR(('Activity data'!#REF!*(1/Constants!$H$109))*ttokg*FSOMEF*NtoN2O*kgtoGg,"NO")</f>
        <v>NO</v>
      </c>
      <c r="L130" s="22" t="str">
        <f>IFERROR(('Activity data'!#REF!*(1/Constants!$H$109))*ttokg*FSOMEF*NtoN2O*kgtoGg,"NO")</f>
        <v>NO</v>
      </c>
      <c r="M130" s="22" t="str">
        <f>IFERROR(('Activity data'!#REF!*(1/Constants!$H$109))*ttokg*FSOMEF*NtoN2O*kgtoGg,"NO")</f>
        <v>NO</v>
      </c>
      <c r="N130" s="22" t="str">
        <f>IFERROR(('Activity data'!#REF!*(1/Constants!$H$109))*ttokg*FSOMEF*NtoN2O*kgtoGg,"NO")</f>
        <v>NO</v>
      </c>
      <c r="O130" s="22" t="str">
        <f>IFERROR(('Activity data'!#REF!*(1/Constants!$H$109))*ttokg*FSOMEF*NtoN2O*kgtoGg,"NO")</f>
        <v>NO</v>
      </c>
      <c r="P130" s="22" t="str">
        <f>IFERROR(('Activity data'!#REF!*(1/Constants!$H$109))*ttokg*FSOMEF*NtoN2O*kgtoGg,"NO")</f>
        <v>NO</v>
      </c>
      <c r="Q130" s="22" t="str">
        <f>IFERROR(('Activity data'!#REF!*(1/Constants!$H$109))*ttokg*FSOMEF*NtoN2O*kgtoGg,"NO")</f>
        <v>NO</v>
      </c>
      <c r="R130" s="22" t="str">
        <f>IFERROR(('Activity data'!#REF!*(1/Constants!$H$109))*ttokg*FSOMEF*NtoN2O*kgtoGg,"NO")</f>
        <v>NO</v>
      </c>
      <c r="S130" s="22" t="str">
        <f>IFERROR(('Activity data'!#REF!*(1/Constants!$H$109))*ttokg*FSOMEF*NtoN2O*kgtoGg,"NO")</f>
        <v>NO</v>
      </c>
      <c r="T130" s="22" t="str">
        <f>IFERROR(('Activity data'!#REF!*(1/Constants!$H$109))*ttokg*FSOMEF*NtoN2O*kgtoGg,"NO")</f>
        <v>NO</v>
      </c>
      <c r="U130" s="22" t="str">
        <f>IFERROR(('Activity data'!#REF!*(1/Constants!$H$109))*ttokg*FSOMEF*NtoN2O*kgtoGg,"NO")</f>
        <v>NO</v>
      </c>
      <c r="V130" s="22" t="str">
        <f>IFERROR(('Activity data'!#REF!*(1/Constants!$H$109))*ttokg*FSOMEF*NtoN2O*kgtoGg,"NO")</f>
        <v>NO</v>
      </c>
      <c r="W130" s="22" t="str">
        <f>IFERROR(('Activity data'!#REF!*(1/Constants!$H$109))*ttokg*FSOMEF*NtoN2O*kgtoGg,"NO")</f>
        <v>NO</v>
      </c>
      <c r="X130" s="22" t="str">
        <f>IFERROR(('Activity data'!#REF!*(1/Constants!$H$109))*ttokg*FSOMEF*NtoN2O*kgtoGg,"NO")</f>
        <v>NO</v>
      </c>
      <c r="Y130" s="22" t="str">
        <f>IFERROR(('Activity data'!#REF!*(1/Constants!$H$109))*ttokg*FSOMEF*NtoN2O*kgtoGg,"NO")</f>
        <v>NO</v>
      </c>
      <c r="Z130" s="22" t="str">
        <f>IFERROR(('Activity data'!#REF!*(1/Constants!$H$109))*ttokg*FSOMEF*NtoN2O*kgtoGg,"NO")</f>
        <v>NO</v>
      </c>
      <c r="AA130" s="22" t="str">
        <f>IFERROR(('Activity data'!#REF!*(1/Constants!$H$109))*ttokg*FSOMEF*NtoN2O*kgtoGg,"NO")</f>
        <v>NO</v>
      </c>
      <c r="AB130" s="22" t="str">
        <f>IFERROR(('Activity data'!#REF!*(1/Constants!$H$109))*ttokg*FSOMEF*NtoN2O*kgtoGg,"NO")</f>
        <v>NO</v>
      </c>
      <c r="AC130" s="22" t="str">
        <f>IFERROR(('Activity data'!#REF!*(1/Constants!$H$109))*ttokg*FSOMEF*NtoN2O*kgtoGg,"NO")</f>
        <v>NO</v>
      </c>
      <c r="AD130" s="22" t="str">
        <f>IFERROR(('Activity data'!#REF!*(1/Constants!$H$109))*ttokg*FSOMEF*NtoN2O*kgtoGg,"NO")</f>
        <v>NO</v>
      </c>
      <c r="AE130" s="22" t="str">
        <f>IFERROR(('Activity data'!#REF!*(1/Constants!$H$109))*ttokg*FSOMEF*NtoN2O*kgtoGg,"NO")</f>
        <v>NO</v>
      </c>
      <c r="AF130" s="22" t="str">
        <f>IFERROR(('Activity data'!#REF!*(1/Constants!$H$109))*ttokg*FSOMEF*NtoN2O*kgtoGg,"NO")</f>
        <v>NO</v>
      </c>
      <c r="AG130" s="22" t="str">
        <f>IFERROR(('Activity data'!#REF!*(1/Constants!$H$109))*ttokg*FSOMEF*NtoN2O*kgtoGg,"NO")</f>
        <v>NO</v>
      </c>
      <c r="AH130" s="22" t="str">
        <f>IFERROR(('Activity data'!#REF!*(1/Constants!$H$109))*ttokg*FSOMEF*NtoN2O*kgtoGg,"NO")</f>
        <v>NO</v>
      </c>
      <c r="AI130" s="22" t="str">
        <f>IFERROR(('Activity data'!#REF!*(1/Constants!$H$109))*ttokg*FSOMEF*NtoN2O*kgtoGg,"NO")</f>
        <v>NO</v>
      </c>
      <c r="AJ130" s="22" t="str">
        <f>IFERROR(('Activity data'!#REF!*(1/Constants!$H$109))*ttokg*FSOMEF*NtoN2O*kgtoGg,"NO")</f>
        <v>NO</v>
      </c>
      <c r="AK130" s="22" t="str">
        <f>IFERROR(('Activity data'!#REF!*(1/Constants!$H$109))*ttokg*FSOMEF*NtoN2O*kgtoGg,"NO")</f>
        <v>NO</v>
      </c>
      <c r="AL130" s="22" t="str">
        <f>IFERROR(('Activity data'!#REF!*(1/Constants!$H$109))*ttokg*FSOMEF*NtoN2O*kgtoGg,"NO")</f>
        <v>NO</v>
      </c>
      <c r="AM130" s="22" t="str">
        <f>IFERROR(('Activity data'!#REF!*(1/Constants!$H$109))*ttokg*FSOMEF*NtoN2O*kgtoGg,"NO")</f>
        <v>NO</v>
      </c>
      <c r="AN130" s="22" t="str">
        <f>IFERROR(('Activity data'!#REF!*(1/Constants!$H$109))*ttokg*FSOMEF*NtoN2O*kgtoGg,"NO")</f>
        <v>NO</v>
      </c>
      <c r="AO130" s="22" t="str">
        <f>IFERROR(('Activity data'!#REF!*(1/Constants!$H$109))*ttokg*FSOMEF*NtoN2O*kgtoGg,"NO")</f>
        <v>NO</v>
      </c>
      <c r="AP130" s="22" t="str">
        <f>IFERROR(('Activity data'!#REF!*(1/Constants!$H$109))*ttokg*FSOMEF*NtoN2O*kgtoGg,"NO")</f>
        <v>NO</v>
      </c>
      <c r="AQ130" s="22" t="str">
        <f>IFERROR(('Activity data'!#REF!*(1/Constants!$H$109))*ttokg*FSOMEF*NtoN2O*kgtoGg,"NO")</f>
        <v>NO</v>
      </c>
      <c r="AR130" s="22" t="str">
        <f>IFERROR(('Activity data'!#REF!*(1/Constants!$H$109))*ttokg*FSOMEF*NtoN2O*kgtoGg,"NO")</f>
        <v>NO</v>
      </c>
      <c r="AS130" s="22" t="str">
        <f>IFERROR(('Activity data'!#REF!*(1/Constants!$H$109))*ttokg*FSOMEF*NtoN2O*kgtoGg,"NO")</f>
        <v>NO</v>
      </c>
      <c r="AT130" s="22" t="str">
        <f>IFERROR(('Activity data'!#REF!*(1/Constants!$H$109))*ttokg*FSOMEF*NtoN2O*kgtoGg,"NO")</f>
        <v>NO</v>
      </c>
      <c r="AU130" s="22" t="str">
        <f>IFERROR(('Activity data'!#REF!*(1/Constants!$H$109))*ttokg*FSOMEF*NtoN2O*kgtoGg,"NO")</f>
        <v>NO</v>
      </c>
      <c r="AV130" s="22" t="str">
        <f>IFERROR(('Activity data'!#REF!*(1/Constants!$H$109))*ttokg*FSOMEF*NtoN2O*kgtoGg,"NO")</f>
        <v>NO</v>
      </c>
      <c r="AW130" s="22" t="str">
        <f>IFERROR(('Activity data'!#REF!*(1/Constants!$H$109))*ttokg*FSOMEF*NtoN2O*kgtoGg,"NO")</f>
        <v>NO</v>
      </c>
      <c r="AX130" s="22" t="str">
        <f>IFERROR(('Activity data'!#REF!*(1/Constants!$H$109))*ttokg*FSOMEF*NtoN2O*kgtoGg,"NO")</f>
        <v>NO</v>
      </c>
      <c r="AY130" s="22" t="str">
        <f>IFERROR(('Activity data'!#REF!*(1/Constants!$H$109))*ttokg*FSOMEF*NtoN2O*kgtoGg,"NO")</f>
        <v>NO</v>
      </c>
      <c r="AZ130" s="22" t="str">
        <f>IFERROR(('Activity data'!#REF!*(1/Constants!$H$109))*ttokg*FSOMEF*NtoN2O*kgtoGg,"NO")</f>
        <v>NO</v>
      </c>
      <c r="BA130" s="22" t="str">
        <f>IFERROR(('Activity data'!#REF!*(1/Constants!$H$109))*ttokg*FSOMEF*NtoN2O*kgtoGg,"NO")</f>
        <v>NO</v>
      </c>
      <c r="BB130" s="22" t="str">
        <f>IFERROR(('Activity data'!#REF!*(1/Constants!$H$109))*ttokg*FSOMEF*NtoN2O*kgtoGg,"NO")</f>
        <v>NO</v>
      </c>
      <c r="BC130" s="22" t="str">
        <f>IFERROR(('Activity data'!#REF!*(1/Constants!$H$109))*ttokg*FSOMEF*NtoN2O*kgtoGg,"NO")</f>
        <v>NO</v>
      </c>
      <c r="BD130" s="22" t="str">
        <f>IFERROR(('Activity data'!#REF!*(1/Constants!$H$109))*ttokg*FSOMEF*NtoN2O*kgtoGg,"NO")</f>
        <v>NO</v>
      </c>
      <c r="BE130" s="22" t="str">
        <f>IFERROR(('Activity data'!#REF!*(1/Constants!$H$109))*ttokg*FSOMEF*NtoN2O*kgtoGg,"NO")</f>
        <v>NO</v>
      </c>
      <c r="BF130" s="22" t="str">
        <f>IFERROR(('Activity data'!#REF!*(1/Constants!$H$109))*ttokg*FSOMEF*NtoN2O*kgtoGg,"NO")</f>
        <v>NO</v>
      </c>
      <c r="BG130" s="22" t="str">
        <f>IFERROR(('Activity data'!#REF!*(1/Constants!$H$109))*ttokg*FSOMEF*NtoN2O*kgtoGg,"NO")</f>
        <v>NO</v>
      </c>
      <c r="BH130" s="22" t="str">
        <f>IFERROR(('Activity data'!#REF!*(1/Constants!$H$109))*ttokg*FSOMEF*NtoN2O*kgtoGg,"NO")</f>
        <v>NO</v>
      </c>
      <c r="BI130" s="22" t="str">
        <f>IFERROR(('Activity data'!#REF!*(1/Constants!$H$109))*ttokg*FSOMEF*NtoN2O*kgtoGg,"NO")</f>
        <v>NO</v>
      </c>
      <c r="BJ130" s="22" t="str">
        <f>IFERROR(('Activity data'!#REF!*(1/Constants!$H$109))*ttokg*FSOMEF*NtoN2O*kgtoGg,"NO")</f>
        <v>NO</v>
      </c>
      <c r="BK130" s="22" t="str">
        <f>IFERROR(('Activity data'!#REF!*(1/Constants!$H$109))*ttokg*FSOMEF*NtoN2O*kgtoGg,"NO")</f>
        <v>NO</v>
      </c>
      <c r="BL130" s="22" t="str">
        <f>IFERROR(('Activity data'!#REF!*(1/Constants!$H$109))*ttokg*FSOMEF*NtoN2O*kgtoGg,"NO")</f>
        <v>NO</v>
      </c>
      <c r="BM130" s="22" t="str">
        <f>IFERROR(('Activity data'!#REF!*(1/Constants!$H$109))*ttokg*FSOMEF*NtoN2O*kgtoGg,"NO")</f>
        <v>NO</v>
      </c>
      <c r="BN130" s="22" t="str">
        <f>IFERROR(('Activity data'!#REF!*(1/Constants!$H$109))*ttokg*FSOMEF*NtoN2O*kgtoGg,"NO")</f>
        <v>NO</v>
      </c>
      <c r="BO130" s="22" t="str">
        <f>IFERROR(('Activity data'!#REF!*(1/Constants!$H$109))*ttokg*FSOMEF*NtoN2O*kgtoGg,"NO")</f>
        <v>NO</v>
      </c>
      <c r="BP130" s="22" t="str">
        <f>IFERROR(('Activity data'!#REF!*(1/Constants!$H$109))*ttokg*FSOMEF*NtoN2O*kgtoGg,"NO")</f>
        <v>NO</v>
      </c>
    </row>
    <row r="131" spans="1:68" x14ac:dyDescent="0.25">
      <c r="A131" t="str">
        <f t="shared" si="39"/>
        <v>3C Aggregated and non-CO2 emissions on land</v>
      </c>
      <c r="B131" t="str">
        <f t="shared" si="31"/>
        <v>3C4 Direct N2O from managed soils (N2O)</v>
      </c>
      <c r="C131" t="s">
        <v>60</v>
      </c>
      <c r="D131" t="str">
        <f>" - "&amp;'Activity data'!D91</f>
        <v xml:space="preserve"> - Grassland remaining grassland</v>
      </c>
      <c r="E131" t="str">
        <f t="shared" si="41"/>
        <v>FSOM - Grassland remaining grassland</v>
      </c>
      <c r="G131" t="str">
        <f t="shared" si="37"/>
        <v>Gg N2O</v>
      </c>
      <c r="H131" s="22" t="str">
        <f>IFERROR(('Activity data'!H95*(1/Constants!$H$112))*ttokg*FSOMEF*NtoN2O*kgtoGg,"NO")</f>
        <v>NO</v>
      </c>
      <c r="I131" s="22" t="str">
        <f>IFERROR(('Activity data'!#REF!*(1/Constants!$H$110))*ttokg*FSOMEF*NtoN2O*kgtoGg,"NO")</f>
        <v>NO</v>
      </c>
      <c r="J131" s="22" t="str">
        <f>IFERROR(('Activity data'!#REF!*(1/Constants!$H$110))*ttokg*FSOMEF*NtoN2O*kgtoGg,"NO")</f>
        <v>NO</v>
      </c>
      <c r="K131" s="22" t="str">
        <f>IFERROR(('Activity data'!#REF!*(1/Constants!$H$110))*ttokg*FSOMEF*NtoN2O*kgtoGg,"NO")</f>
        <v>NO</v>
      </c>
      <c r="L131" s="22" t="str">
        <f>IFERROR(('Activity data'!#REF!*(1/Constants!$H$110))*ttokg*FSOMEF*NtoN2O*kgtoGg,"NO")</f>
        <v>NO</v>
      </c>
      <c r="M131" s="22" t="str">
        <f>IFERROR(('Activity data'!#REF!*(1/Constants!$H$110))*ttokg*FSOMEF*NtoN2O*kgtoGg,"NO")</f>
        <v>NO</v>
      </c>
      <c r="N131" s="22" t="str">
        <f>IFERROR(('Activity data'!#REF!*(1/Constants!$H$110))*ttokg*FSOMEF*NtoN2O*kgtoGg,"NO")</f>
        <v>NO</v>
      </c>
      <c r="O131" s="22" t="str">
        <f>IFERROR(('Activity data'!#REF!*(1/Constants!$H$110))*ttokg*FSOMEF*NtoN2O*kgtoGg,"NO")</f>
        <v>NO</v>
      </c>
      <c r="P131" s="22" t="str">
        <f>IFERROR(('Activity data'!#REF!*(1/Constants!$H$110))*ttokg*FSOMEF*NtoN2O*kgtoGg,"NO")</f>
        <v>NO</v>
      </c>
      <c r="Q131" s="22" t="str">
        <f>IFERROR(('Activity data'!#REF!*(1/Constants!$H$110))*ttokg*FSOMEF*NtoN2O*kgtoGg,"NO")</f>
        <v>NO</v>
      </c>
      <c r="R131" s="22" t="str">
        <f>IFERROR(('Activity data'!#REF!*(1/Constants!$H$110))*ttokg*FSOMEF*NtoN2O*kgtoGg,"NO")</f>
        <v>NO</v>
      </c>
      <c r="S131" s="22" t="str">
        <f>IFERROR(('Activity data'!#REF!*(1/Constants!$H$110))*ttokg*FSOMEF*NtoN2O*kgtoGg,"NO")</f>
        <v>NO</v>
      </c>
      <c r="T131" s="22" t="str">
        <f>IFERROR(('Activity data'!#REF!*(1/Constants!$H$110))*ttokg*FSOMEF*NtoN2O*kgtoGg,"NO")</f>
        <v>NO</v>
      </c>
      <c r="U131" s="22" t="str">
        <f>IFERROR(('Activity data'!#REF!*(1/Constants!$H$110))*ttokg*FSOMEF*NtoN2O*kgtoGg,"NO")</f>
        <v>NO</v>
      </c>
      <c r="V131" s="22" t="str">
        <f>IFERROR(('Activity data'!#REF!*(1/Constants!$H$110))*ttokg*FSOMEF*NtoN2O*kgtoGg,"NO")</f>
        <v>NO</v>
      </c>
      <c r="W131" s="22" t="str">
        <f>IFERROR(('Activity data'!#REF!*(1/Constants!$H$110))*ttokg*FSOMEF*NtoN2O*kgtoGg,"NO")</f>
        <v>NO</v>
      </c>
      <c r="X131" s="22" t="str">
        <f>IFERROR(('Activity data'!#REF!*(1/Constants!$H$110))*ttokg*FSOMEF*NtoN2O*kgtoGg,"NO")</f>
        <v>NO</v>
      </c>
      <c r="Y131" s="22" t="str">
        <f>IFERROR(('Activity data'!#REF!*(1/Constants!$H$110))*ttokg*FSOMEF*NtoN2O*kgtoGg,"NO")</f>
        <v>NO</v>
      </c>
      <c r="Z131" s="22" t="str">
        <f>IFERROR(('Activity data'!#REF!*(1/Constants!$H$110))*ttokg*FSOMEF*NtoN2O*kgtoGg,"NO")</f>
        <v>NO</v>
      </c>
      <c r="AA131" s="22" t="str">
        <f>IFERROR(('Activity data'!#REF!*(1/Constants!$H$110))*ttokg*FSOMEF*NtoN2O*kgtoGg,"NO")</f>
        <v>NO</v>
      </c>
      <c r="AB131" s="22" t="str">
        <f>IFERROR(('Activity data'!#REF!*(1/Constants!$H$110))*ttokg*FSOMEF*NtoN2O*kgtoGg,"NO")</f>
        <v>NO</v>
      </c>
      <c r="AC131" s="22" t="str">
        <f>IFERROR(('Activity data'!#REF!*(1/Constants!$H$110))*ttokg*FSOMEF*NtoN2O*kgtoGg,"NO")</f>
        <v>NO</v>
      </c>
      <c r="AD131" s="22" t="str">
        <f>IFERROR(('Activity data'!#REF!*(1/Constants!$H$110))*ttokg*FSOMEF*NtoN2O*kgtoGg,"NO")</f>
        <v>NO</v>
      </c>
      <c r="AE131" s="22" t="str">
        <f>IFERROR(('Activity data'!#REF!*(1/Constants!$H$110))*ttokg*FSOMEF*NtoN2O*kgtoGg,"NO")</f>
        <v>NO</v>
      </c>
      <c r="AF131" s="22" t="str">
        <f>IFERROR(('Activity data'!#REF!*(1/Constants!$H$110))*ttokg*FSOMEF*NtoN2O*kgtoGg,"NO")</f>
        <v>NO</v>
      </c>
      <c r="AG131" s="22" t="str">
        <f>IFERROR(('Activity data'!#REF!*(1/Constants!$H$110))*ttokg*FSOMEF*NtoN2O*kgtoGg,"NO")</f>
        <v>NO</v>
      </c>
      <c r="AH131" s="22" t="str">
        <f>IFERROR(('Activity data'!#REF!*(1/Constants!$H$110))*ttokg*FSOMEF*NtoN2O*kgtoGg,"NO")</f>
        <v>NO</v>
      </c>
      <c r="AI131" s="22" t="str">
        <f>IFERROR(('Activity data'!#REF!*(1/Constants!$H$110))*ttokg*FSOMEF*NtoN2O*kgtoGg,"NO")</f>
        <v>NO</v>
      </c>
      <c r="AJ131" s="22" t="str">
        <f>IFERROR(('Activity data'!#REF!*(1/Constants!$H$110))*ttokg*FSOMEF*NtoN2O*kgtoGg,"NO")</f>
        <v>NO</v>
      </c>
      <c r="AK131" s="22" t="str">
        <f>IFERROR(('Activity data'!#REF!*(1/Constants!$H$110))*ttokg*FSOMEF*NtoN2O*kgtoGg,"NO")</f>
        <v>NO</v>
      </c>
      <c r="AL131" s="22" t="str">
        <f>IFERROR(('Activity data'!#REF!*(1/Constants!$H$110))*ttokg*FSOMEF*NtoN2O*kgtoGg,"NO")</f>
        <v>NO</v>
      </c>
      <c r="AM131" s="22" t="str">
        <f>IFERROR(('Activity data'!#REF!*(1/Constants!$H$110))*ttokg*FSOMEF*NtoN2O*kgtoGg,"NO")</f>
        <v>NO</v>
      </c>
      <c r="AN131" s="22" t="str">
        <f>IFERROR(('Activity data'!#REF!*(1/Constants!$H$110))*ttokg*FSOMEF*NtoN2O*kgtoGg,"NO")</f>
        <v>NO</v>
      </c>
      <c r="AO131" s="22" t="str">
        <f>IFERROR(('Activity data'!#REF!*(1/Constants!$H$110))*ttokg*FSOMEF*NtoN2O*kgtoGg,"NO")</f>
        <v>NO</v>
      </c>
      <c r="AP131" s="22" t="str">
        <f>IFERROR(('Activity data'!#REF!*(1/Constants!$H$110))*ttokg*FSOMEF*NtoN2O*kgtoGg,"NO")</f>
        <v>NO</v>
      </c>
      <c r="AQ131" s="22" t="str">
        <f>IFERROR(('Activity data'!#REF!*(1/Constants!$H$110))*ttokg*FSOMEF*NtoN2O*kgtoGg,"NO")</f>
        <v>NO</v>
      </c>
      <c r="AR131" s="22" t="str">
        <f>IFERROR(('Activity data'!#REF!*(1/Constants!$H$110))*ttokg*FSOMEF*NtoN2O*kgtoGg,"NO")</f>
        <v>NO</v>
      </c>
      <c r="AS131" s="22" t="str">
        <f>IFERROR(('Activity data'!#REF!*(1/Constants!$H$110))*ttokg*FSOMEF*NtoN2O*kgtoGg,"NO")</f>
        <v>NO</v>
      </c>
      <c r="AT131" s="22" t="str">
        <f>IFERROR(('Activity data'!#REF!*(1/Constants!$H$110))*ttokg*FSOMEF*NtoN2O*kgtoGg,"NO")</f>
        <v>NO</v>
      </c>
      <c r="AU131" s="22" t="str">
        <f>IFERROR(('Activity data'!#REF!*(1/Constants!$H$110))*ttokg*FSOMEF*NtoN2O*kgtoGg,"NO")</f>
        <v>NO</v>
      </c>
      <c r="AV131" s="22" t="str">
        <f>IFERROR(('Activity data'!#REF!*(1/Constants!$H$110))*ttokg*FSOMEF*NtoN2O*kgtoGg,"NO")</f>
        <v>NO</v>
      </c>
      <c r="AW131" s="22" t="str">
        <f>IFERROR(('Activity data'!#REF!*(1/Constants!$H$110))*ttokg*FSOMEF*NtoN2O*kgtoGg,"NO")</f>
        <v>NO</v>
      </c>
      <c r="AX131" s="22" t="str">
        <f>IFERROR(('Activity data'!#REF!*(1/Constants!$H$110))*ttokg*FSOMEF*NtoN2O*kgtoGg,"NO")</f>
        <v>NO</v>
      </c>
      <c r="AY131" s="22" t="str">
        <f>IFERROR(('Activity data'!#REF!*(1/Constants!$H$110))*ttokg*FSOMEF*NtoN2O*kgtoGg,"NO")</f>
        <v>NO</v>
      </c>
      <c r="AZ131" s="22" t="str">
        <f>IFERROR(('Activity data'!#REF!*(1/Constants!$H$110))*ttokg*FSOMEF*NtoN2O*kgtoGg,"NO")</f>
        <v>NO</v>
      </c>
      <c r="BA131" s="22" t="str">
        <f>IFERROR(('Activity data'!#REF!*(1/Constants!$H$110))*ttokg*FSOMEF*NtoN2O*kgtoGg,"NO")</f>
        <v>NO</v>
      </c>
      <c r="BB131" s="22" t="str">
        <f>IFERROR(('Activity data'!#REF!*(1/Constants!$H$110))*ttokg*FSOMEF*NtoN2O*kgtoGg,"NO")</f>
        <v>NO</v>
      </c>
      <c r="BC131" s="22" t="str">
        <f>IFERROR(('Activity data'!#REF!*(1/Constants!$H$110))*ttokg*FSOMEF*NtoN2O*kgtoGg,"NO")</f>
        <v>NO</v>
      </c>
      <c r="BD131" s="22" t="str">
        <f>IFERROR(('Activity data'!#REF!*(1/Constants!$H$110))*ttokg*FSOMEF*NtoN2O*kgtoGg,"NO")</f>
        <v>NO</v>
      </c>
      <c r="BE131" s="22" t="str">
        <f>IFERROR(('Activity data'!#REF!*(1/Constants!$H$110))*ttokg*FSOMEF*NtoN2O*kgtoGg,"NO")</f>
        <v>NO</v>
      </c>
      <c r="BF131" s="22" t="str">
        <f>IFERROR(('Activity data'!#REF!*(1/Constants!$H$110))*ttokg*FSOMEF*NtoN2O*kgtoGg,"NO")</f>
        <v>NO</v>
      </c>
      <c r="BG131" s="22" t="str">
        <f>IFERROR(('Activity data'!#REF!*(1/Constants!$H$110))*ttokg*FSOMEF*NtoN2O*kgtoGg,"NO")</f>
        <v>NO</v>
      </c>
      <c r="BH131" s="22" t="str">
        <f>IFERROR(('Activity data'!#REF!*(1/Constants!$H$110))*ttokg*FSOMEF*NtoN2O*kgtoGg,"NO")</f>
        <v>NO</v>
      </c>
      <c r="BI131" s="22" t="str">
        <f>IFERROR(('Activity data'!#REF!*(1/Constants!$H$110))*ttokg*FSOMEF*NtoN2O*kgtoGg,"NO")</f>
        <v>NO</v>
      </c>
      <c r="BJ131" s="22" t="str">
        <f>IFERROR(('Activity data'!#REF!*(1/Constants!$H$110))*ttokg*FSOMEF*NtoN2O*kgtoGg,"NO")</f>
        <v>NO</v>
      </c>
      <c r="BK131" s="22" t="str">
        <f>IFERROR(('Activity data'!#REF!*(1/Constants!$H$110))*ttokg*FSOMEF*NtoN2O*kgtoGg,"NO")</f>
        <v>NO</v>
      </c>
      <c r="BL131" s="22" t="str">
        <f>IFERROR(('Activity data'!#REF!*(1/Constants!$H$110))*ttokg*FSOMEF*NtoN2O*kgtoGg,"NO")</f>
        <v>NO</v>
      </c>
      <c r="BM131" s="22" t="str">
        <f>IFERROR(('Activity data'!#REF!*(1/Constants!$H$110))*ttokg*FSOMEF*NtoN2O*kgtoGg,"NO")</f>
        <v>NO</v>
      </c>
      <c r="BN131" s="22" t="str">
        <f>IFERROR(('Activity data'!#REF!*(1/Constants!$H$110))*ttokg*FSOMEF*NtoN2O*kgtoGg,"NO")</f>
        <v>NO</v>
      </c>
      <c r="BO131" s="22" t="str">
        <f>IFERROR(('Activity data'!#REF!*(1/Constants!$H$110))*ttokg*FSOMEF*NtoN2O*kgtoGg,"NO")</f>
        <v>NO</v>
      </c>
      <c r="BP131" s="22" t="str">
        <f>IFERROR(('Activity data'!#REF!*(1/Constants!$H$110))*ttokg*FSOMEF*NtoN2O*kgtoGg,"NO")</f>
        <v>NO</v>
      </c>
    </row>
    <row r="132" spans="1:68" x14ac:dyDescent="0.25">
      <c r="A132" t="str">
        <f t="shared" si="39"/>
        <v>3C Aggregated and non-CO2 emissions on land</v>
      </c>
      <c r="B132" t="str">
        <f t="shared" si="31"/>
        <v>3C4 Direct N2O from managed soils (N2O)</v>
      </c>
      <c r="C132" t="s">
        <v>60</v>
      </c>
      <c r="D132" t="str">
        <f>" - "&amp;'Activity data'!D92</f>
        <v xml:space="preserve"> - Land converted to grassland</v>
      </c>
      <c r="E132" t="str">
        <f t="shared" si="41"/>
        <v>FSOM - Land converted to grassland</v>
      </c>
      <c r="G132" t="str">
        <f t="shared" si="37"/>
        <v>Gg N2O</v>
      </c>
      <c r="H132" s="22">
        <f>IFERROR(('Activity data'!H96*(1/Constants!$H$112))*ttokg*FSOMEF*NtoN2O*kgtoGg,"NO")</f>
        <v>0</v>
      </c>
      <c r="I132" s="22" t="str">
        <f>IFERROR(('Activity data'!#REF!*(1/Constants!$H$112))*ttokg*FSOMEF*NtoN2O*kgtoGg,"NO")</f>
        <v>NO</v>
      </c>
      <c r="J132" s="22" t="str">
        <f>IFERROR(('Activity data'!#REF!*(1/Constants!$H$112))*ttokg*FSOMEF*NtoN2O*kgtoGg,"NO")</f>
        <v>NO</v>
      </c>
      <c r="K132" s="22" t="str">
        <f>IFERROR(('Activity data'!#REF!*(1/Constants!$H$112))*ttokg*FSOMEF*NtoN2O*kgtoGg,"NO")</f>
        <v>NO</v>
      </c>
      <c r="L132" s="22" t="str">
        <f>IFERROR(('Activity data'!#REF!*(1/Constants!$H$112))*ttokg*FSOMEF*NtoN2O*kgtoGg,"NO")</f>
        <v>NO</v>
      </c>
      <c r="M132" s="22" t="str">
        <f>IFERROR(('Activity data'!#REF!*(1/Constants!$H$112))*ttokg*FSOMEF*NtoN2O*kgtoGg,"NO")</f>
        <v>NO</v>
      </c>
      <c r="N132" s="22" t="str">
        <f>IFERROR(('Activity data'!#REF!*(1/Constants!$H$112))*ttokg*FSOMEF*NtoN2O*kgtoGg,"NO")</f>
        <v>NO</v>
      </c>
      <c r="O132" s="22" t="str">
        <f>IFERROR(('Activity data'!#REF!*(1/Constants!$H$112))*ttokg*FSOMEF*NtoN2O*kgtoGg,"NO")</f>
        <v>NO</v>
      </c>
      <c r="P132" s="22" t="str">
        <f>IFERROR(('Activity data'!#REF!*(1/Constants!$H$112))*ttokg*FSOMEF*NtoN2O*kgtoGg,"NO")</f>
        <v>NO</v>
      </c>
      <c r="Q132" s="22" t="str">
        <f>IFERROR(('Activity data'!#REF!*(1/Constants!$H$112))*ttokg*FSOMEF*NtoN2O*kgtoGg,"NO")</f>
        <v>NO</v>
      </c>
      <c r="R132" s="22" t="str">
        <f>IFERROR(('Activity data'!#REF!*(1/Constants!$H$112))*ttokg*FSOMEF*NtoN2O*kgtoGg,"NO")</f>
        <v>NO</v>
      </c>
      <c r="S132" s="22" t="str">
        <f>IFERROR(('Activity data'!#REF!*(1/Constants!$H$112))*ttokg*FSOMEF*NtoN2O*kgtoGg,"NO")</f>
        <v>NO</v>
      </c>
      <c r="T132" s="22" t="str">
        <f>IFERROR(('Activity data'!#REF!*(1/Constants!$H$112))*ttokg*FSOMEF*NtoN2O*kgtoGg,"NO")</f>
        <v>NO</v>
      </c>
      <c r="U132" s="22" t="str">
        <f>IFERROR(('Activity data'!#REF!*(1/Constants!$H$112))*ttokg*FSOMEF*NtoN2O*kgtoGg,"NO")</f>
        <v>NO</v>
      </c>
      <c r="V132" s="22" t="str">
        <f>IFERROR(('Activity data'!#REF!*(1/Constants!$H$112))*ttokg*FSOMEF*NtoN2O*kgtoGg,"NO")</f>
        <v>NO</v>
      </c>
      <c r="W132" s="22" t="str">
        <f>IFERROR(('Activity data'!#REF!*(1/Constants!$H$112))*ttokg*FSOMEF*NtoN2O*kgtoGg,"NO")</f>
        <v>NO</v>
      </c>
      <c r="X132" s="22" t="str">
        <f>IFERROR(('Activity data'!#REF!*(1/Constants!$H$112))*ttokg*FSOMEF*NtoN2O*kgtoGg,"NO")</f>
        <v>NO</v>
      </c>
      <c r="Y132" s="22" t="str">
        <f>IFERROR(('Activity data'!#REF!*(1/Constants!$H$112))*ttokg*FSOMEF*NtoN2O*kgtoGg,"NO")</f>
        <v>NO</v>
      </c>
      <c r="Z132" s="22" t="str">
        <f>IFERROR(('Activity data'!#REF!*(1/Constants!$H$112))*ttokg*FSOMEF*NtoN2O*kgtoGg,"NO")</f>
        <v>NO</v>
      </c>
      <c r="AA132" s="22" t="str">
        <f>IFERROR(('Activity data'!#REF!*(1/Constants!$H$112))*ttokg*FSOMEF*NtoN2O*kgtoGg,"NO")</f>
        <v>NO</v>
      </c>
      <c r="AB132" s="22" t="str">
        <f>IFERROR(('Activity data'!#REF!*(1/Constants!$H$112))*ttokg*FSOMEF*NtoN2O*kgtoGg,"NO")</f>
        <v>NO</v>
      </c>
      <c r="AC132" s="22" t="str">
        <f>IFERROR(('Activity data'!#REF!*(1/Constants!$H$112))*ttokg*FSOMEF*NtoN2O*kgtoGg,"NO")</f>
        <v>NO</v>
      </c>
      <c r="AD132" s="22" t="str">
        <f>IFERROR(('Activity data'!#REF!*(1/Constants!$H$112))*ttokg*FSOMEF*NtoN2O*kgtoGg,"NO")</f>
        <v>NO</v>
      </c>
      <c r="AE132" s="22" t="str">
        <f>IFERROR(('Activity data'!#REF!*(1/Constants!$H$112))*ttokg*FSOMEF*NtoN2O*kgtoGg,"NO")</f>
        <v>NO</v>
      </c>
      <c r="AF132" s="22" t="str">
        <f>IFERROR(('Activity data'!#REF!*(1/Constants!$H$112))*ttokg*FSOMEF*NtoN2O*kgtoGg,"NO")</f>
        <v>NO</v>
      </c>
      <c r="AG132" s="22" t="str">
        <f>IFERROR(('Activity data'!#REF!*(1/Constants!$H$112))*ttokg*FSOMEF*NtoN2O*kgtoGg,"NO")</f>
        <v>NO</v>
      </c>
      <c r="AH132" s="22" t="str">
        <f>IFERROR(('Activity data'!#REF!*(1/Constants!$H$112))*ttokg*FSOMEF*NtoN2O*kgtoGg,"NO")</f>
        <v>NO</v>
      </c>
      <c r="AI132" s="22" t="str">
        <f>IFERROR(('Activity data'!#REF!*(1/Constants!$H$112))*ttokg*FSOMEF*NtoN2O*kgtoGg,"NO")</f>
        <v>NO</v>
      </c>
      <c r="AJ132" s="22" t="str">
        <f>IFERROR(('Activity data'!#REF!*(1/Constants!$H$112))*ttokg*FSOMEF*NtoN2O*kgtoGg,"NO")</f>
        <v>NO</v>
      </c>
      <c r="AK132" s="22" t="str">
        <f>IFERROR(('Activity data'!#REF!*(1/Constants!$H$112))*ttokg*FSOMEF*NtoN2O*kgtoGg,"NO")</f>
        <v>NO</v>
      </c>
      <c r="AL132" s="22" t="str">
        <f>IFERROR(('Activity data'!#REF!*(1/Constants!$H$112))*ttokg*FSOMEF*NtoN2O*kgtoGg,"NO")</f>
        <v>NO</v>
      </c>
      <c r="AM132" s="22" t="str">
        <f>IFERROR(('Activity data'!#REF!*(1/Constants!$H$112))*ttokg*FSOMEF*NtoN2O*kgtoGg,"NO")</f>
        <v>NO</v>
      </c>
      <c r="AN132" s="22" t="str">
        <f>IFERROR(('Activity data'!#REF!*(1/Constants!$H$112))*ttokg*FSOMEF*NtoN2O*kgtoGg,"NO")</f>
        <v>NO</v>
      </c>
      <c r="AO132" s="22" t="str">
        <f>IFERROR(('Activity data'!#REF!*(1/Constants!$H$112))*ttokg*FSOMEF*NtoN2O*kgtoGg,"NO")</f>
        <v>NO</v>
      </c>
      <c r="AP132" s="22" t="str">
        <f>IFERROR(('Activity data'!#REF!*(1/Constants!$H$112))*ttokg*FSOMEF*NtoN2O*kgtoGg,"NO")</f>
        <v>NO</v>
      </c>
      <c r="AQ132" s="22" t="str">
        <f>IFERROR(('Activity data'!#REF!*(1/Constants!$H$112))*ttokg*FSOMEF*NtoN2O*kgtoGg,"NO")</f>
        <v>NO</v>
      </c>
      <c r="AR132" s="22" t="str">
        <f>IFERROR(('Activity data'!#REF!*(1/Constants!$H$112))*ttokg*FSOMEF*NtoN2O*kgtoGg,"NO")</f>
        <v>NO</v>
      </c>
      <c r="AS132" s="22" t="str">
        <f>IFERROR(('Activity data'!#REF!*(1/Constants!$H$112))*ttokg*FSOMEF*NtoN2O*kgtoGg,"NO")</f>
        <v>NO</v>
      </c>
      <c r="AT132" s="22" t="str">
        <f>IFERROR(('Activity data'!#REF!*(1/Constants!$H$112))*ttokg*FSOMEF*NtoN2O*kgtoGg,"NO")</f>
        <v>NO</v>
      </c>
      <c r="AU132" s="22" t="str">
        <f>IFERROR(('Activity data'!#REF!*(1/Constants!$H$112))*ttokg*FSOMEF*NtoN2O*kgtoGg,"NO")</f>
        <v>NO</v>
      </c>
      <c r="AV132" s="22" t="str">
        <f>IFERROR(('Activity data'!#REF!*(1/Constants!$H$112))*ttokg*FSOMEF*NtoN2O*kgtoGg,"NO")</f>
        <v>NO</v>
      </c>
      <c r="AW132" s="22" t="str">
        <f>IFERROR(('Activity data'!#REF!*(1/Constants!$H$112))*ttokg*FSOMEF*NtoN2O*kgtoGg,"NO")</f>
        <v>NO</v>
      </c>
      <c r="AX132" s="22" t="str">
        <f>IFERROR(('Activity data'!#REF!*(1/Constants!$H$112))*ttokg*FSOMEF*NtoN2O*kgtoGg,"NO")</f>
        <v>NO</v>
      </c>
      <c r="AY132" s="22" t="str">
        <f>IFERROR(('Activity data'!#REF!*(1/Constants!$H$112))*ttokg*FSOMEF*NtoN2O*kgtoGg,"NO")</f>
        <v>NO</v>
      </c>
      <c r="AZ132" s="22" t="str">
        <f>IFERROR(('Activity data'!#REF!*(1/Constants!$H$112))*ttokg*FSOMEF*NtoN2O*kgtoGg,"NO")</f>
        <v>NO</v>
      </c>
      <c r="BA132" s="22" t="str">
        <f>IFERROR(('Activity data'!#REF!*(1/Constants!$H$112))*ttokg*FSOMEF*NtoN2O*kgtoGg,"NO")</f>
        <v>NO</v>
      </c>
      <c r="BB132" s="22" t="str">
        <f>IFERROR(('Activity data'!#REF!*(1/Constants!$H$112))*ttokg*FSOMEF*NtoN2O*kgtoGg,"NO")</f>
        <v>NO</v>
      </c>
      <c r="BC132" s="22" t="str">
        <f>IFERROR(('Activity data'!#REF!*(1/Constants!$H$112))*ttokg*FSOMEF*NtoN2O*kgtoGg,"NO")</f>
        <v>NO</v>
      </c>
      <c r="BD132" s="22" t="str">
        <f>IFERROR(('Activity data'!#REF!*(1/Constants!$H$112))*ttokg*FSOMEF*NtoN2O*kgtoGg,"NO")</f>
        <v>NO</v>
      </c>
      <c r="BE132" s="22" t="str">
        <f>IFERROR(('Activity data'!#REF!*(1/Constants!$H$112))*ttokg*FSOMEF*NtoN2O*kgtoGg,"NO")</f>
        <v>NO</v>
      </c>
      <c r="BF132" s="22" t="str">
        <f>IFERROR(('Activity data'!#REF!*(1/Constants!$H$112))*ttokg*FSOMEF*NtoN2O*kgtoGg,"NO")</f>
        <v>NO</v>
      </c>
      <c r="BG132" s="22" t="str">
        <f>IFERROR(('Activity data'!#REF!*(1/Constants!$H$112))*ttokg*FSOMEF*NtoN2O*kgtoGg,"NO")</f>
        <v>NO</v>
      </c>
      <c r="BH132" s="22" t="str">
        <f>IFERROR(('Activity data'!#REF!*(1/Constants!$H$112))*ttokg*FSOMEF*NtoN2O*kgtoGg,"NO")</f>
        <v>NO</v>
      </c>
      <c r="BI132" s="22" t="str">
        <f>IFERROR(('Activity data'!#REF!*(1/Constants!$H$112))*ttokg*FSOMEF*NtoN2O*kgtoGg,"NO")</f>
        <v>NO</v>
      </c>
      <c r="BJ132" s="22" t="str">
        <f>IFERROR(('Activity data'!#REF!*(1/Constants!$H$112))*ttokg*FSOMEF*NtoN2O*kgtoGg,"NO")</f>
        <v>NO</v>
      </c>
      <c r="BK132" s="22" t="str">
        <f>IFERROR(('Activity data'!#REF!*(1/Constants!$H$112))*ttokg*FSOMEF*NtoN2O*kgtoGg,"NO")</f>
        <v>NO</v>
      </c>
      <c r="BL132" s="22" t="str">
        <f>IFERROR(('Activity data'!#REF!*(1/Constants!$H$112))*ttokg*FSOMEF*NtoN2O*kgtoGg,"NO")</f>
        <v>NO</v>
      </c>
      <c r="BM132" s="22" t="str">
        <f>IFERROR(('Activity data'!#REF!*(1/Constants!$H$112))*ttokg*FSOMEF*NtoN2O*kgtoGg,"NO")</f>
        <v>NO</v>
      </c>
      <c r="BN132" s="22" t="str">
        <f>IFERROR(('Activity data'!#REF!*(1/Constants!$H$112))*ttokg*FSOMEF*NtoN2O*kgtoGg,"NO")</f>
        <v>NO</v>
      </c>
      <c r="BO132" s="22" t="str">
        <f>IFERROR(('Activity data'!#REF!*(1/Constants!$H$112))*ttokg*FSOMEF*NtoN2O*kgtoGg,"NO")</f>
        <v>NO</v>
      </c>
      <c r="BP132" s="22" t="str">
        <f>IFERROR(('Activity data'!#REF!*(1/Constants!$H$112))*ttokg*FSOMEF*NtoN2O*kgtoGg,"NO")</f>
        <v>NO</v>
      </c>
    </row>
    <row r="133" spans="1:68" x14ac:dyDescent="0.25">
      <c r="A133" t="str">
        <f t="shared" si="39"/>
        <v>3C Aggregated and non-CO2 emissions on land</v>
      </c>
      <c r="B133" t="str">
        <f t="shared" si="31"/>
        <v>3C4 Direct N2O from managed soils (N2O)</v>
      </c>
      <c r="C133" t="s">
        <v>60</v>
      </c>
      <c r="D133" t="str">
        <f>" - "&amp;'Activity data'!D93</f>
        <v xml:space="preserve"> - Wetland remaining wetland</v>
      </c>
      <c r="E133" t="str">
        <f t="shared" si="41"/>
        <v>FSOM - Wetland remaining wetland</v>
      </c>
      <c r="G133" t="str">
        <f t="shared" si="37"/>
        <v>Gg N2O</v>
      </c>
      <c r="H133" s="22" t="str">
        <f>IFERROR(('Activity data'!H97*(1/Constants!$H$112))*ttokg*FSOMEF*NtoN2O*kgtoGg,"NO")</f>
        <v>NO</v>
      </c>
      <c r="I133" s="22" t="str">
        <f>IFERROR(('Activity data'!#REF!*(1/Constants!$H$112))*ttokg*FSOMEF*NtoN2O*kgtoGg,"NO")</f>
        <v>NO</v>
      </c>
      <c r="J133" s="22" t="str">
        <f>IFERROR(('Activity data'!#REF!*(1/Constants!$H$112))*ttokg*FSOMEF*NtoN2O*kgtoGg,"NO")</f>
        <v>NO</v>
      </c>
      <c r="K133" s="22" t="str">
        <f>IFERROR(('Activity data'!#REF!*(1/Constants!$H$112))*ttokg*FSOMEF*NtoN2O*kgtoGg,"NO")</f>
        <v>NO</v>
      </c>
      <c r="L133" s="22" t="str">
        <f>IFERROR(('Activity data'!#REF!*(1/Constants!$H$112))*ttokg*FSOMEF*NtoN2O*kgtoGg,"NO")</f>
        <v>NO</v>
      </c>
      <c r="M133" s="22" t="str">
        <f>IFERROR(('Activity data'!#REF!*(1/Constants!$H$112))*ttokg*FSOMEF*NtoN2O*kgtoGg,"NO")</f>
        <v>NO</v>
      </c>
      <c r="N133" s="22" t="str">
        <f>IFERROR(('Activity data'!#REF!*(1/Constants!$H$112))*ttokg*FSOMEF*NtoN2O*kgtoGg,"NO")</f>
        <v>NO</v>
      </c>
      <c r="O133" s="22" t="str">
        <f>IFERROR(('Activity data'!#REF!*(1/Constants!$H$112))*ttokg*FSOMEF*NtoN2O*kgtoGg,"NO")</f>
        <v>NO</v>
      </c>
      <c r="P133" s="22" t="str">
        <f>IFERROR(('Activity data'!#REF!*(1/Constants!$H$112))*ttokg*FSOMEF*NtoN2O*kgtoGg,"NO")</f>
        <v>NO</v>
      </c>
      <c r="Q133" s="22" t="str">
        <f>IFERROR(('Activity data'!#REF!*(1/Constants!$H$112))*ttokg*FSOMEF*NtoN2O*kgtoGg,"NO")</f>
        <v>NO</v>
      </c>
      <c r="R133" s="22" t="str">
        <f>IFERROR(('Activity data'!#REF!*(1/Constants!$H$112))*ttokg*FSOMEF*NtoN2O*kgtoGg,"NO")</f>
        <v>NO</v>
      </c>
      <c r="S133" s="22" t="str">
        <f>IFERROR(('Activity data'!#REF!*(1/Constants!$H$112))*ttokg*FSOMEF*NtoN2O*kgtoGg,"NO")</f>
        <v>NO</v>
      </c>
      <c r="T133" s="22" t="str">
        <f>IFERROR(('Activity data'!#REF!*(1/Constants!$H$112))*ttokg*FSOMEF*NtoN2O*kgtoGg,"NO")</f>
        <v>NO</v>
      </c>
      <c r="U133" s="22" t="str">
        <f>IFERROR(('Activity data'!#REF!*(1/Constants!$H$112))*ttokg*FSOMEF*NtoN2O*kgtoGg,"NO")</f>
        <v>NO</v>
      </c>
      <c r="V133" s="22" t="str">
        <f>IFERROR(('Activity data'!#REF!*(1/Constants!$H$112))*ttokg*FSOMEF*NtoN2O*kgtoGg,"NO")</f>
        <v>NO</v>
      </c>
      <c r="W133" s="22" t="str">
        <f>IFERROR(('Activity data'!#REF!*(1/Constants!$H$112))*ttokg*FSOMEF*NtoN2O*kgtoGg,"NO")</f>
        <v>NO</v>
      </c>
      <c r="X133" s="22" t="str">
        <f>IFERROR(('Activity data'!#REF!*(1/Constants!$H$112))*ttokg*FSOMEF*NtoN2O*kgtoGg,"NO")</f>
        <v>NO</v>
      </c>
      <c r="Y133" s="22" t="str">
        <f>IFERROR(('Activity data'!#REF!*(1/Constants!$H$112))*ttokg*FSOMEF*NtoN2O*kgtoGg,"NO")</f>
        <v>NO</v>
      </c>
      <c r="Z133" s="22" t="str">
        <f>IFERROR(('Activity data'!#REF!*(1/Constants!$H$112))*ttokg*FSOMEF*NtoN2O*kgtoGg,"NO")</f>
        <v>NO</v>
      </c>
      <c r="AA133" s="22" t="str">
        <f>IFERROR(('Activity data'!#REF!*(1/Constants!$H$112))*ttokg*FSOMEF*NtoN2O*kgtoGg,"NO")</f>
        <v>NO</v>
      </c>
      <c r="AB133" s="22" t="str">
        <f>IFERROR(('Activity data'!#REF!*(1/Constants!$H$112))*ttokg*FSOMEF*NtoN2O*kgtoGg,"NO")</f>
        <v>NO</v>
      </c>
      <c r="AC133" s="22" t="str">
        <f>IFERROR(('Activity data'!#REF!*(1/Constants!$H$112))*ttokg*FSOMEF*NtoN2O*kgtoGg,"NO")</f>
        <v>NO</v>
      </c>
      <c r="AD133" s="22" t="str">
        <f>IFERROR(('Activity data'!#REF!*(1/Constants!$H$112))*ttokg*FSOMEF*NtoN2O*kgtoGg,"NO")</f>
        <v>NO</v>
      </c>
      <c r="AE133" s="22" t="str">
        <f>IFERROR(('Activity data'!#REF!*(1/Constants!$H$112))*ttokg*FSOMEF*NtoN2O*kgtoGg,"NO")</f>
        <v>NO</v>
      </c>
      <c r="AF133" s="22" t="str">
        <f>IFERROR(('Activity data'!#REF!*(1/Constants!$H$112))*ttokg*FSOMEF*NtoN2O*kgtoGg,"NO")</f>
        <v>NO</v>
      </c>
      <c r="AG133" s="22" t="str">
        <f>IFERROR(('Activity data'!#REF!*(1/Constants!$H$112))*ttokg*FSOMEF*NtoN2O*kgtoGg,"NO")</f>
        <v>NO</v>
      </c>
      <c r="AH133" s="22" t="str">
        <f>IFERROR(('Activity data'!#REF!*(1/Constants!$H$112))*ttokg*FSOMEF*NtoN2O*kgtoGg,"NO")</f>
        <v>NO</v>
      </c>
      <c r="AI133" s="22" t="str">
        <f>IFERROR(('Activity data'!#REF!*(1/Constants!$H$112))*ttokg*FSOMEF*NtoN2O*kgtoGg,"NO")</f>
        <v>NO</v>
      </c>
      <c r="AJ133" s="22" t="str">
        <f>IFERROR(('Activity data'!#REF!*(1/Constants!$H$112))*ttokg*FSOMEF*NtoN2O*kgtoGg,"NO")</f>
        <v>NO</v>
      </c>
      <c r="AK133" s="22" t="str">
        <f>IFERROR(('Activity data'!#REF!*(1/Constants!$H$112))*ttokg*FSOMEF*NtoN2O*kgtoGg,"NO")</f>
        <v>NO</v>
      </c>
      <c r="AL133" s="22" t="str">
        <f>IFERROR(('Activity data'!#REF!*(1/Constants!$H$112))*ttokg*FSOMEF*NtoN2O*kgtoGg,"NO")</f>
        <v>NO</v>
      </c>
      <c r="AM133" s="22" t="str">
        <f>IFERROR(('Activity data'!#REF!*(1/Constants!$H$112))*ttokg*FSOMEF*NtoN2O*kgtoGg,"NO")</f>
        <v>NO</v>
      </c>
      <c r="AN133" s="22" t="str">
        <f>IFERROR(('Activity data'!#REF!*(1/Constants!$H$112))*ttokg*FSOMEF*NtoN2O*kgtoGg,"NO")</f>
        <v>NO</v>
      </c>
      <c r="AO133" s="22" t="str">
        <f>IFERROR(('Activity data'!#REF!*(1/Constants!$H$112))*ttokg*FSOMEF*NtoN2O*kgtoGg,"NO")</f>
        <v>NO</v>
      </c>
      <c r="AP133" s="22" t="str">
        <f>IFERROR(('Activity data'!#REF!*(1/Constants!$H$112))*ttokg*FSOMEF*NtoN2O*kgtoGg,"NO")</f>
        <v>NO</v>
      </c>
      <c r="AQ133" s="22" t="str">
        <f>IFERROR(('Activity data'!#REF!*(1/Constants!$H$112))*ttokg*FSOMEF*NtoN2O*kgtoGg,"NO")</f>
        <v>NO</v>
      </c>
      <c r="AR133" s="22" t="str">
        <f>IFERROR(('Activity data'!#REF!*(1/Constants!$H$112))*ttokg*FSOMEF*NtoN2O*kgtoGg,"NO")</f>
        <v>NO</v>
      </c>
      <c r="AS133" s="22" t="str">
        <f>IFERROR(('Activity data'!#REF!*(1/Constants!$H$112))*ttokg*FSOMEF*NtoN2O*kgtoGg,"NO")</f>
        <v>NO</v>
      </c>
      <c r="AT133" s="22" t="str">
        <f>IFERROR(('Activity data'!#REF!*(1/Constants!$H$112))*ttokg*FSOMEF*NtoN2O*kgtoGg,"NO")</f>
        <v>NO</v>
      </c>
      <c r="AU133" s="22" t="str">
        <f>IFERROR(('Activity data'!#REF!*(1/Constants!$H$112))*ttokg*FSOMEF*NtoN2O*kgtoGg,"NO")</f>
        <v>NO</v>
      </c>
      <c r="AV133" s="22" t="str">
        <f>IFERROR(('Activity data'!#REF!*(1/Constants!$H$112))*ttokg*FSOMEF*NtoN2O*kgtoGg,"NO")</f>
        <v>NO</v>
      </c>
      <c r="AW133" s="22" t="str">
        <f>IFERROR(('Activity data'!#REF!*(1/Constants!$H$112))*ttokg*FSOMEF*NtoN2O*kgtoGg,"NO")</f>
        <v>NO</v>
      </c>
      <c r="AX133" s="22" t="str">
        <f>IFERROR(('Activity data'!#REF!*(1/Constants!$H$112))*ttokg*FSOMEF*NtoN2O*kgtoGg,"NO")</f>
        <v>NO</v>
      </c>
      <c r="AY133" s="22" t="str">
        <f>IFERROR(('Activity data'!#REF!*(1/Constants!$H$112))*ttokg*FSOMEF*NtoN2O*kgtoGg,"NO")</f>
        <v>NO</v>
      </c>
      <c r="AZ133" s="22" t="str">
        <f>IFERROR(('Activity data'!#REF!*(1/Constants!$H$112))*ttokg*FSOMEF*NtoN2O*kgtoGg,"NO")</f>
        <v>NO</v>
      </c>
      <c r="BA133" s="22" t="str">
        <f>IFERROR(('Activity data'!#REF!*(1/Constants!$H$112))*ttokg*FSOMEF*NtoN2O*kgtoGg,"NO")</f>
        <v>NO</v>
      </c>
      <c r="BB133" s="22" t="str">
        <f>IFERROR(('Activity data'!#REF!*(1/Constants!$H$112))*ttokg*FSOMEF*NtoN2O*kgtoGg,"NO")</f>
        <v>NO</v>
      </c>
      <c r="BC133" s="22" t="str">
        <f>IFERROR(('Activity data'!#REF!*(1/Constants!$H$112))*ttokg*FSOMEF*NtoN2O*kgtoGg,"NO")</f>
        <v>NO</v>
      </c>
      <c r="BD133" s="22" t="str">
        <f>IFERROR(('Activity data'!#REF!*(1/Constants!$H$112))*ttokg*FSOMEF*NtoN2O*kgtoGg,"NO")</f>
        <v>NO</v>
      </c>
      <c r="BE133" s="22" t="str">
        <f>IFERROR(('Activity data'!#REF!*(1/Constants!$H$112))*ttokg*FSOMEF*NtoN2O*kgtoGg,"NO")</f>
        <v>NO</v>
      </c>
      <c r="BF133" s="22" t="str">
        <f>IFERROR(('Activity data'!#REF!*(1/Constants!$H$112))*ttokg*FSOMEF*NtoN2O*kgtoGg,"NO")</f>
        <v>NO</v>
      </c>
      <c r="BG133" s="22" t="str">
        <f>IFERROR(('Activity data'!#REF!*(1/Constants!$H$112))*ttokg*FSOMEF*NtoN2O*kgtoGg,"NO")</f>
        <v>NO</v>
      </c>
      <c r="BH133" s="22" t="str">
        <f>IFERROR(('Activity data'!#REF!*(1/Constants!$H$112))*ttokg*FSOMEF*NtoN2O*kgtoGg,"NO")</f>
        <v>NO</v>
      </c>
      <c r="BI133" s="22" t="str">
        <f>IFERROR(('Activity data'!#REF!*(1/Constants!$H$112))*ttokg*FSOMEF*NtoN2O*kgtoGg,"NO")</f>
        <v>NO</v>
      </c>
      <c r="BJ133" s="22" t="str">
        <f>IFERROR(('Activity data'!#REF!*(1/Constants!$H$112))*ttokg*FSOMEF*NtoN2O*kgtoGg,"NO")</f>
        <v>NO</v>
      </c>
      <c r="BK133" s="22" t="str">
        <f>IFERROR(('Activity data'!#REF!*(1/Constants!$H$112))*ttokg*FSOMEF*NtoN2O*kgtoGg,"NO")</f>
        <v>NO</v>
      </c>
      <c r="BL133" s="22" t="str">
        <f>IFERROR(('Activity data'!#REF!*(1/Constants!$H$112))*ttokg*FSOMEF*NtoN2O*kgtoGg,"NO")</f>
        <v>NO</v>
      </c>
      <c r="BM133" s="22" t="str">
        <f>IFERROR(('Activity data'!#REF!*(1/Constants!$H$112))*ttokg*FSOMEF*NtoN2O*kgtoGg,"NO")</f>
        <v>NO</v>
      </c>
      <c r="BN133" s="22" t="str">
        <f>IFERROR(('Activity data'!#REF!*(1/Constants!$H$112))*ttokg*FSOMEF*NtoN2O*kgtoGg,"NO")</f>
        <v>NO</v>
      </c>
      <c r="BO133" s="22" t="str">
        <f>IFERROR(('Activity data'!#REF!*(1/Constants!$H$112))*ttokg*FSOMEF*NtoN2O*kgtoGg,"NO")</f>
        <v>NO</v>
      </c>
      <c r="BP133" s="22" t="str">
        <f>IFERROR(('Activity data'!#REF!*(1/Constants!$H$112))*ttokg*FSOMEF*NtoN2O*kgtoGg,"NO")</f>
        <v>NO</v>
      </c>
    </row>
    <row r="134" spans="1:68" x14ac:dyDescent="0.25">
      <c r="A134" t="str">
        <f t="shared" si="39"/>
        <v>3C Aggregated and non-CO2 emissions on land</v>
      </c>
      <c r="B134" t="str">
        <f t="shared" si="31"/>
        <v>3C4 Direct N2O from managed soils (N2O)</v>
      </c>
      <c r="C134" t="s">
        <v>60</v>
      </c>
      <c r="D134" t="str">
        <f>" - "&amp;'Activity data'!D94</f>
        <v xml:space="preserve"> - Land converted to wetland</v>
      </c>
      <c r="E134" t="str">
        <f t="shared" si="41"/>
        <v>FSOM - Land converted to wetland</v>
      </c>
      <c r="G134" t="str">
        <f t="shared" si="37"/>
        <v>Gg N2O</v>
      </c>
      <c r="H134" s="22">
        <f>IFERROR(('Activity data'!H98*(1/Constants!$H$112))*ttokg*FSOMEF*NtoN2O*kgtoGg,"NO")</f>
        <v>0</v>
      </c>
      <c r="I134" s="22" t="str">
        <f>IFERROR(('Activity data'!#REF!*(1/Constants!$H$112))*ttokg*FSOMEF*NtoN2O*kgtoGg,"NO")</f>
        <v>NO</v>
      </c>
      <c r="J134" s="22" t="str">
        <f>IFERROR(('Activity data'!#REF!*(1/Constants!$H$112))*ttokg*FSOMEF*NtoN2O*kgtoGg,"NO")</f>
        <v>NO</v>
      </c>
      <c r="K134" s="22" t="str">
        <f>IFERROR(('Activity data'!#REF!*(1/Constants!$H$112))*ttokg*FSOMEF*NtoN2O*kgtoGg,"NO")</f>
        <v>NO</v>
      </c>
      <c r="L134" s="22" t="str">
        <f>IFERROR(('Activity data'!#REF!*(1/Constants!$H$112))*ttokg*FSOMEF*NtoN2O*kgtoGg,"NO")</f>
        <v>NO</v>
      </c>
      <c r="M134" s="22" t="str">
        <f>IFERROR(('Activity data'!#REF!*(1/Constants!$H$112))*ttokg*FSOMEF*NtoN2O*kgtoGg,"NO")</f>
        <v>NO</v>
      </c>
      <c r="N134" s="22" t="str">
        <f>IFERROR(('Activity data'!#REF!*(1/Constants!$H$112))*ttokg*FSOMEF*NtoN2O*kgtoGg,"NO")</f>
        <v>NO</v>
      </c>
      <c r="O134" s="22" t="str">
        <f>IFERROR(('Activity data'!#REF!*(1/Constants!$H$112))*ttokg*FSOMEF*NtoN2O*kgtoGg,"NO")</f>
        <v>NO</v>
      </c>
      <c r="P134" s="22" t="str">
        <f>IFERROR(('Activity data'!#REF!*(1/Constants!$H$112))*ttokg*FSOMEF*NtoN2O*kgtoGg,"NO")</f>
        <v>NO</v>
      </c>
      <c r="Q134" s="22" t="str">
        <f>IFERROR(('Activity data'!#REF!*(1/Constants!$H$112))*ttokg*FSOMEF*NtoN2O*kgtoGg,"NO")</f>
        <v>NO</v>
      </c>
      <c r="R134" s="22" t="str">
        <f>IFERROR(('Activity data'!#REF!*(1/Constants!$H$112))*ttokg*FSOMEF*NtoN2O*kgtoGg,"NO")</f>
        <v>NO</v>
      </c>
      <c r="S134" s="22" t="str">
        <f>IFERROR(('Activity data'!#REF!*(1/Constants!$H$112))*ttokg*FSOMEF*NtoN2O*kgtoGg,"NO")</f>
        <v>NO</v>
      </c>
      <c r="T134" s="22" t="str">
        <f>IFERROR(('Activity data'!#REF!*(1/Constants!$H$112))*ttokg*FSOMEF*NtoN2O*kgtoGg,"NO")</f>
        <v>NO</v>
      </c>
      <c r="U134" s="22" t="str">
        <f>IFERROR(('Activity data'!#REF!*(1/Constants!$H$112))*ttokg*FSOMEF*NtoN2O*kgtoGg,"NO")</f>
        <v>NO</v>
      </c>
      <c r="V134" s="22" t="str">
        <f>IFERROR(('Activity data'!#REF!*(1/Constants!$H$112))*ttokg*FSOMEF*NtoN2O*kgtoGg,"NO")</f>
        <v>NO</v>
      </c>
      <c r="W134" s="22" t="str">
        <f>IFERROR(('Activity data'!#REF!*(1/Constants!$H$112))*ttokg*FSOMEF*NtoN2O*kgtoGg,"NO")</f>
        <v>NO</v>
      </c>
      <c r="X134" s="22" t="str">
        <f>IFERROR(('Activity data'!#REF!*(1/Constants!$H$112))*ttokg*FSOMEF*NtoN2O*kgtoGg,"NO")</f>
        <v>NO</v>
      </c>
      <c r="Y134" s="22" t="str">
        <f>IFERROR(('Activity data'!#REF!*(1/Constants!$H$112))*ttokg*FSOMEF*NtoN2O*kgtoGg,"NO")</f>
        <v>NO</v>
      </c>
      <c r="Z134" s="22" t="str">
        <f>IFERROR(('Activity data'!#REF!*(1/Constants!$H$112))*ttokg*FSOMEF*NtoN2O*kgtoGg,"NO")</f>
        <v>NO</v>
      </c>
      <c r="AA134" s="22" t="str">
        <f>IFERROR(('Activity data'!#REF!*(1/Constants!$H$112))*ttokg*FSOMEF*NtoN2O*kgtoGg,"NO")</f>
        <v>NO</v>
      </c>
      <c r="AB134" s="22" t="str">
        <f>IFERROR(('Activity data'!#REF!*(1/Constants!$H$112))*ttokg*FSOMEF*NtoN2O*kgtoGg,"NO")</f>
        <v>NO</v>
      </c>
      <c r="AC134" s="22" t="str">
        <f>IFERROR(('Activity data'!#REF!*(1/Constants!$H$112))*ttokg*FSOMEF*NtoN2O*kgtoGg,"NO")</f>
        <v>NO</v>
      </c>
      <c r="AD134" s="22" t="str">
        <f>IFERROR(('Activity data'!#REF!*(1/Constants!$H$112))*ttokg*FSOMEF*NtoN2O*kgtoGg,"NO")</f>
        <v>NO</v>
      </c>
      <c r="AE134" s="22" t="str">
        <f>IFERROR(('Activity data'!#REF!*(1/Constants!$H$112))*ttokg*FSOMEF*NtoN2O*kgtoGg,"NO")</f>
        <v>NO</v>
      </c>
      <c r="AF134" s="22" t="str">
        <f>IFERROR(('Activity data'!#REF!*(1/Constants!$H$112))*ttokg*FSOMEF*NtoN2O*kgtoGg,"NO")</f>
        <v>NO</v>
      </c>
      <c r="AG134" s="22" t="str">
        <f>IFERROR(('Activity data'!#REF!*(1/Constants!$H$112))*ttokg*FSOMEF*NtoN2O*kgtoGg,"NO")</f>
        <v>NO</v>
      </c>
      <c r="AH134" s="22" t="str">
        <f>IFERROR(('Activity data'!#REF!*(1/Constants!$H$112))*ttokg*FSOMEF*NtoN2O*kgtoGg,"NO")</f>
        <v>NO</v>
      </c>
      <c r="AI134" s="22" t="str">
        <f>IFERROR(('Activity data'!#REF!*(1/Constants!$H$112))*ttokg*FSOMEF*NtoN2O*kgtoGg,"NO")</f>
        <v>NO</v>
      </c>
      <c r="AJ134" s="22" t="str">
        <f>IFERROR(('Activity data'!#REF!*(1/Constants!$H$112))*ttokg*FSOMEF*NtoN2O*kgtoGg,"NO")</f>
        <v>NO</v>
      </c>
      <c r="AK134" s="22" t="str">
        <f>IFERROR(('Activity data'!#REF!*(1/Constants!$H$112))*ttokg*FSOMEF*NtoN2O*kgtoGg,"NO")</f>
        <v>NO</v>
      </c>
      <c r="AL134" s="22" t="str">
        <f>IFERROR(('Activity data'!#REF!*(1/Constants!$H$112))*ttokg*FSOMEF*NtoN2O*kgtoGg,"NO")</f>
        <v>NO</v>
      </c>
      <c r="AM134" s="22" t="str">
        <f>IFERROR(('Activity data'!#REF!*(1/Constants!$H$112))*ttokg*FSOMEF*NtoN2O*kgtoGg,"NO")</f>
        <v>NO</v>
      </c>
      <c r="AN134" s="22" t="str">
        <f>IFERROR(('Activity data'!#REF!*(1/Constants!$H$112))*ttokg*FSOMEF*NtoN2O*kgtoGg,"NO")</f>
        <v>NO</v>
      </c>
      <c r="AO134" s="22" t="str">
        <f>IFERROR(('Activity data'!#REF!*(1/Constants!$H$112))*ttokg*FSOMEF*NtoN2O*kgtoGg,"NO")</f>
        <v>NO</v>
      </c>
      <c r="AP134" s="22" t="str">
        <f>IFERROR(('Activity data'!#REF!*(1/Constants!$H$112))*ttokg*FSOMEF*NtoN2O*kgtoGg,"NO")</f>
        <v>NO</v>
      </c>
      <c r="AQ134" s="22" t="str">
        <f>IFERROR(('Activity data'!#REF!*(1/Constants!$H$112))*ttokg*FSOMEF*NtoN2O*kgtoGg,"NO")</f>
        <v>NO</v>
      </c>
      <c r="AR134" s="22" t="str">
        <f>IFERROR(('Activity data'!#REF!*(1/Constants!$H$112))*ttokg*FSOMEF*NtoN2O*kgtoGg,"NO")</f>
        <v>NO</v>
      </c>
      <c r="AS134" s="22" t="str">
        <f>IFERROR(('Activity data'!#REF!*(1/Constants!$H$112))*ttokg*FSOMEF*NtoN2O*kgtoGg,"NO")</f>
        <v>NO</v>
      </c>
      <c r="AT134" s="22" t="str">
        <f>IFERROR(('Activity data'!#REF!*(1/Constants!$H$112))*ttokg*FSOMEF*NtoN2O*kgtoGg,"NO")</f>
        <v>NO</v>
      </c>
      <c r="AU134" s="22" t="str">
        <f>IFERROR(('Activity data'!#REF!*(1/Constants!$H$112))*ttokg*FSOMEF*NtoN2O*kgtoGg,"NO")</f>
        <v>NO</v>
      </c>
      <c r="AV134" s="22" t="str">
        <f>IFERROR(('Activity data'!#REF!*(1/Constants!$H$112))*ttokg*FSOMEF*NtoN2O*kgtoGg,"NO")</f>
        <v>NO</v>
      </c>
      <c r="AW134" s="22" t="str">
        <f>IFERROR(('Activity data'!#REF!*(1/Constants!$H$112))*ttokg*FSOMEF*NtoN2O*kgtoGg,"NO")</f>
        <v>NO</v>
      </c>
      <c r="AX134" s="22" t="str">
        <f>IFERROR(('Activity data'!#REF!*(1/Constants!$H$112))*ttokg*FSOMEF*NtoN2O*kgtoGg,"NO")</f>
        <v>NO</v>
      </c>
      <c r="AY134" s="22" t="str">
        <f>IFERROR(('Activity data'!#REF!*(1/Constants!$H$112))*ttokg*FSOMEF*NtoN2O*kgtoGg,"NO")</f>
        <v>NO</v>
      </c>
      <c r="AZ134" s="22" t="str">
        <f>IFERROR(('Activity data'!#REF!*(1/Constants!$H$112))*ttokg*FSOMEF*NtoN2O*kgtoGg,"NO")</f>
        <v>NO</v>
      </c>
      <c r="BA134" s="22" t="str">
        <f>IFERROR(('Activity data'!#REF!*(1/Constants!$H$112))*ttokg*FSOMEF*NtoN2O*kgtoGg,"NO")</f>
        <v>NO</v>
      </c>
      <c r="BB134" s="22" t="str">
        <f>IFERROR(('Activity data'!#REF!*(1/Constants!$H$112))*ttokg*FSOMEF*NtoN2O*kgtoGg,"NO")</f>
        <v>NO</v>
      </c>
      <c r="BC134" s="22" t="str">
        <f>IFERROR(('Activity data'!#REF!*(1/Constants!$H$112))*ttokg*FSOMEF*NtoN2O*kgtoGg,"NO")</f>
        <v>NO</v>
      </c>
      <c r="BD134" s="22" t="str">
        <f>IFERROR(('Activity data'!#REF!*(1/Constants!$H$112))*ttokg*FSOMEF*NtoN2O*kgtoGg,"NO")</f>
        <v>NO</v>
      </c>
      <c r="BE134" s="22" t="str">
        <f>IFERROR(('Activity data'!#REF!*(1/Constants!$H$112))*ttokg*FSOMEF*NtoN2O*kgtoGg,"NO")</f>
        <v>NO</v>
      </c>
      <c r="BF134" s="22" t="str">
        <f>IFERROR(('Activity data'!#REF!*(1/Constants!$H$112))*ttokg*FSOMEF*NtoN2O*kgtoGg,"NO")</f>
        <v>NO</v>
      </c>
      <c r="BG134" s="22" t="str">
        <f>IFERROR(('Activity data'!#REF!*(1/Constants!$H$112))*ttokg*FSOMEF*NtoN2O*kgtoGg,"NO")</f>
        <v>NO</v>
      </c>
      <c r="BH134" s="22" t="str">
        <f>IFERROR(('Activity data'!#REF!*(1/Constants!$H$112))*ttokg*FSOMEF*NtoN2O*kgtoGg,"NO")</f>
        <v>NO</v>
      </c>
      <c r="BI134" s="22" t="str">
        <f>IFERROR(('Activity data'!#REF!*(1/Constants!$H$112))*ttokg*FSOMEF*NtoN2O*kgtoGg,"NO")</f>
        <v>NO</v>
      </c>
      <c r="BJ134" s="22" t="str">
        <f>IFERROR(('Activity data'!#REF!*(1/Constants!$H$112))*ttokg*FSOMEF*NtoN2O*kgtoGg,"NO")</f>
        <v>NO</v>
      </c>
      <c r="BK134" s="22" t="str">
        <f>IFERROR(('Activity data'!#REF!*(1/Constants!$H$112))*ttokg*FSOMEF*NtoN2O*kgtoGg,"NO")</f>
        <v>NO</v>
      </c>
      <c r="BL134" s="22" t="str">
        <f>IFERROR(('Activity data'!#REF!*(1/Constants!$H$112))*ttokg*FSOMEF*NtoN2O*kgtoGg,"NO")</f>
        <v>NO</v>
      </c>
      <c r="BM134" s="22" t="str">
        <f>IFERROR(('Activity data'!#REF!*(1/Constants!$H$112))*ttokg*FSOMEF*NtoN2O*kgtoGg,"NO")</f>
        <v>NO</v>
      </c>
      <c r="BN134" s="22" t="str">
        <f>IFERROR(('Activity data'!#REF!*(1/Constants!$H$112))*ttokg*FSOMEF*NtoN2O*kgtoGg,"NO")</f>
        <v>NO</v>
      </c>
      <c r="BO134" s="22" t="str">
        <f>IFERROR(('Activity data'!#REF!*(1/Constants!$H$112))*ttokg*FSOMEF*NtoN2O*kgtoGg,"NO")</f>
        <v>NO</v>
      </c>
      <c r="BP134" s="22" t="str">
        <f>IFERROR(('Activity data'!#REF!*(1/Constants!$H$112))*ttokg*FSOMEF*NtoN2O*kgtoGg,"NO")</f>
        <v>NO</v>
      </c>
    </row>
    <row r="135" spans="1:68" x14ac:dyDescent="0.25">
      <c r="A135" t="str">
        <f t="shared" si="39"/>
        <v>3C Aggregated and non-CO2 emissions on land</v>
      </c>
      <c r="B135" t="str">
        <f t="shared" si="31"/>
        <v>3C4 Direct N2O from managed soils (N2O)</v>
      </c>
      <c r="C135" t="s">
        <v>60</v>
      </c>
      <c r="D135" t="str">
        <f>" - "&amp;'Activity data'!D91</f>
        <v xml:space="preserve"> - Grassland remaining grassland</v>
      </c>
      <c r="E135" t="str">
        <f t="shared" si="32"/>
        <v>FSOM - Grassland remaining grassland</v>
      </c>
      <c r="G135" t="str">
        <f t="shared" si="37"/>
        <v>Gg N2O</v>
      </c>
      <c r="H135" s="22">
        <f>IFERROR(('Activity data'!H99*(1/Constants!$H$112))*ttokg*FSOMEF*NtoN2O*kgtoGg,"NO")</f>
        <v>0</v>
      </c>
      <c r="I135" s="22">
        <f>IFERROR(('Activity data'!I91*(1/Constants!$H$112))*ttokg*FSOMEF*NtoN2O*kgtoGg,"NO")</f>
        <v>5.0353963047889893E-3</v>
      </c>
      <c r="J135" s="22">
        <f>IFERROR(('Activity data'!J91*(1/Constants!$H$112))*ttokg*FSOMEF*NtoN2O*kgtoGg,"NO")</f>
        <v>5.0353963047889893E-3</v>
      </c>
      <c r="K135" s="22">
        <f>IFERROR(('Activity data'!K91*(1/Constants!$H$112))*ttokg*FSOMEF*NtoN2O*kgtoGg,"NO")</f>
        <v>5.0353963047889893E-3</v>
      </c>
      <c r="L135" s="22">
        <f>IFERROR(('Activity data'!L91*(1/Constants!$H$112))*ttokg*FSOMEF*NtoN2O*kgtoGg,"NO")</f>
        <v>5.0353963047889893E-3</v>
      </c>
      <c r="M135" s="22">
        <f>IFERROR(('Activity data'!M91*(1/Constants!$H$112))*ttokg*FSOMEF*NtoN2O*kgtoGg,"NO")</f>
        <v>5.0353963047889893E-3</v>
      </c>
      <c r="N135" s="22">
        <f>IFERROR(('Activity data'!N91*(1/Constants!$H$112))*ttokg*FSOMEF*NtoN2O*kgtoGg,"NO")</f>
        <v>5.0353963047889893E-3</v>
      </c>
      <c r="O135" s="22">
        <f>IFERROR(('Activity data'!O91*(1/Constants!$H$112))*ttokg*FSOMEF*NtoN2O*kgtoGg,"NO")</f>
        <v>5.0353963047889893E-3</v>
      </c>
      <c r="P135" s="22">
        <f>IFERROR(('Activity data'!P91*(1/Constants!$H$112))*ttokg*FSOMEF*NtoN2O*kgtoGg,"NO")</f>
        <v>5.0353963047889893E-3</v>
      </c>
      <c r="Q135" s="22">
        <f>IFERROR(('Activity data'!Q91*(1/Constants!$H$112))*ttokg*FSOMEF*NtoN2O*kgtoGg,"NO")</f>
        <v>5.0353963047889893E-3</v>
      </c>
      <c r="R135" s="22">
        <f>IFERROR(('Activity data'!R91*(1/Constants!$H$112))*ttokg*FSOMEF*NtoN2O*kgtoGg,"NO")</f>
        <v>5.0353963047889893E-3</v>
      </c>
      <c r="S135" s="22">
        <f>IFERROR(('Activity data'!S91*(1/Constants!$H$112))*ttokg*FSOMEF*NtoN2O*kgtoGg,"NO")</f>
        <v>5.0353963047889893E-3</v>
      </c>
      <c r="T135" s="22">
        <f>IFERROR(('Activity data'!T91*(1/Constants!$H$112))*ttokg*FSOMEF*NtoN2O*kgtoGg,"NO")</f>
        <v>5.0353963047889893E-3</v>
      </c>
      <c r="U135" s="22">
        <f>IFERROR(('Activity data'!U91*(1/Constants!$H$112))*ttokg*FSOMEF*NtoN2O*kgtoGg,"NO")</f>
        <v>5.0353963047889893E-3</v>
      </c>
      <c r="V135" s="22">
        <f>IFERROR(('Activity data'!V91*(1/Constants!$H$112))*ttokg*FSOMEF*NtoN2O*kgtoGg,"NO")</f>
        <v>5.0353963047889893E-3</v>
      </c>
      <c r="W135" s="22">
        <f>IFERROR(('Activity data'!W91*(1/Constants!$H$112))*ttokg*FSOMEF*NtoN2O*kgtoGg,"NO")</f>
        <v>5.0353963047889893E-3</v>
      </c>
      <c r="X135" s="22">
        <f>IFERROR(('Activity data'!X91*(1/Constants!$H$112))*ttokg*FSOMEF*NtoN2O*kgtoGg,"NO")</f>
        <v>5.0353963047889893E-3</v>
      </c>
      <c r="Y135" s="22">
        <f>IFERROR(('Activity data'!Y91*(1/Constants!$H$112))*ttokg*FSOMEF*NtoN2O*kgtoGg,"NO")</f>
        <v>5.0353963047889893E-3</v>
      </c>
      <c r="Z135" s="22">
        <f>IFERROR(('Activity data'!Z91*(1/Constants!$H$112))*ttokg*FSOMEF*NtoN2O*kgtoGg,"NO")</f>
        <v>5.0353963047889893E-3</v>
      </c>
      <c r="AA135" s="22">
        <f>IFERROR(('Activity data'!AA91*(1/Constants!$H$112))*ttokg*FSOMEF*NtoN2O*kgtoGg,"NO")</f>
        <v>5.0353963047889893E-3</v>
      </c>
      <c r="AB135" s="22">
        <f>IFERROR(('Activity data'!AB91*(1/Constants!$H$112))*ttokg*FSOMEF*NtoN2O*kgtoGg,"NO")</f>
        <v>5.0353963047889893E-3</v>
      </c>
      <c r="AC135" s="22">
        <f>IFERROR(('Activity data'!AC91*(1/Constants!$H$112))*ttokg*FSOMEF*NtoN2O*kgtoGg,"NO")</f>
        <v>5.0353963047889893E-3</v>
      </c>
      <c r="AD135" s="22">
        <f>IFERROR(('Activity data'!AD91*(1/Constants!$H$112))*ttokg*FSOMEF*NtoN2O*kgtoGg,"NO")</f>
        <v>1.3847489699010502</v>
      </c>
      <c r="AE135" s="22">
        <f>IFERROR(('Activity data'!AE91*(1/Constants!$H$112))*ttokg*FSOMEF*NtoN2O*kgtoGg,"NO")</f>
        <v>1.3847489699010502</v>
      </c>
      <c r="AF135" s="22">
        <f>IFERROR(('Activity data'!AF91*(1/Constants!$H$112))*ttokg*FSOMEF*NtoN2O*kgtoGg,"NO")</f>
        <v>1.3847489699010502</v>
      </c>
      <c r="AG135" s="22">
        <f>IFERROR(('Activity data'!AG91*(1/Constants!$H$112))*ttokg*FSOMEF*NtoN2O*kgtoGg,"NO")</f>
        <v>1.3847489699010502</v>
      </c>
      <c r="AH135" s="22">
        <f>IFERROR(('Activity data'!AH91*(1/Constants!$H$112))*ttokg*FSOMEF*NtoN2O*kgtoGg,"NO")</f>
        <v>1.3847489699010502</v>
      </c>
      <c r="AI135" s="22">
        <f>IFERROR(('Activity data'!AI91*(1/Constants!$H$112))*ttokg*FSOMEF*NtoN2O*kgtoGg,"NO")</f>
        <v>1.3847489699010502</v>
      </c>
      <c r="AJ135" s="22">
        <f>IFERROR(('Activity data'!AJ91*(1/Constants!$H$112))*ttokg*FSOMEF*NtoN2O*kgtoGg,"NO")</f>
        <v>1.3847489699010502</v>
      </c>
      <c r="AK135" s="22">
        <f>IFERROR(('Activity data'!AK91*(1/Constants!$H$112))*ttokg*FSOMEF*NtoN2O*kgtoGg,"NO")</f>
        <v>1.3847489699010502</v>
      </c>
      <c r="AL135" s="22">
        <f>IFERROR(('Activity data'!AL91*(1/Constants!$H$112))*ttokg*FSOMEF*NtoN2O*kgtoGg,"NO")</f>
        <v>1.3847489699010502</v>
      </c>
      <c r="AM135" s="22">
        <f>IFERROR(('Activity data'!AM91*(1/Constants!$H$112))*ttokg*FSOMEF*NtoN2O*kgtoGg,"NO")</f>
        <v>1.3847489699010502</v>
      </c>
      <c r="AN135" s="22">
        <f>IFERROR(('Activity data'!AN91*(1/Constants!$H$112))*ttokg*FSOMEF*NtoN2O*kgtoGg,"NO")</f>
        <v>1.3847489699010502</v>
      </c>
      <c r="AO135" s="22">
        <f>IFERROR(('Activity data'!AO91*(1/Constants!$H$112))*ttokg*FSOMEF*NtoN2O*kgtoGg,"NO")</f>
        <v>1.3847489699010502</v>
      </c>
      <c r="AP135" s="22">
        <f>IFERROR(('Activity data'!AP91*(1/Constants!$H$112))*ttokg*FSOMEF*NtoN2O*kgtoGg,"NO")</f>
        <v>1.3847489699010502</v>
      </c>
      <c r="AQ135" s="22">
        <f>IFERROR(('Activity data'!AQ91*(1/Constants!$H$112))*ttokg*FSOMEF*NtoN2O*kgtoGg,"NO")</f>
        <v>1.3847489699010502</v>
      </c>
      <c r="AR135" s="22">
        <f>IFERROR(('Activity data'!AR91*(1/Constants!$H$112))*ttokg*FSOMEF*NtoN2O*kgtoGg,"NO")</f>
        <v>1.3847489699010502</v>
      </c>
      <c r="AS135" s="22">
        <f>IFERROR(('Activity data'!AS91*(1/Constants!$H$112))*ttokg*FSOMEF*NtoN2O*kgtoGg,"NO")</f>
        <v>1.3847489699010502</v>
      </c>
      <c r="AT135" s="22">
        <f>IFERROR(('Activity data'!AT91*(1/Constants!$H$112))*ttokg*FSOMEF*NtoN2O*kgtoGg,"NO")</f>
        <v>1.3847489699010502</v>
      </c>
      <c r="AU135" s="22">
        <f>IFERROR(('Activity data'!AU91*(1/Constants!$H$112))*ttokg*FSOMEF*NtoN2O*kgtoGg,"NO")</f>
        <v>1.3847489699010502</v>
      </c>
      <c r="AV135" s="22">
        <f>IFERROR(('Activity data'!AV91*(1/Constants!$H$112))*ttokg*FSOMEF*NtoN2O*kgtoGg,"NO")</f>
        <v>1.3847489699010502</v>
      </c>
      <c r="AW135" s="22">
        <f>IFERROR(('Activity data'!AW91*(1/Constants!$H$112))*ttokg*FSOMEF*NtoN2O*kgtoGg,"NO")</f>
        <v>1.3847489699010502</v>
      </c>
      <c r="AX135" s="22">
        <f>IFERROR(('Activity data'!AX91*(1/Constants!$H$112))*ttokg*FSOMEF*NtoN2O*kgtoGg,"NO")</f>
        <v>1.3847489699010502</v>
      </c>
      <c r="AY135" s="22">
        <f>IFERROR(('Activity data'!AY91*(1/Constants!$H$112))*ttokg*FSOMEF*NtoN2O*kgtoGg,"NO")</f>
        <v>1.3847489699010502</v>
      </c>
      <c r="AZ135" s="22">
        <f>IFERROR(('Activity data'!AZ91*(1/Constants!$H$112))*ttokg*FSOMEF*NtoN2O*kgtoGg,"NO")</f>
        <v>1.3847489699010502</v>
      </c>
      <c r="BA135" s="22">
        <f>IFERROR(('Activity data'!BA91*(1/Constants!$H$112))*ttokg*FSOMEF*NtoN2O*kgtoGg,"NO")</f>
        <v>1.3847489699010502</v>
      </c>
      <c r="BB135" s="22">
        <f>IFERROR(('Activity data'!BB91*(1/Constants!$H$112))*ttokg*FSOMEF*NtoN2O*kgtoGg,"NO")</f>
        <v>1.3847489699010502</v>
      </c>
      <c r="BC135" s="22">
        <f>IFERROR(('Activity data'!BC91*(1/Constants!$H$112))*ttokg*FSOMEF*NtoN2O*kgtoGg,"NO")</f>
        <v>1.3847489699010502</v>
      </c>
      <c r="BD135" s="22">
        <f>IFERROR(('Activity data'!BD91*(1/Constants!$H$112))*ttokg*FSOMEF*NtoN2O*kgtoGg,"NO")</f>
        <v>1.3847489699010502</v>
      </c>
      <c r="BE135" s="22">
        <f>IFERROR(('Activity data'!BE91*(1/Constants!$H$112))*ttokg*FSOMEF*NtoN2O*kgtoGg,"NO")</f>
        <v>1.3847489699010502</v>
      </c>
      <c r="BF135" s="22">
        <f>IFERROR(('Activity data'!BF91*(1/Constants!$H$112))*ttokg*FSOMEF*NtoN2O*kgtoGg,"NO")</f>
        <v>1.3847489699010502</v>
      </c>
      <c r="BG135" s="22">
        <f>IFERROR(('Activity data'!BG91*(1/Constants!$H$112))*ttokg*FSOMEF*NtoN2O*kgtoGg,"NO")</f>
        <v>1.3847489699010502</v>
      </c>
      <c r="BH135" s="22">
        <f>IFERROR(('Activity data'!BH91*(1/Constants!$H$112))*ttokg*FSOMEF*NtoN2O*kgtoGg,"NO")</f>
        <v>1.3847489699010502</v>
      </c>
      <c r="BI135" s="22">
        <f>IFERROR(('Activity data'!BI91*(1/Constants!$H$112))*ttokg*FSOMEF*NtoN2O*kgtoGg,"NO")</f>
        <v>1.3847489699010502</v>
      </c>
      <c r="BJ135" s="22">
        <f>IFERROR(('Activity data'!BJ91*(1/Constants!$H$112))*ttokg*FSOMEF*NtoN2O*kgtoGg,"NO")</f>
        <v>1.3847489699010502</v>
      </c>
      <c r="BK135" s="22">
        <f>IFERROR(('Activity data'!BK91*(1/Constants!$H$112))*ttokg*FSOMEF*NtoN2O*kgtoGg,"NO")</f>
        <v>1.3847489699010502</v>
      </c>
      <c r="BL135" s="22">
        <f>IFERROR(('Activity data'!BL91*(1/Constants!$H$112))*ttokg*FSOMEF*NtoN2O*kgtoGg,"NO")</f>
        <v>1.3847489699010502</v>
      </c>
      <c r="BM135" s="22">
        <f>IFERROR(('Activity data'!BM91*(1/Constants!$H$112))*ttokg*FSOMEF*NtoN2O*kgtoGg,"NO")</f>
        <v>1.3847489699010502</v>
      </c>
      <c r="BN135" s="22">
        <f>IFERROR(('Activity data'!BN91*(1/Constants!$H$112))*ttokg*FSOMEF*NtoN2O*kgtoGg,"NO")</f>
        <v>1.3847489699010502</v>
      </c>
      <c r="BO135" s="22">
        <f>IFERROR(('Activity data'!BO91*(1/Constants!$H$112))*ttokg*FSOMEF*NtoN2O*kgtoGg,"NO")</f>
        <v>1.3847489699010502</v>
      </c>
      <c r="BP135" s="22">
        <f>IFERROR(('Activity data'!BP91*(1/Constants!$H$112))*ttokg*FSOMEF*NtoN2O*kgtoGg,"NO")</f>
        <v>1.3847489699010502</v>
      </c>
    </row>
    <row r="136" spans="1:68" x14ac:dyDescent="0.25">
      <c r="A136" t="str">
        <f>A122</f>
        <v>3C Aggregated and non-CO2 emissions on land</v>
      </c>
      <c r="B136" t="str">
        <f>'IPCC Categories'!B78</f>
        <v>3C5 Indirect N2O from managed soils (N2O)</v>
      </c>
      <c r="C136" t="str">
        <f>'IPCC Categories'!C78</f>
        <v>Volatilisation</v>
      </c>
      <c r="D136" t="s">
        <v>440</v>
      </c>
      <c r="E136" t="str">
        <f t="shared" si="32"/>
        <v>Volatilisation - Synthetic fertlisers</v>
      </c>
      <c r="F136" t="str">
        <f>F122</f>
        <v>N2O</v>
      </c>
      <c r="G136" t="str">
        <f>G122</f>
        <v>Gg N2O</v>
      </c>
      <c r="H136" s="22">
        <f>'Activity data'!H47*ttokg*FracGASF*MSVolatEF*NtoN2O*kgtoGg</f>
        <v>0.5400827142857143</v>
      </c>
      <c r="I136" s="22">
        <f>'Activity data'!I47*ttokg*FracGASF*MSVolatEF*NtoN2O*kgtoGg</f>
        <v>0.57362642857142854</v>
      </c>
      <c r="J136" s="22">
        <f>'Activity data'!J47*ttokg*FracGASF*MSVolatEF*NtoN2O*kgtoGg</f>
        <v>0.54611071428571434</v>
      </c>
      <c r="K136" s="22">
        <f>'Activity data'!K47*ttokg*FracGASF*MSVolatEF*NtoN2O*kgtoGg</f>
        <v>0.64186414285714277</v>
      </c>
      <c r="L136" s="22">
        <f>'Activity data'!L47*ttokg*FracGASF*MSVolatEF*NtoN2O*kgtoGg</f>
        <v>0.58938942857142851</v>
      </c>
      <c r="M136" s="22">
        <f>'Activity data'!M47*ttokg*FracGASF*MSVolatEF*NtoN2O*kgtoGg</f>
        <v>0.58377157142857139</v>
      </c>
      <c r="N136" s="22">
        <f>'Activity data'!N47*ttokg*FracGASF*MSVolatEF*NtoN2O*kgtoGg</f>
        <v>0.65227485714285716</v>
      </c>
      <c r="O136" s="22">
        <f>'Activity data'!O47*ttokg*FracGASF*MSVolatEF*NtoN2O*kgtoGg</f>
        <v>0.63943628571428568</v>
      </c>
      <c r="P136" s="22">
        <f>'Activity data'!P47*ttokg*FracGASF*MSVolatEF*NtoN2O*kgtoGg</f>
        <v>0.65296157142857136</v>
      </c>
      <c r="Q136" s="22">
        <f>'Activity data'!Q47*ttokg*FracGASF*MSVolatEF*NtoN2O*kgtoGg</f>
        <v>0.64907071428571428</v>
      </c>
      <c r="R136" s="22">
        <f>'Activity data'!R47*ttokg*FracGASF*MSVolatEF*NtoN2O*kgtoGg</f>
        <v>0.653609</v>
      </c>
      <c r="S136" s="22">
        <f>'Activity data'!S47*ttokg*FracGASF*MSVolatEF*NtoN2O*kgtoGg</f>
        <v>0.6219918571428571</v>
      </c>
      <c r="T136" s="22">
        <f>'Activity data'!T47*ttokg*FracGASF*MSVolatEF*NtoN2O*kgtoGg</f>
        <v>0.74968457142857137</v>
      </c>
      <c r="U136" s="22">
        <f>'Activity data'!U47*ttokg*FracGASF*MSVolatEF*NtoN2O*kgtoGg</f>
        <v>0.66129957142857132</v>
      </c>
      <c r="V136" s="22">
        <f>'Activity data'!V47*ttokg*FracGASF*MSVolatEF*NtoN2O*kgtoGg</f>
        <v>0.67189728571428564</v>
      </c>
      <c r="W136" s="22">
        <f>'Activity data'!W47*ttokg*FracGASF*MSVolatEF*NtoN2O*kgtoGg</f>
        <v>0.54569428571428569</v>
      </c>
      <c r="X136" s="22">
        <f>'Activity data'!X47*ttokg*FracGASF*MSVolatEF*NtoN2O*kgtoGg</f>
        <v>0.67370128571428567</v>
      </c>
      <c r="Y136" s="22">
        <f>'Activity data'!Y47*ttokg*FracGASF*MSVolatEF*NtoN2O*kgtoGg</f>
        <v>0.69061142857142854</v>
      </c>
      <c r="Z136" s="22">
        <f>'Activity data'!Z47*ttokg*FracGASF*MSVolatEF*NtoN2O*kgtoGg</f>
        <v>0.66647899999999993</v>
      </c>
      <c r="AA136" s="22">
        <f>'Activity data'!AA47*ttokg*FracGASF*MSVolatEF*NtoN2O*kgtoGg</f>
        <v>0.71307814285714277</v>
      </c>
      <c r="AB136" s="22">
        <f>'Activity data'!AB47*ttokg*FracGASF*MSVolatEF*NtoN2O*kgtoGg</f>
        <v>0.62071428571428566</v>
      </c>
      <c r="AC136" s="22">
        <f>'Activity data'!AC47*ttokg*FracGASF*MSVolatEF*NtoN2O*kgtoGg</f>
        <v>0.65842857142857136</v>
      </c>
      <c r="AD136" s="22">
        <f>'Activity data'!AD47*ttokg*FracGASF*MSVolatEF*NtoN2O*kgtoGg</f>
        <v>0.66633241162127699</v>
      </c>
      <c r="AE136" s="22">
        <f>'Activity data'!AE47*ttokg*FracGASF*MSVolatEF*NtoN2O*kgtoGg</f>
        <v>0.66661216500394826</v>
      </c>
      <c r="AF136" s="22">
        <f>'Activity data'!AF47*ttokg*FracGASF*MSVolatEF*NtoN2O*kgtoGg</f>
        <v>0.66689445899286848</v>
      </c>
      <c r="AG136" s="22">
        <f>'Activity data'!AG47*ttokg*FracGASF*MSVolatEF*NtoN2O*kgtoGg</f>
        <v>0.667179316660787</v>
      </c>
      <c r="AH136" s="22">
        <f>'Activity data'!AH47*ttokg*FracGASF*MSVolatEF*NtoN2O*kgtoGg</f>
        <v>0.6674897781309338</v>
      </c>
      <c r="AI136" s="22">
        <f>'Activity data'!AI47*ttokg*FracGASF*MSVolatEF*NtoN2O*kgtoGg</f>
        <v>0.6678002396010807</v>
      </c>
      <c r="AJ136" s="22">
        <f>'Activity data'!AJ47*ttokg*FracGASF*MSVolatEF*NtoN2O*kgtoGg</f>
        <v>0.6681107010712275</v>
      </c>
      <c r="AK136" s="22">
        <f>'Activity data'!AK47*ttokg*FracGASF*MSVolatEF*NtoN2O*kgtoGg</f>
        <v>0.6684211625413744</v>
      </c>
      <c r="AL136" s="22">
        <f>'Activity data'!AL47*ttokg*FracGASF*MSVolatEF*NtoN2O*kgtoGg</f>
        <v>0.66873162401152131</v>
      </c>
      <c r="AM136" s="22">
        <f>'Activity data'!AM47*ttokg*FracGASF*MSVolatEF*NtoN2O*kgtoGg</f>
        <v>0.66904631021074457</v>
      </c>
      <c r="AN136" s="22">
        <f>'Activity data'!AN47*ttokg*FracGASF*MSVolatEF*NtoN2O*kgtoGg</f>
        <v>0.66936099640415936</v>
      </c>
      <c r="AO136" s="22">
        <f>'Activity data'!AO47*ttokg*FracGASF*MSVolatEF*NtoN2O*kgtoGg</f>
        <v>0.66967568259757393</v>
      </c>
      <c r="AP136" s="22">
        <f>'Activity data'!AP47*ttokg*FracGASF*MSVolatEF*NtoN2O*kgtoGg</f>
        <v>0.66967568259757393</v>
      </c>
      <c r="AQ136" s="22">
        <f>'Activity data'!AQ47*ttokg*FracGASF*MSVolatEF*NtoN2O*kgtoGg</f>
        <v>0.66967568259757393</v>
      </c>
      <c r="AR136" s="22">
        <f>'Activity data'!AR47*ttokg*FracGASF*MSVolatEF*NtoN2O*kgtoGg</f>
        <v>0.66967568259757393</v>
      </c>
      <c r="AS136" s="22">
        <f>'Activity data'!AS47*ttokg*FracGASF*MSVolatEF*NtoN2O*kgtoGg</f>
        <v>0.66967568259757393</v>
      </c>
      <c r="AT136" s="22">
        <f>'Activity data'!AT47*ttokg*FracGASF*MSVolatEF*NtoN2O*kgtoGg</f>
        <v>0.66967568259757393</v>
      </c>
      <c r="AU136" s="22">
        <f>'Activity data'!AU47*ttokg*FracGASF*MSVolatEF*NtoN2O*kgtoGg</f>
        <v>0.66967568259757393</v>
      </c>
      <c r="AV136" s="22">
        <f>'Activity data'!AV47*ttokg*FracGASF*MSVolatEF*NtoN2O*kgtoGg</f>
        <v>0.66967568259757393</v>
      </c>
      <c r="AW136" s="22">
        <f>'Activity data'!AW47*ttokg*FracGASF*MSVolatEF*NtoN2O*kgtoGg</f>
        <v>0.66967568259757393</v>
      </c>
      <c r="AX136" s="22">
        <f>'Activity data'!AX47*ttokg*FracGASF*MSVolatEF*NtoN2O*kgtoGg</f>
        <v>0.66967568259757393</v>
      </c>
      <c r="AY136" s="22">
        <f>'Activity data'!AY47*ttokg*FracGASF*MSVolatEF*NtoN2O*kgtoGg</f>
        <v>0.66967568259757393</v>
      </c>
      <c r="AZ136" s="22">
        <f>'Activity data'!AZ47*ttokg*FracGASF*MSVolatEF*NtoN2O*kgtoGg</f>
        <v>0.66967568259757393</v>
      </c>
      <c r="BA136" s="22">
        <f>'Activity data'!BA47*ttokg*FracGASF*MSVolatEF*NtoN2O*kgtoGg</f>
        <v>0.66967568259757393</v>
      </c>
      <c r="BB136" s="22">
        <f>'Activity data'!BB47*ttokg*FracGASF*MSVolatEF*NtoN2O*kgtoGg</f>
        <v>0.66967568259757393</v>
      </c>
      <c r="BC136" s="22">
        <f>'Activity data'!BC47*ttokg*FracGASF*MSVolatEF*NtoN2O*kgtoGg</f>
        <v>0.66967568259757393</v>
      </c>
      <c r="BD136" s="22">
        <f>'Activity data'!BD47*ttokg*FracGASF*MSVolatEF*NtoN2O*kgtoGg</f>
        <v>0.66967568259757393</v>
      </c>
      <c r="BE136" s="22">
        <f>'Activity data'!BE47*ttokg*FracGASF*MSVolatEF*NtoN2O*kgtoGg</f>
        <v>0.66967568259757393</v>
      </c>
      <c r="BF136" s="22">
        <f>'Activity data'!BF47*ttokg*FracGASF*MSVolatEF*NtoN2O*kgtoGg</f>
        <v>0.66967568259757393</v>
      </c>
      <c r="BG136" s="22">
        <f>'Activity data'!BG47*ttokg*FracGASF*MSVolatEF*NtoN2O*kgtoGg</f>
        <v>0.66967568259757393</v>
      </c>
      <c r="BH136" s="22">
        <f>'Activity data'!BH47*ttokg*FracGASF*MSVolatEF*NtoN2O*kgtoGg</f>
        <v>0.66967568259757393</v>
      </c>
      <c r="BI136" s="22">
        <f>'Activity data'!BI47*ttokg*FracGASF*MSVolatEF*NtoN2O*kgtoGg</f>
        <v>0.66967568259757393</v>
      </c>
      <c r="BJ136" s="22">
        <f>'Activity data'!BJ47*ttokg*FracGASF*MSVolatEF*NtoN2O*kgtoGg</f>
        <v>0.66967568259757393</v>
      </c>
      <c r="BK136" s="22">
        <f>'Activity data'!BK47*ttokg*FracGASF*MSVolatEF*NtoN2O*kgtoGg</f>
        <v>0.66967568259757393</v>
      </c>
      <c r="BL136" s="22">
        <f>'Activity data'!BL47*ttokg*FracGASF*MSVolatEF*NtoN2O*kgtoGg</f>
        <v>0.66967568259757393</v>
      </c>
      <c r="BM136" s="22">
        <f>'Activity data'!BM47*ttokg*FracGASF*MSVolatEF*NtoN2O*kgtoGg</f>
        <v>0.66967568259757393</v>
      </c>
      <c r="BN136" s="22">
        <f>'Activity data'!BN47*ttokg*FracGASF*MSVolatEF*NtoN2O*kgtoGg</f>
        <v>0.66967568259757393</v>
      </c>
      <c r="BO136" s="22">
        <f>'Activity data'!BO47*ttokg*FracGASF*MSVolatEF*NtoN2O*kgtoGg</f>
        <v>0.66967568259757393</v>
      </c>
      <c r="BP136" s="22">
        <f>'Activity data'!BP47*ttokg*FracGASF*MSVolatEF*NtoN2O*kgtoGg</f>
        <v>0.66967568259757393</v>
      </c>
    </row>
    <row r="137" spans="1:68" x14ac:dyDescent="0.25">
      <c r="A137" t="str">
        <f t="shared" si="29"/>
        <v>3C Aggregated and non-CO2 emissions on land</v>
      </c>
      <c r="B137" t="str">
        <f>B136</f>
        <v>3C5 Indirect N2O from managed soils (N2O)</v>
      </c>
      <c r="C137" t="str">
        <f>C136</f>
        <v>Volatilisation</v>
      </c>
      <c r="D137" t="s">
        <v>441</v>
      </c>
      <c r="E137" t="str">
        <f t="shared" si="32"/>
        <v>Volatilisation - Organic fertilisers</v>
      </c>
      <c r="F137" t="str">
        <f t="shared" si="36"/>
        <v>N2O</v>
      </c>
      <c r="G137" t="str">
        <f t="shared" si="37"/>
        <v>Gg N2O</v>
      </c>
      <c r="H137" s="22">
        <f>'Activity data'!H48*ttokg*FracGASM*MSVolatEF*NtoN2O*kgtoGg</f>
        <v>7.1290918285714282E-3</v>
      </c>
      <c r="I137" s="22">
        <f>'Activity data'!I48*ttokg*FracGASM*MSVolatEF*NtoN2O*kgtoGg</f>
        <v>7.5718688571428574E-3</v>
      </c>
      <c r="J137" s="22">
        <f>'Activity data'!J48*ttokg*FracGASM*MSVolatEF*NtoN2O*kgtoGg</f>
        <v>7.2086614285714291E-3</v>
      </c>
      <c r="K137" s="22">
        <f>'Activity data'!K48*ttokg*FracGASM*MSVolatEF*NtoN2O*kgtoGg</f>
        <v>8.4726066857142863E-3</v>
      </c>
      <c r="L137" s="22">
        <f>'Activity data'!L48*ttokg*FracGASM*MSVolatEF*NtoN2O*kgtoGg</f>
        <v>7.7799404571428574E-3</v>
      </c>
      <c r="M137" s="22">
        <f>'Activity data'!M48*ttokg*FracGASM*MSVolatEF*NtoN2O*kgtoGg</f>
        <v>7.7057847428571432E-3</v>
      </c>
      <c r="N137" s="22">
        <f>'Activity data'!N48*ttokg*FracGASM*MSVolatEF*NtoN2O*kgtoGg</f>
        <v>8.610028114285715E-3</v>
      </c>
      <c r="O137" s="22">
        <f>'Activity data'!O48*ttokg*FracGASM*MSVolatEF*NtoN2O*kgtoGg</f>
        <v>8.440558971428572E-3</v>
      </c>
      <c r="P137" s="22">
        <f>'Activity data'!P48*ttokg*FracGASM*MSVolatEF*NtoN2O*kgtoGg</f>
        <v>8.6190927428571439E-3</v>
      </c>
      <c r="Q137" s="22">
        <f>'Activity data'!Q48*ttokg*FracGASM*MSVolatEF*NtoN2O*kgtoGg</f>
        <v>8.5677334285714293E-3</v>
      </c>
      <c r="R137" s="22">
        <f>'Activity data'!R48*ttokg*FracGASM*MSVolatEF*NtoN2O*kgtoGg</f>
        <v>8.627638800000002E-3</v>
      </c>
      <c r="S137" s="22">
        <f>'Activity data'!S48*ttokg*FracGASM*MSVolatEF*NtoN2O*kgtoGg</f>
        <v>8.210292514285714E-3</v>
      </c>
      <c r="T137" s="22">
        <f>'Activity data'!T48*ttokg*FracGASM*MSVolatEF*NtoN2O*kgtoGg</f>
        <v>9.8958363428571453E-3</v>
      </c>
      <c r="U137" s="22">
        <f>'Activity data'!U48*ttokg*FracGASM*MSVolatEF*NtoN2O*kgtoGg</f>
        <v>8.7291543428571466E-3</v>
      </c>
      <c r="V137" s="22">
        <f>'Activity data'!V48*ttokg*FracGASM*MSVolatEF*NtoN2O*kgtoGg</f>
        <v>8.8690441714285723E-3</v>
      </c>
      <c r="W137" s="22">
        <f>'Activity data'!W48*ttokg*FracGASM*MSVolatEF*NtoN2O*kgtoGg</f>
        <v>7.2031645714285709E-3</v>
      </c>
      <c r="X137" s="22">
        <f>'Activity data'!X48*ttokg*FracGASM*MSVolatEF*NtoN2O*kgtoGg</f>
        <v>8.8928569714285723E-3</v>
      </c>
      <c r="Y137" s="22">
        <f>'Activity data'!Y48*ttokg*FracGASM*MSVolatEF*NtoN2O*kgtoGg</f>
        <v>9.1160708571428571E-3</v>
      </c>
      <c r="Z137" s="22">
        <f>'Activity data'!Z48*ttokg*FracGASM*MSVolatEF*NtoN2O*kgtoGg</f>
        <v>8.7975228000000006E-3</v>
      </c>
      <c r="AA137" s="22">
        <f>'Activity data'!AA48*ttokg*FracGASM*MSVolatEF*NtoN2O*kgtoGg</f>
        <v>9.4126314857142859E-3</v>
      </c>
      <c r="AB137" s="22">
        <f>'Activity data'!AB48*ttokg*FracGASM*MSVolatEF*NtoN2O*kgtoGg</f>
        <v>8.1934285714285703E-3</v>
      </c>
      <c r="AC137" s="22">
        <f>'Activity data'!AC48*ttokg*FracGASM*MSVolatEF*NtoN2O*kgtoGg</f>
        <v>8.6912571428571419E-3</v>
      </c>
      <c r="AD137" s="22">
        <f>'Activity data'!AD48*ttokg*FracGASM*MSVolatEF*NtoN2O*kgtoGg</f>
        <v>8.7955878334008575E-3</v>
      </c>
      <c r="AE137" s="22">
        <f>'Activity data'!AE48*ttokg*FracGASM*MSVolatEF*NtoN2O*kgtoGg</f>
        <v>8.7992805780521179E-3</v>
      </c>
      <c r="AF137" s="22">
        <f>'Activity data'!AF48*ttokg*FracGASM*MSVolatEF*NtoN2O*kgtoGg</f>
        <v>8.8030068587058672E-3</v>
      </c>
      <c r="AG137" s="22">
        <f>'Activity data'!AG48*ttokg*FracGASM*MSVolatEF*NtoN2O*kgtoGg</f>
        <v>8.8067669799223886E-3</v>
      </c>
      <c r="AH137" s="22">
        <f>'Activity data'!AH48*ttokg*FracGASM*MSVolatEF*NtoN2O*kgtoGg</f>
        <v>8.810865071328328E-3</v>
      </c>
      <c r="AI137" s="22">
        <f>'Activity data'!AI48*ttokg*FracGASM*MSVolatEF*NtoN2O*kgtoGg</f>
        <v>8.8149631627342673E-3</v>
      </c>
      <c r="AJ137" s="22">
        <f>'Activity data'!AJ48*ttokg*FracGASM*MSVolatEF*NtoN2O*kgtoGg</f>
        <v>8.8190612541402032E-3</v>
      </c>
      <c r="AK137" s="22">
        <f>'Activity data'!AK48*ttokg*FracGASM*MSVolatEF*NtoN2O*kgtoGg</f>
        <v>8.8231593455461443E-3</v>
      </c>
      <c r="AL137" s="22">
        <f>'Activity data'!AL48*ttokg*FracGASM*MSVolatEF*NtoN2O*kgtoGg</f>
        <v>8.827257436952082E-3</v>
      </c>
      <c r="AM137" s="22">
        <f>'Activity data'!AM48*ttokg*FracGASM*MSVolatEF*NtoN2O*kgtoGg</f>
        <v>8.83141129478183E-3</v>
      </c>
      <c r="AN137" s="22">
        <f>'Activity data'!AN48*ttokg*FracGASM*MSVolatEF*NtoN2O*kgtoGg</f>
        <v>8.8355651525349032E-3</v>
      </c>
      <c r="AO137" s="22">
        <f>'Activity data'!AO48*ttokg*FracGASM*MSVolatEF*NtoN2O*kgtoGg</f>
        <v>8.8397190102879764E-3</v>
      </c>
      <c r="AP137" s="22">
        <f>'Activity data'!AP48*ttokg*FracGASM*MSVolatEF*NtoN2O*kgtoGg</f>
        <v>8.8397190102879764E-3</v>
      </c>
      <c r="AQ137" s="22">
        <f>'Activity data'!AQ48*ttokg*FracGASM*MSVolatEF*NtoN2O*kgtoGg</f>
        <v>8.8397190102879764E-3</v>
      </c>
      <c r="AR137" s="22">
        <f>'Activity data'!AR48*ttokg*FracGASM*MSVolatEF*NtoN2O*kgtoGg</f>
        <v>8.8397190102879764E-3</v>
      </c>
      <c r="AS137" s="22">
        <f>'Activity data'!AS48*ttokg*FracGASM*MSVolatEF*NtoN2O*kgtoGg</f>
        <v>8.8397190102879764E-3</v>
      </c>
      <c r="AT137" s="22">
        <f>'Activity data'!AT48*ttokg*FracGASM*MSVolatEF*NtoN2O*kgtoGg</f>
        <v>8.8397190102879764E-3</v>
      </c>
      <c r="AU137" s="22">
        <f>'Activity data'!AU48*ttokg*FracGASM*MSVolatEF*NtoN2O*kgtoGg</f>
        <v>8.8397190102879764E-3</v>
      </c>
      <c r="AV137" s="22">
        <f>'Activity data'!AV48*ttokg*FracGASM*MSVolatEF*NtoN2O*kgtoGg</f>
        <v>8.8397190102879764E-3</v>
      </c>
      <c r="AW137" s="22">
        <f>'Activity data'!AW48*ttokg*FracGASM*MSVolatEF*NtoN2O*kgtoGg</f>
        <v>8.8397190102879764E-3</v>
      </c>
      <c r="AX137" s="22">
        <f>'Activity data'!AX48*ttokg*FracGASM*MSVolatEF*NtoN2O*kgtoGg</f>
        <v>8.8397190102879764E-3</v>
      </c>
      <c r="AY137" s="22">
        <f>'Activity data'!AY48*ttokg*FracGASM*MSVolatEF*NtoN2O*kgtoGg</f>
        <v>8.8397190102879764E-3</v>
      </c>
      <c r="AZ137" s="22">
        <f>'Activity data'!AZ48*ttokg*FracGASM*MSVolatEF*NtoN2O*kgtoGg</f>
        <v>8.8397190102879764E-3</v>
      </c>
      <c r="BA137" s="22">
        <f>'Activity data'!BA48*ttokg*FracGASM*MSVolatEF*NtoN2O*kgtoGg</f>
        <v>8.8397190102879764E-3</v>
      </c>
      <c r="BB137" s="22">
        <f>'Activity data'!BB48*ttokg*FracGASM*MSVolatEF*NtoN2O*kgtoGg</f>
        <v>8.8397190102879764E-3</v>
      </c>
      <c r="BC137" s="22">
        <f>'Activity data'!BC48*ttokg*FracGASM*MSVolatEF*NtoN2O*kgtoGg</f>
        <v>8.8397190102879764E-3</v>
      </c>
      <c r="BD137" s="22">
        <f>'Activity data'!BD48*ttokg*FracGASM*MSVolatEF*NtoN2O*kgtoGg</f>
        <v>8.8397190102879764E-3</v>
      </c>
      <c r="BE137" s="22">
        <f>'Activity data'!BE48*ttokg*FracGASM*MSVolatEF*NtoN2O*kgtoGg</f>
        <v>8.8397190102879764E-3</v>
      </c>
      <c r="BF137" s="22">
        <f>'Activity data'!BF48*ttokg*FracGASM*MSVolatEF*NtoN2O*kgtoGg</f>
        <v>8.8397190102879764E-3</v>
      </c>
      <c r="BG137" s="22">
        <f>'Activity data'!BG48*ttokg*FracGASM*MSVolatEF*NtoN2O*kgtoGg</f>
        <v>8.8397190102879764E-3</v>
      </c>
      <c r="BH137" s="22">
        <f>'Activity data'!BH48*ttokg*FracGASM*MSVolatEF*NtoN2O*kgtoGg</f>
        <v>8.8397190102879764E-3</v>
      </c>
      <c r="BI137" s="22">
        <f>'Activity data'!BI48*ttokg*FracGASM*MSVolatEF*NtoN2O*kgtoGg</f>
        <v>8.8397190102879764E-3</v>
      </c>
      <c r="BJ137" s="22">
        <f>'Activity data'!BJ48*ttokg*FracGASM*MSVolatEF*NtoN2O*kgtoGg</f>
        <v>8.8397190102879764E-3</v>
      </c>
      <c r="BK137" s="22">
        <f>'Activity data'!BK48*ttokg*FracGASM*MSVolatEF*NtoN2O*kgtoGg</f>
        <v>8.8397190102879764E-3</v>
      </c>
      <c r="BL137" s="22">
        <f>'Activity data'!BL48*ttokg*FracGASM*MSVolatEF*NtoN2O*kgtoGg</f>
        <v>8.8397190102879764E-3</v>
      </c>
      <c r="BM137" s="22">
        <f>'Activity data'!BM48*ttokg*FracGASM*MSVolatEF*NtoN2O*kgtoGg</f>
        <v>8.8397190102879764E-3</v>
      </c>
      <c r="BN137" s="22">
        <f>'Activity data'!BN48*ttokg*FracGASM*MSVolatEF*NtoN2O*kgtoGg</f>
        <v>8.8397190102879764E-3</v>
      </c>
      <c r="BO137" s="22">
        <f>'Activity data'!BO48*ttokg*FracGASM*MSVolatEF*NtoN2O*kgtoGg</f>
        <v>8.8397190102879764E-3</v>
      </c>
      <c r="BP137" s="22">
        <f>'Activity data'!BP48*ttokg*FracGASM*MSVolatEF*NtoN2O*kgtoGg</f>
        <v>8.8397190102879764E-3</v>
      </c>
    </row>
    <row r="138" spans="1:68" x14ac:dyDescent="0.25">
      <c r="A138" t="str">
        <f t="shared" si="29"/>
        <v>3C Aggregated and non-CO2 emissions on land</v>
      </c>
      <c r="B138" t="str">
        <f t="shared" ref="B138:B139" si="42">B137</f>
        <v>3C5 Indirect N2O from managed soils (N2O)</v>
      </c>
      <c r="C138" t="str">
        <f t="shared" ref="C138:C139" si="43">C137</f>
        <v>Volatilisation</v>
      </c>
      <c r="D138" t="s">
        <v>442</v>
      </c>
      <c r="E138" t="str">
        <f t="shared" si="32"/>
        <v>Volatilisation - Managed manure</v>
      </c>
      <c r="F138" t="str">
        <f t="shared" si="36"/>
        <v>N2O</v>
      </c>
      <c r="G138" t="str">
        <f t="shared" si="37"/>
        <v>Gg N2O</v>
      </c>
      <c r="H138" s="22">
        <f>SUM('Activity data'!H50:H65)*FracGASM*MSVolatEF*NtoN2O*kgtoGg</f>
        <v>1.1063457472911082</v>
      </c>
      <c r="I138" s="22">
        <f>SUM('Activity data'!I50:I65)*FracGASM*MSVolatEF*NtoN2O*kgtoGg</f>
        <v>1.1726773113717477</v>
      </c>
      <c r="J138" s="22">
        <f>SUM('Activity data'!J50:J65)*FracGASM*MSVolatEF*NtoN2O*kgtoGg</f>
        <v>1.1378711499790608</v>
      </c>
      <c r="K138" s="22">
        <f>SUM('Activity data'!K50:K65)*FracGASM*MSVolatEF*NtoN2O*kgtoGg</f>
        <v>1.1491175608429292</v>
      </c>
      <c r="L138" s="22">
        <f>SUM('Activity data'!L50:L65)*FracGASM*MSVolatEF*NtoN2O*kgtoGg</f>
        <v>1.0581583253343185</v>
      </c>
      <c r="M138" s="22">
        <f>SUM('Activity data'!M50:M65)*FracGASM*MSVolatEF*NtoN2O*kgtoGg</f>
        <v>1.0791747762034543</v>
      </c>
      <c r="N138" s="22">
        <f>SUM('Activity data'!N50:N65)*FracGASM*MSVolatEF*NtoN2O*kgtoGg</f>
        <v>1.1130164111251279</v>
      </c>
      <c r="O138" s="22">
        <f>SUM('Activity data'!O50:O65)*FracGASM*MSVolatEF*NtoN2O*kgtoGg</f>
        <v>1.1252482910922941</v>
      </c>
      <c r="P138" s="22">
        <f>SUM('Activity data'!P50:P65)*FracGASM*MSVolatEF*NtoN2O*kgtoGg</f>
        <v>1.1598493621115025</v>
      </c>
      <c r="Q138" s="22">
        <f>SUM('Activity data'!Q50:Q65)*FracGASM*MSVolatEF*NtoN2O*kgtoGg</f>
        <v>1.1820926911753284</v>
      </c>
      <c r="R138" s="22">
        <f>SUM('Activity data'!R50:R65)*FracGASM*MSVolatEF*NtoN2O*kgtoGg</f>
        <v>1.2574690413741472</v>
      </c>
      <c r="S138" s="22">
        <f>SUM('Activity data'!S50:S65)*FracGASM*MSVolatEF*NtoN2O*kgtoGg</f>
        <v>1.2412364299891074</v>
      </c>
      <c r="T138" s="22">
        <f>SUM('Activity data'!T50:T65)*FracGASM*MSVolatEF*NtoN2O*kgtoGg</f>
        <v>1.260259768542801</v>
      </c>
      <c r="U138" s="22">
        <f>SUM('Activity data'!U50:U65)*FracGASM*MSVolatEF*NtoN2O*kgtoGg</f>
        <v>1.2312268528712031</v>
      </c>
      <c r="V138" s="22">
        <f>SUM('Activity data'!V50:V65)*FracGASM*MSVolatEF*NtoN2O*kgtoGg</f>
        <v>1.2133495441679139</v>
      </c>
      <c r="W138" s="22">
        <f>SUM('Activity data'!W50:W65)*FracGASM*MSVolatEF*NtoN2O*kgtoGg</f>
        <v>1.2339989203458346</v>
      </c>
      <c r="X138" s="22">
        <f>SUM('Activity data'!X50:X65)*FracGASM*MSVolatEF*NtoN2O*kgtoGg</f>
        <v>1.2535066396214045</v>
      </c>
      <c r="Y138" s="22">
        <f>SUM('Activity data'!Y50:Y65)*FracGASM*MSVolatEF*NtoN2O*kgtoGg</f>
        <v>1.2858895838473561</v>
      </c>
      <c r="Z138" s="22">
        <f>SUM('Activity data'!Z50:Z65)*FracGASM*MSVolatEF*NtoN2O*kgtoGg</f>
        <v>1.349967083880858</v>
      </c>
      <c r="AA138" s="22">
        <f>SUM('Activity data'!AA50:AA65)*FracGASM*MSVolatEF*NtoN2O*kgtoGg</f>
        <v>1.3442823714612291</v>
      </c>
      <c r="AB138" s="22">
        <f>SUM('Activity data'!AB50:AB65)*FracGASM*MSVolatEF*NtoN2O*kgtoGg</f>
        <v>1.3395719314509447</v>
      </c>
      <c r="AC138" s="22">
        <f>SUM('Activity data'!AC50:AC65)*FracGASM*MSVolatEF*NtoN2O*kgtoGg</f>
        <v>1.3410137129702058</v>
      </c>
      <c r="AD138" s="22">
        <f>SUM('Activity data'!AD50:AD65)*FracGASM*MSVolatEF*NtoN2O*kgtoGg</f>
        <v>1.3343002593596138</v>
      </c>
      <c r="AE138" s="22">
        <f>SUM('Activity data'!AE50:AE65)*FracGASM*MSVolatEF*NtoN2O*kgtoGg</f>
        <v>1.3430102811328666</v>
      </c>
      <c r="AF138" s="22">
        <f>SUM('Activity data'!AF50:AF65)*FracGASM*MSVolatEF*NtoN2O*kgtoGg</f>
        <v>1.3505168473713127</v>
      </c>
      <c r="AG138" s="22">
        <f>SUM('Activity data'!AG50:AG65)*FracGASM*MSVolatEF*NtoN2O*kgtoGg</f>
        <v>1.3567522882725822</v>
      </c>
      <c r="AH138" s="22">
        <f>SUM('Activity data'!AH50:AH65)*FracGASM*MSVolatEF*NtoN2O*kgtoGg</f>
        <v>1.3620828148216946</v>
      </c>
      <c r="AI138" s="22">
        <f>SUM('Activity data'!AI50:AI65)*FracGASM*MSVolatEF*NtoN2O*kgtoGg</f>
        <v>1.3684176498888754</v>
      </c>
      <c r="AJ138" s="22">
        <f>SUM('Activity data'!AJ50:AJ65)*FracGASM*MSVolatEF*NtoN2O*kgtoGg</f>
        <v>1.3744343822292633</v>
      </c>
      <c r="AK138" s="22">
        <f>SUM('Activity data'!AK50:AK65)*FracGASM*MSVolatEF*NtoN2O*kgtoGg</f>
        <v>1.3801573867182404</v>
      </c>
      <c r="AL138" s="22">
        <f>SUM('Activity data'!AL50:AL65)*FracGASM*MSVolatEF*NtoN2O*kgtoGg</f>
        <v>1.3652168320531881</v>
      </c>
      <c r="AM138" s="22">
        <f>SUM('Activity data'!AM50:AM65)*FracGASM*MSVolatEF*NtoN2O*kgtoGg</f>
        <v>1.3742427468705831</v>
      </c>
      <c r="AN138" s="22">
        <f>SUM('Activity data'!AN50:AN65)*FracGASM*MSVolatEF*NtoN2O*kgtoGg</f>
        <v>1.383104399087755</v>
      </c>
      <c r="AO138" s="22">
        <f>SUM('Activity data'!AO50:AO65)*FracGASM*MSVolatEF*NtoN2O*kgtoGg</f>
        <v>1.3920695194470276</v>
      </c>
      <c r="AP138" s="22">
        <f>SUM('Activity data'!AP50:AP65)*FracGASM*MSVolatEF*NtoN2O*kgtoGg</f>
        <v>1.4009102261410749</v>
      </c>
      <c r="AQ138" s="22">
        <f>SUM('Activity data'!AQ50:AQ65)*FracGASM*MSVolatEF*NtoN2O*kgtoGg</f>
        <v>1.4100228711326448</v>
      </c>
      <c r="AR138" s="22">
        <f>SUM('Activity data'!AR50:AR65)*FracGASM*MSVolatEF*NtoN2O*kgtoGg</f>
        <v>1.4202667833813241</v>
      </c>
      <c r="AS138" s="22">
        <f>SUM('Activity data'!AS50:AS65)*FracGASM*MSVolatEF*NtoN2O*kgtoGg</f>
        <v>1.4305092965021737</v>
      </c>
      <c r="AT138" s="22">
        <f>SUM('Activity data'!AT50:AT65)*FracGASM*MSVolatEF*NtoN2O*kgtoGg</f>
        <v>1.4410844866319825</v>
      </c>
      <c r="AU138" s="22">
        <f>SUM('Activity data'!AU50:AU65)*FracGASM*MSVolatEF*NtoN2O*kgtoGg</f>
        <v>1.4519174068745073</v>
      </c>
      <c r="AV138" s="22">
        <f>SUM('Activity data'!AV50:AV65)*FracGASM*MSVolatEF*NtoN2O*kgtoGg</f>
        <v>1.4631007765090351</v>
      </c>
      <c r="AW138" s="22">
        <f>SUM('Activity data'!AW50:AW65)*FracGASM*MSVolatEF*NtoN2O*kgtoGg</f>
        <v>1.477059844151718</v>
      </c>
      <c r="AX138" s="22">
        <f>SUM('Activity data'!AX50:AX65)*FracGASM*MSVolatEF*NtoN2O*kgtoGg</f>
        <v>1.4902297452543229</v>
      </c>
      <c r="AY138" s="22">
        <f>SUM('Activity data'!AY50:AY65)*FracGASM*MSVolatEF*NtoN2O*kgtoGg</f>
        <v>1.5044111165330754</v>
      </c>
      <c r="AZ138" s="22">
        <f>SUM('Activity data'!AZ50:AZ65)*FracGASM*MSVolatEF*NtoN2O*kgtoGg</f>
        <v>1.5191456411895059</v>
      </c>
      <c r="BA138" s="22">
        <f>SUM('Activity data'!BA50:BA65)*FracGASM*MSVolatEF*NtoN2O*kgtoGg</f>
        <v>1.5344201121432437</v>
      </c>
      <c r="BB138" s="22">
        <f>SUM('Activity data'!BB50:BB65)*FracGASM*MSVolatEF*NtoN2O*kgtoGg</f>
        <v>1.5497889217322338</v>
      </c>
      <c r="BC138" s="22">
        <f>SUM('Activity data'!BC50:BC65)*FracGASM*MSVolatEF*NtoN2O*kgtoGg</f>
        <v>1.5653622091647486</v>
      </c>
      <c r="BD138" s="22">
        <f>SUM('Activity data'!BD50:BD65)*FracGASM*MSVolatEF*NtoN2O*kgtoGg</f>
        <v>1.5774947821832983</v>
      </c>
      <c r="BE138" s="22">
        <f>SUM('Activity data'!BE50:BE65)*FracGASM*MSVolatEF*NtoN2O*kgtoGg</f>
        <v>1.5891670096982977</v>
      </c>
      <c r="BF138" s="22">
        <f>SUM('Activity data'!BF50:BF65)*FracGASM*MSVolatEF*NtoN2O*kgtoGg</f>
        <v>1.6011535799008594</v>
      </c>
      <c r="BG138" s="22">
        <f>SUM('Activity data'!BG50:BG65)*FracGASM*MSVolatEF*NtoN2O*kgtoGg</f>
        <v>1.6145990064352089</v>
      </c>
      <c r="BH138" s="22">
        <f>SUM('Activity data'!BH50:BH65)*FracGASM*MSVolatEF*NtoN2O*kgtoGg</f>
        <v>1.628190425735452</v>
      </c>
      <c r="BI138" s="22">
        <f>SUM('Activity data'!BI50:BI65)*FracGASM*MSVolatEF*NtoN2O*kgtoGg</f>
        <v>1.6418634872536204</v>
      </c>
      <c r="BJ138" s="22">
        <f>SUM('Activity data'!BJ50:BJ65)*FracGASM*MSVolatEF*NtoN2O*kgtoGg</f>
        <v>1.6556671410810668</v>
      </c>
      <c r="BK138" s="22">
        <f>SUM('Activity data'!BK50:BK65)*FracGASM*MSVolatEF*NtoN2O*kgtoGg</f>
        <v>1.6698624045685173</v>
      </c>
      <c r="BL138" s="22">
        <f>SUM('Activity data'!BL50:BL65)*FracGASM*MSVolatEF*NtoN2O*kgtoGg</f>
        <v>1.684152342653914</v>
      </c>
      <c r="BM138" s="22">
        <f>SUM('Activity data'!BM50:BM65)*FracGASM*MSVolatEF*NtoN2O*kgtoGg</f>
        <v>1.6986070467709127</v>
      </c>
      <c r="BN138" s="22">
        <f>SUM('Activity data'!BN50:BN65)*FracGASM*MSVolatEF*NtoN2O*kgtoGg</f>
        <v>1.7126782742598521</v>
      </c>
      <c r="BO138" s="22">
        <f>SUM('Activity data'!BO50:BO65)*FracGASM*MSVolatEF*NtoN2O*kgtoGg</f>
        <v>1.7269244810593136</v>
      </c>
      <c r="BP138" s="22">
        <f>SUM('Activity data'!BP50:BP65)*FracGASM*MSVolatEF*NtoN2O*kgtoGg</f>
        <v>1.7413583477338381</v>
      </c>
    </row>
    <row r="139" spans="1:68" x14ac:dyDescent="0.25">
      <c r="A139" t="str">
        <f t="shared" si="29"/>
        <v>3C Aggregated and non-CO2 emissions on land</v>
      </c>
      <c r="B139" t="str">
        <f t="shared" si="42"/>
        <v>3C5 Indirect N2O from managed soils (N2O)</v>
      </c>
      <c r="C139" t="str">
        <f t="shared" si="43"/>
        <v>Volatilisation</v>
      </c>
      <c r="D139" t="s">
        <v>443</v>
      </c>
      <c r="E139" t="str">
        <f t="shared" si="32"/>
        <v>Volatilisation - Urine &amp; dung</v>
      </c>
      <c r="F139" t="str">
        <f t="shared" si="36"/>
        <v>N2O</v>
      </c>
      <c r="G139" t="str">
        <f t="shared" si="37"/>
        <v>Gg N2O</v>
      </c>
      <c r="H139" s="22">
        <f>SUM('Activity data'!H66:H81)*FracGASM*MSVolatEF*NtoN2O*kgtoGg</f>
        <v>5.5304175845854786</v>
      </c>
      <c r="I139" s="22">
        <f>SUM('Activity data'!I66:I81)*FracGASM*MSVolatEF*NtoN2O*kgtoGg</f>
        <v>5.4074521211782089</v>
      </c>
      <c r="J139" s="22">
        <f>SUM('Activity data'!J66:J81)*FracGASM*MSVolatEF*NtoN2O*kgtoGg</f>
        <v>5.2823047984797347</v>
      </c>
      <c r="K139" s="22">
        <f>SUM('Activity data'!K66:K81)*FracGASM*MSVolatEF*NtoN2O*kgtoGg</f>
        <v>5.0398867434402899</v>
      </c>
      <c r="L139" s="22">
        <f>SUM('Activity data'!L66:L81)*FracGASM*MSVolatEF*NtoN2O*kgtoGg</f>
        <v>4.9814020580222307</v>
      </c>
      <c r="M139" s="22">
        <f>SUM('Activity data'!M66:M81)*FracGASM*MSVolatEF*NtoN2O*kgtoGg</f>
        <v>4.9987389476045649</v>
      </c>
      <c r="N139" s="22">
        <f>SUM('Activity data'!N66:N81)*FracGASM*MSVolatEF*NtoN2O*kgtoGg</f>
        <v>5.1060214053238973</v>
      </c>
      <c r="O139" s="22">
        <f>SUM('Activity data'!O66:O81)*FracGASM*MSVolatEF*NtoN2O*kgtoGg</f>
        <v>5.1558313323816245</v>
      </c>
      <c r="P139" s="22">
        <f>SUM('Activity data'!P66:P81)*FracGASM*MSVolatEF*NtoN2O*kgtoGg</f>
        <v>5.211363521592439</v>
      </c>
      <c r="Q139" s="22">
        <f>SUM('Activity data'!Q66:Q81)*FracGASM*MSVolatEF*NtoN2O*kgtoGg</f>
        <v>5.1742238582558278</v>
      </c>
      <c r="R139" s="22">
        <f>SUM('Activity data'!R66:R81)*FracGASM*MSVolatEF*NtoN2O*kgtoGg</f>
        <v>5.0715915510996616</v>
      </c>
      <c r="S139" s="22">
        <f>SUM('Activity data'!S66:S81)*FracGASM*MSVolatEF*NtoN2O*kgtoGg</f>
        <v>5.0286840038098575</v>
      </c>
      <c r="T139" s="22">
        <f>SUM('Activity data'!T66:T81)*FracGASM*MSVolatEF*NtoN2O*kgtoGg</f>
        <v>4.9187159875262481</v>
      </c>
      <c r="U139" s="22">
        <f>SUM('Activity data'!U66:U81)*FracGASM*MSVolatEF*NtoN2O*kgtoGg</f>
        <v>4.9316270206441963</v>
      </c>
      <c r="V139" s="22">
        <f>SUM('Activity data'!V66:V81)*FracGASM*MSVolatEF*NtoN2O*kgtoGg</f>
        <v>4.886812891060722</v>
      </c>
      <c r="W139" s="22">
        <f>SUM('Activity data'!W66:W81)*FracGASM*MSVolatEF*NtoN2O*kgtoGg</f>
        <v>4.8886820875697863</v>
      </c>
      <c r="X139" s="22">
        <f>SUM('Activity data'!X66:X81)*FracGASM*MSVolatEF*NtoN2O*kgtoGg</f>
        <v>4.8663896128544319</v>
      </c>
      <c r="Y139" s="22">
        <f>SUM('Activity data'!Y66:Y81)*FracGASM*MSVolatEF*NtoN2O*kgtoGg</f>
        <v>4.9409107713265357</v>
      </c>
      <c r="Z139" s="22">
        <f>SUM('Activity data'!Z66:Z81)*FracGASM*MSVolatEF*NtoN2O*kgtoGg</f>
        <v>4.9560621236128402</v>
      </c>
      <c r="AA139" s="22">
        <f>SUM('Activity data'!AA66:AA81)*FracGASM*MSVolatEF*NtoN2O*kgtoGg</f>
        <v>4.9197919241009656</v>
      </c>
      <c r="AB139" s="22">
        <f>SUM('Activity data'!AB66:AB81)*FracGASM*MSVolatEF*NtoN2O*kgtoGg</f>
        <v>4.8671147126680641</v>
      </c>
      <c r="AC139" s="22">
        <f>SUM('Activity data'!AC66:AC81)*FracGASM*MSVolatEF*NtoN2O*kgtoGg</f>
        <v>4.834839808728816</v>
      </c>
      <c r="AD139" s="22">
        <f>SUM('Activity data'!AD66:AD81)*FracGASM*MSVolatEF*NtoN2O*kgtoGg</f>
        <v>4.8572492818832851</v>
      </c>
      <c r="AE139" s="22">
        <f>SUM('Activity data'!AE66:AE81)*FracGASM*MSVolatEF*NtoN2O*kgtoGg</f>
        <v>4.847691381715391</v>
      </c>
      <c r="AF139" s="22">
        <f>SUM('Activity data'!AF66:AF81)*FracGASM*MSVolatEF*NtoN2O*kgtoGg</f>
        <v>4.8402815861060207</v>
      </c>
      <c r="AG139" s="22">
        <f>SUM('Activity data'!AG66:AG81)*FracGASM*MSVolatEF*NtoN2O*kgtoGg</f>
        <v>4.8348965224691725</v>
      </c>
      <c r="AH139" s="22">
        <f>SUM('Activity data'!AH66:AH81)*FracGASM*MSVolatEF*NtoN2O*kgtoGg</f>
        <v>4.8309632771778999</v>
      </c>
      <c r="AI139" s="22">
        <f>SUM('Activity data'!AI66:AI81)*FracGASM*MSVolatEF*NtoN2O*kgtoGg</f>
        <v>4.8258702188767604</v>
      </c>
      <c r="AJ139" s="22">
        <f>SUM('Activity data'!AJ66:AJ81)*FracGASM*MSVolatEF*NtoN2O*kgtoGg</f>
        <v>4.8213839915988252</v>
      </c>
      <c r="AK139" s="22">
        <f>SUM('Activity data'!AK66:AK81)*FracGASM*MSVolatEF*NtoN2O*kgtoGg</f>
        <v>4.8174495979992624</v>
      </c>
      <c r="AL139" s="22">
        <f>SUM('Activity data'!AL66:AL81)*FracGASM*MSVolatEF*NtoN2O*kgtoGg</f>
        <v>4.8427018847419552</v>
      </c>
      <c r="AM139" s="22">
        <f>SUM('Activity data'!AM66:AM81)*FracGASM*MSVolatEF*NtoN2O*kgtoGg</f>
        <v>4.8337581263558631</v>
      </c>
      <c r="AN139" s="22">
        <f>SUM('Activity data'!AN66:AN81)*FracGASM*MSVolatEF*NtoN2O*kgtoGg</f>
        <v>4.8255243746996701</v>
      </c>
      <c r="AO139" s="22">
        <f>SUM('Activity data'!AO66:AO81)*FracGASM*MSVolatEF*NtoN2O*kgtoGg</f>
        <v>4.8175677913388659</v>
      </c>
      <c r="AP139" s="22">
        <f>SUM('Activity data'!AP66:AP81)*FracGASM*MSVolatEF*NtoN2O*kgtoGg</f>
        <v>4.8101747141155267</v>
      </c>
      <c r="AQ139" s="22">
        <f>SUM('Activity data'!AQ66:AQ81)*FracGASM*MSVolatEF*NtoN2O*kgtoGg</f>
        <v>4.8027989857885718</v>
      </c>
      <c r="AR139" s="22">
        <f>SUM('Activity data'!AR66:AR81)*FracGASM*MSVolatEF*NtoN2O*kgtoGg</f>
        <v>4.7944992091126855</v>
      </c>
      <c r="AS139" s="22">
        <f>SUM('Activity data'!AS66:AS81)*FracGASM*MSVolatEF*NtoN2O*kgtoGg</f>
        <v>4.7866421813325992</v>
      </c>
      <c r="AT139" s="22">
        <f>SUM('Activity data'!AT66:AT81)*FracGASM*MSVolatEF*NtoN2O*kgtoGg</f>
        <v>4.7788292276872388</v>
      </c>
      <c r="AU139" s="22">
        <f>SUM('Activity data'!AU66:AU81)*FracGASM*MSVolatEF*NtoN2O*kgtoGg</f>
        <v>4.7711577082225434</v>
      </c>
      <c r="AV139" s="22">
        <f>SUM('Activity data'!AV66:AV81)*FracGASM*MSVolatEF*NtoN2O*kgtoGg</f>
        <v>4.7646694126013971</v>
      </c>
      <c r="AW139" s="22">
        <f>SUM('Activity data'!AW66:AW81)*FracGASM*MSVolatEF*NtoN2O*kgtoGg</f>
        <v>4.7804266688031802</v>
      </c>
      <c r="AX139" s="22">
        <f>SUM('Activity data'!AX66:AX81)*FracGASM*MSVolatEF*NtoN2O*kgtoGg</f>
        <v>4.7933542065711841</v>
      </c>
      <c r="AY139" s="22">
        <f>SUM('Activity data'!AY66:AY81)*FracGASM*MSVolatEF*NtoN2O*kgtoGg</f>
        <v>4.8087580515505266</v>
      </c>
      <c r="AZ139" s="22">
        <f>SUM('Activity data'!AZ66:AZ81)*FracGASM*MSVolatEF*NtoN2O*kgtoGg</f>
        <v>4.8239405741746824</v>
      </c>
      <c r="BA139" s="22">
        <f>SUM('Activity data'!BA66:BA81)*FracGASM*MSVolatEF*NtoN2O*kgtoGg</f>
        <v>4.8385905529828319</v>
      </c>
      <c r="BB139" s="22">
        <f>SUM('Activity data'!BB66:BB81)*FracGASM*MSVolatEF*NtoN2O*kgtoGg</f>
        <v>4.8499956311138668</v>
      </c>
      <c r="BC139" s="22">
        <f>SUM('Activity data'!BC66:BC81)*FracGASM*MSVolatEF*NtoN2O*kgtoGg</f>
        <v>4.8589022189465529</v>
      </c>
      <c r="BD139" s="22">
        <f>SUM('Activity data'!BD66:BD81)*FracGASM*MSVolatEF*NtoN2O*kgtoGg</f>
        <v>4.8634539737536189</v>
      </c>
      <c r="BE139" s="22">
        <f>SUM('Activity data'!BE66:BE81)*FracGASM*MSVolatEF*NtoN2O*kgtoGg</f>
        <v>4.8651520419809016</v>
      </c>
      <c r="BF139" s="22">
        <f>SUM('Activity data'!BF66:BF81)*FracGASM*MSVolatEF*NtoN2O*kgtoGg</f>
        <v>4.8649840662173354</v>
      </c>
      <c r="BG139" s="22">
        <f>SUM('Activity data'!BG66:BG81)*FracGASM*MSVolatEF*NtoN2O*kgtoGg</f>
        <v>4.8790871210332867</v>
      </c>
      <c r="BH139" s="22">
        <f>SUM('Activity data'!BH66:BH81)*FracGASM*MSVolatEF*NtoN2O*kgtoGg</f>
        <v>4.8911672842289509</v>
      </c>
      <c r="BI139" s="22">
        <f>SUM('Activity data'!BI66:BI81)*FracGASM*MSVolatEF*NtoN2O*kgtoGg</f>
        <v>4.900851363570041</v>
      </c>
      <c r="BJ139" s="22">
        <f>SUM('Activity data'!BJ66:BJ81)*FracGASM*MSVolatEF*NtoN2O*kgtoGg</f>
        <v>4.9082371155865117</v>
      </c>
      <c r="BK139" s="22">
        <f>SUM('Activity data'!BK66:BK81)*FracGASM*MSVolatEF*NtoN2O*kgtoGg</f>
        <v>4.9142194081662511</v>
      </c>
      <c r="BL139" s="22">
        <f>SUM('Activity data'!BL66:BL81)*FracGASM*MSVolatEF*NtoN2O*kgtoGg</f>
        <v>4.9177017707052118</v>
      </c>
      <c r="BM139" s="22">
        <f>SUM('Activity data'!BM66:BM81)*FracGASM*MSVolatEF*NtoN2O*kgtoGg</f>
        <v>4.9185862195986818</v>
      </c>
      <c r="BN139" s="22">
        <f>SUM('Activity data'!BN66:BN81)*FracGASM*MSVolatEF*NtoN2O*kgtoGg</f>
        <v>4.914782865353426</v>
      </c>
      <c r="BO139" s="22">
        <f>SUM('Activity data'!BO66:BO81)*FracGASM*MSVolatEF*NtoN2O*kgtoGg</f>
        <v>4.9082494091307689</v>
      </c>
      <c r="BP139" s="22">
        <f>SUM('Activity data'!BP66:BP81)*FracGASM*MSVolatEF*NtoN2O*kgtoGg</f>
        <v>4.8988775786331891</v>
      </c>
    </row>
    <row r="140" spans="1:68" x14ac:dyDescent="0.25">
      <c r="A140" t="str">
        <f t="shared" ref="A140" si="44">A139</f>
        <v>3C Aggregated and non-CO2 emissions on land</v>
      </c>
      <c r="B140" t="str">
        <f t="shared" ref="B140" si="45">B139</f>
        <v>3C5 Indirect N2O from managed soils (N2O)</v>
      </c>
      <c r="C140" t="str">
        <f>'IPCC Categories'!C79</f>
        <v>Leaching/runoff</v>
      </c>
      <c r="D140" t="str">
        <f>D136</f>
        <v xml:space="preserve"> - Synthetic fertlisers</v>
      </c>
      <c r="E140" t="str">
        <f t="shared" ref="E140:E144" si="46">C140&amp;D140</f>
        <v>Leaching/runoff - Synthetic fertlisers</v>
      </c>
      <c r="F140" t="str">
        <f t="shared" ref="F140:F188" si="47">F139</f>
        <v>N2O</v>
      </c>
      <c r="G140" t="str">
        <f t="shared" ref="G140:G188" si="48">G139</f>
        <v>Gg N2O</v>
      </c>
      <c r="H140" s="22">
        <f>'Activity data'!H47*FracLEACH*MSLeachEF*NtoN2O*kgtoGg</f>
        <v>1.8632853642857139E-4</v>
      </c>
      <c r="I140" s="22">
        <f>'Activity data'!I47*FracLEACH*MSLeachEF*NtoN2O*kgtoGg</f>
        <v>1.9790111785714283E-4</v>
      </c>
      <c r="J140" s="22">
        <f>'Activity data'!J47*FracLEACH*MSLeachEF*NtoN2O*kgtoGg</f>
        <v>1.884081964285714E-4</v>
      </c>
      <c r="K140" s="22">
        <f>'Activity data'!K47*FracLEACH*MSLeachEF*NtoN2O*kgtoGg</f>
        <v>2.2144312928571426E-4</v>
      </c>
      <c r="L140" s="22">
        <f>'Activity data'!L47*FracLEACH*MSLeachEF*NtoN2O*kgtoGg</f>
        <v>2.0333935285714286E-4</v>
      </c>
      <c r="M140" s="22">
        <f>'Activity data'!M47*FracLEACH*MSLeachEF*NtoN2O*kgtoGg</f>
        <v>2.0140119214285713E-4</v>
      </c>
      <c r="N140" s="22">
        <f>'Activity data'!N47*FracLEACH*MSLeachEF*NtoN2O*kgtoGg</f>
        <v>2.250348257142857E-4</v>
      </c>
      <c r="O140" s="22">
        <f>'Activity data'!O47*FracLEACH*MSLeachEF*NtoN2O*kgtoGg</f>
        <v>2.2060551857142855E-4</v>
      </c>
      <c r="P140" s="22">
        <f>'Activity data'!P47*FracLEACH*MSLeachEF*NtoN2O*kgtoGg</f>
        <v>2.2527174214285716E-4</v>
      </c>
      <c r="Q140" s="22">
        <f>'Activity data'!Q47*FracLEACH*MSLeachEF*NtoN2O*kgtoGg</f>
        <v>2.2392939642857141E-4</v>
      </c>
      <c r="R140" s="22">
        <f>'Activity data'!R47*FracLEACH*MSLeachEF*NtoN2O*kgtoGg</f>
        <v>2.25495105E-4</v>
      </c>
      <c r="S140" s="22">
        <f>'Activity data'!S47*FracLEACH*MSLeachEF*NtoN2O*kgtoGg</f>
        <v>2.1458719071428572E-4</v>
      </c>
      <c r="T140" s="22">
        <f>'Activity data'!T47*FracLEACH*MSLeachEF*NtoN2O*kgtoGg</f>
        <v>2.5864117714285707E-4</v>
      </c>
      <c r="U140" s="22">
        <f>'Activity data'!U47*FracLEACH*MSLeachEF*NtoN2O*kgtoGg</f>
        <v>2.2814835214285712E-4</v>
      </c>
      <c r="V140" s="22">
        <f>'Activity data'!V47*FracLEACH*MSLeachEF*NtoN2O*kgtoGg</f>
        <v>2.3180456357142852E-4</v>
      </c>
      <c r="W140" s="22">
        <f>'Activity data'!W47*FracLEACH*MSLeachEF*NtoN2O*kgtoGg</f>
        <v>1.8826452857142854E-4</v>
      </c>
      <c r="X140" s="22">
        <f>'Activity data'!X47*FracLEACH*MSLeachEF*NtoN2O*kgtoGg</f>
        <v>2.3242694357142855E-4</v>
      </c>
      <c r="Y140" s="22">
        <f>'Activity data'!Y47*FracLEACH*MSLeachEF*NtoN2O*kgtoGg</f>
        <v>2.382609428571428E-4</v>
      </c>
      <c r="Z140" s="22">
        <f>'Activity data'!Z47*FracLEACH*MSLeachEF*NtoN2O*kgtoGg</f>
        <v>2.2993525499999997E-4</v>
      </c>
      <c r="AA140" s="22">
        <f>'Activity data'!AA47*FracLEACH*MSLeachEF*NtoN2O*kgtoGg</f>
        <v>2.4601195928571426E-4</v>
      </c>
      <c r="AB140" s="22">
        <f>'Activity data'!AB47*FracLEACH*MSLeachEF*NtoN2O*kgtoGg</f>
        <v>2.1414642857142856E-4</v>
      </c>
      <c r="AC140" s="22">
        <f>'Activity data'!AC47*FracLEACH*MSLeachEF*NtoN2O*kgtoGg</f>
        <v>2.2715785714285715E-4</v>
      </c>
      <c r="AD140" s="22">
        <f>'Activity data'!AD47*FracLEACH*MSLeachEF*NtoN2O*kgtoGg</f>
        <v>2.2988468200934055E-4</v>
      </c>
      <c r="AE140" s="22">
        <f>'Activity data'!AE47*FracLEACH*MSLeachEF*NtoN2O*kgtoGg</f>
        <v>2.299811969263621E-4</v>
      </c>
      <c r="AF140" s="22">
        <f>'Activity data'!AF47*FracLEACH*MSLeachEF*NtoN2O*kgtoGg</f>
        <v>2.3007858835253964E-4</v>
      </c>
      <c r="AG140" s="22">
        <f>'Activity data'!AG47*FracLEACH*MSLeachEF*NtoN2O*kgtoGg</f>
        <v>2.3017686424797146E-4</v>
      </c>
      <c r="AH140" s="22">
        <f>'Activity data'!AH47*FracLEACH*MSLeachEF*NtoN2O*kgtoGg</f>
        <v>2.3028397345517217E-4</v>
      </c>
      <c r="AI140" s="22">
        <f>'Activity data'!AI47*FracLEACH*MSLeachEF*NtoN2O*kgtoGg</f>
        <v>2.3039108266237283E-4</v>
      </c>
      <c r="AJ140" s="22">
        <f>'Activity data'!AJ47*FracLEACH*MSLeachEF*NtoN2O*kgtoGg</f>
        <v>2.3049819186957347E-4</v>
      </c>
      <c r="AK140" s="22">
        <f>'Activity data'!AK47*FracLEACH*MSLeachEF*NtoN2O*kgtoGg</f>
        <v>2.3060530107677418E-4</v>
      </c>
      <c r="AL140" s="22">
        <f>'Activity data'!AL47*FracLEACH*MSLeachEF*NtoN2O*kgtoGg</f>
        <v>2.3071241028397479E-4</v>
      </c>
      <c r="AM140" s="22">
        <f>'Activity data'!AM47*FracLEACH*MSLeachEF*NtoN2O*kgtoGg</f>
        <v>2.3082097702270684E-4</v>
      </c>
      <c r="AN140" s="22">
        <f>'Activity data'!AN47*FracLEACH*MSLeachEF*NtoN2O*kgtoGg</f>
        <v>2.3092954375943491E-4</v>
      </c>
      <c r="AO140" s="22">
        <f>'Activity data'!AO47*FracLEACH*MSLeachEF*NtoN2O*kgtoGg</f>
        <v>2.3103811049616295E-4</v>
      </c>
      <c r="AP140" s="22">
        <f>'Activity data'!AP47*FracLEACH*MSLeachEF*NtoN2O*kgtoGg</f>
        <v>2.3103811049616295E-4</v>
      </c>
      <c r="AQ140" s="22">
        <f>'Activity data'!AQ47*FracLEACH*MSLeachEF*NtoN2O*kgtoGg</f>
        <v>2.3103811049616295E-4</v>
      </c>
      <c r="AR140" s="22">
        <f>'Activity data'!AR47*FracLEACH*MSLeachEF*NtoN2O*kgtoGg</f>
        <v>2.3103811049616295E-4</v>
      </c>
      <c r="AS140" s="22">
        <f>'Activity data'!AS47*FracLEACH*MSLeachEF*NtoN2O*kgtoGg</f>
        <v>2.3103811049616295E-4</v>
      </c>
      <c r="AT140" s="22">
        <f>'Activity data'!AT47*FracLEACH*MSLeachEF*NtoN2O*kgtoGg</f>
        <v>2.3103811049616295E-4</v>
      </c>
      <c r="AU140" s="22">
        <f>'Activity data'!AU47*FracLEACH*MSLeachEF*NtoN2O*kgtoGg</f>
        <v>2.3103811049616295E-4</v>
      </c>
      <c r="AV140" s="22">
        <f>'Activity data'!AV47*FracLEACH*MSLeachEF*NtoN2O*kgtoGg</f>
        <v>2.3103811049616295E-4</v>
      </c>
      <c r="AW140" s="22">
        <f>'Activity data'!AW47*FracLEACH*MSLeachEF*NtoN2O*kgtoGg</f>
        <v>2.3103811049616295E-4</v>
      </c>
      <c r="AX140" s="22">
        <f>'Activity data'!AX47*FracLEACH*MSLeachEF*NtoN2O*kgtoGg</f>
        <v>2.3103811049616295E-4</v>
      </c>
      <c r="AY140" s="22">
        <f>'Activity data'!AY47*FracLEACH*MSLeachEF*NtoN2O*kgtoGg</f>
        <v>2.3103811049616295E-4</v>
      </c>
      <c r="AZ140" s="22">
        <f>'Activity data'!AZ47*FracLEACH*MSLeachEF*NtoN2O*kgtoGg</f>
        <v>2.3103811049616295E-4</v>
      </c>
      <c r="BA140" s="22">
        <f>'Activity data'!BA47*FracLEACH*MSLeachEF*NtoN2O*kgtoGg</f>
        <v>2.3103811049616295E-4</v>
      </c>
      <c r="BB140" s="22">
        <f>'Activity data'!BB47*FracLEACH*MSLeachEF*NtoN2O*kgtoGg</f>
        <v>2.3103811049616295E-4</v>
      </c>
      <c r="BC140" s="22">
        <f>'Activity data'!BC47*FracLEACH*MSLeachEF*NtoN2O*kgtoGg</f>
        <v>2.3103811049616295E-4</v>
      </c>
      <c r="BD140" s="22">
        <f>'Activity data'!BD47*FracLEACH*MSLeachEF*NtoN2O*kgtoGg</f>
        <v>2.3103811049616295E-4</v>
      </c>
      <c r="BE140" s="22">
        <f>'Activity data'!BE47*FracLEACH*MSLeachEF*NtoN2O*kgtoGg</f>
        <v>2.3103811049616295E-4</v>
      </c>
      <c r="BF140" s="22">
        <f>'Activity data'!BF47*FracLEACH*MSLeachEF*NtoN2O*kgtoGg</f>
        <v>2.3103811049616295E-4</v>
      </c>
      <c r="BG140" s="22">
        <f>'Activity data'!BG47*FracLEACH*MSLeachEF*NtoN2O*kgtoGg</f>
        <v>2.3103811049616295E-4</v>
      </c>
      <c r="BH140" s="22">
        <f>'Activity data'!BH47*FracLEACH*MSLeachEF*NtoN2O*kgtoGg</f>
        <v>2.3103811049616295E-4</v>
      </c>
      <c r="BI140" s="22">
        <f>'Activity data'!BI47*FracLEACH*MSLeachEF*NtoN2O*kgtoGg</f>
        <v>2.3103811049616295E-4</v>
      </c>
      <c r="BJ140" s="22">
        <f>'Activity data'!BJ47*FracLEACH*MSLeachEF*NtoN2O*kgtoGg</f>
        <v>2.3103811049616295E-4</v>
      </c>
      <c r="BK140" s="22">
        <f>'Activity data'!BK47*FracLEACH*MSLeachEF*NtoN2O*kgtoGg</f>
        <v>2.3103811049616295E-4</v>
      </c>
      <c r="BL140" s="22">
        <f>'Activity data'!BL47*FracLEACH*MSLeachEF*NtoN2O*kgtoGg</f>
        <v>2.3103811049616295E-4</v>
      </c>
      <c r="BM140" s="22">
        <f>'Activity data'!BM47*FracLEACH*MSLeachEF*NtoN2O*kgtoGg</f>
        <v>2.3103811049616295E-4</v>
      </c>
      <c r="BN140" s="22">
        <f>'Activity data'!BN47*FracLEACH*MSLeachEF*NtoN2O*kgtoGg</f>
        <v>2.3103811049616295E-4</v>
      </c>
      <c r="BO140" s="22">
        <f>'Activity data'!BO47*FracLEACH*MSLeachEF*NtoN2O*kgtoGg</f>
        <v>2.3103811049616295E-4</v>
      </c>
      <c r="BP140" s="22">
        <f>'Activity data'!BP47*FracLEACH*MSLeachEF*NtoN2O*kgtoGg</f>
        <v>2.3103811049616295E-4</v>
      </c>
    </row>
    <row r="141" spans="1:68" x14ac:dyDescent="0.25">
      <c r="A141" t="str">
        <f t="shared" ref="A141" si="49">A140</f>
        <v>3C Aggregated and non-CO2 emissions on land</v>
      </c>
      <c r="B141" t="str">
        <f t="shared" ref="B141:C141" si="50">B140</f>
        <v>3C5 Indirect N2O from managed soils (N2O)</v>
      </c>
      <c r="C141" t="str">
        <f t="shared" si="50"/>
        <v>Leaching/runoff</v>
      </c>
      <c r="D141" t="str">
        <f t="shared" ref="D141:D143" si="51">D137</f>
        <v xml:space="preserve"> - Organic fertilisers</v>
      </c>
      <c r="E141" t="str">
        <f t="shared" si="46"/>
        <v>Leaching/runoff - Organic fertilisers</v>
      </c>
      <c r="F141" t="str">
        <f t="shared" si="47"/>
        <v>N2O</v>
      </c>
      <c r="G141" t="str">
        <f t="shared" si="48"/>
        <v>Gg N2O</v>
      </c>
      <c r="H141" s="22">
        <f>'Activity data'!H48*FracLEACH*MSLeachEF*NtoN2O*kgtoGg</f>
        <v>1.2297683404285713E-6</v>
      </c>
      <c r="I141" s="22">
        <f>'Activity data'!I48*FracLEACH*MSLeachEF*NtoN2O*kgtoGg</f>
        <v>1.3061473778571428E-6</v>
      </c>
      <c r="J141" s="22">
        <f>'Activity data'!J48*FracLEACH*MSLeachEF*NtoN2O*kgtoGg</f>
        <v>1.2434940964285714E-6</v>
      </c>
      <c r="K141" s="22">
        <f>'Activity data'!K48*FracLEACH*MSLeachEF*NtoN2O*kgtoGg</f>
        <v>1.4615246532857147E-6</v>
      </c>
      <c r="L141" s="22">
        <f>'Activity data'!L48*FracLEACH*MSLeachEF*NtoN2O*kgtoGg</f>
        <v>1.3420397288571429E-6</v>
      </c>
      <c r="M141" s="22">
        <f>'Activity data'!M48*FracLEACH*MSLeachEF*NtoN2O*kgtoGg</f>
        <v>1.3292478681428569E-6</v>
      </c>
      <c r="N141" s="22">
        <f>'Activity data'!N48*FracLEACH*MSLeachEF*NtoN2O*kgtoGg</f>
        <v>1.4852298497142859E-6</v>
      </c>
      <c r="O141" s="22">
        <f>'Activity data'!O48*FracLEACH*MSLeachEF*NtoN2O*kgtoGg</f>
        <v>1.4559964225714286E-6</v>
      </c>
      <c r="P141" s="22">
        <f>'Activity data'!P48*FracLEACH*MSLeachEF*NtoN2O*kgtoGg</f>
        <v>1.4867934981428574E-6</v>
      </c>
      <c r="Q141" s="22">
        <f>'Activity data'!Q48*FracLEACH*MSLeachEF*NtoN2O*kgtoGg</f>
        <v>1.4779340164285714E-6</v>
      </c>
      <c r="R141" s="22">
        <f>'Activity data'!R48*FracLEACH*MSLeachEF*NtoN2O*kgtoGg</f>
        <v>1.4882676930000004E-6</v>
      </c>
      <c r="S141" s="22">
        <f>'Activity data'!S48*FracLEACH*MSLeachEF*NtoN2O*kgtoGg</f>
        <v>1.4162754587142857E-6</v>
      </c>
      <c r="T141" s="22">
        <f>'Activity data'!T48*FracLEACH*MSLeachEF*NtoN2O*kgtoGg</f>
        <v>1.7070317691428573E-6</v>
      </c>
      <c r="U141" s="22">
        <f>'Activity data'!U48*FracLEACH*MSLeachEF*NtoN2O*kgtoGg</f>
        <v>1.5057791241428575E-6</v>
      </c>
      <c r="V141" s="22">
        <f>'Activity data'!V48*FracLEACH*MSLeachEF*NtoN2O*kgtoGg</f>
        <v>1.5299101195714285E-6</v>
      </c>
      <c r="W141" s="22">
        <f>'Activity data'!W48*FracLEACH*MSLeachEF*NtoN2O*kgtoGg</f>
        <v>1.2425458885714285E-6</v>
      </c>
      <c r="X141" s="22">
        <f>'Activity data'!X48*FracLEACH*MSLeachEF*NtoN2O*kgtoGg</f>
        <v>1.5340178275714286E-6</v>
      </c>
      <c r="Y141" s="22">
        <f>'Activity data'!Y48*FracLEACH*MSLeachEF*NtoN2O*kgtoGg</f>
        <v>1.5725222228571428E-6</v>
      </c>
      <c r="Z141" s="22">
        <f>'Activity data'!Z48*FracLEACH*MSLeachEF*NtoN2O*kgtoGg</f>
        <v>1.5175726830000002E-6</v>
      </c>
      <c r="AA141" s="22">
        <f>'Activity data'!AA48*FracLEACH*MSLeachEF*NtoN2O*kgtoGg</f>
        <v>1.6236789312857143E-6</v>
      </c>
      <c r="AB141" s="22">
        <f>'Activity data'!AB48*FracLEACH*MSLeachEF*NtoN2O*kgtoGg</f>
        <v>1.4133664285714284E-6</v>
      </c>
      <c r="AC141" s="22">
        <f>'Activity data'!AC48*FracLEACH*MSLeachEF*NtoN2O*kgtoGg</f>
        <v>1.4992418571428571E-6</v>
      </c>
      <c r="AD141" s="22">
        <f>'Activity data'!AD48*FracLEACH*MSLeachEF*NtoN2O*kgtoGg</f>
        <v>1.5172389012616481E-6</v>
      </c>
      <c r="AE141" s="22">
        <f>'Activity data'!AE48*FracLEACH*MSLeachEF*NtoN2O*kgtoGg</f>
        <v>1.5178758997139902E-6</v>
      </c>
      <c r="AF141" s="22">
        <f>'Activity data'!AF48*FracLEACH*MSLeachEF*NtoN2O*kgtoGg</f>
        <v>1.5185186831267617E-6</v>
      </c>
      <c r="AG141" s="22">
        <f>'Activity data'!AG48*FracLEACH*MSLeachEF*NtoN2O*kgtoGg</f>
        <v>1.5191673040366119E-6</v>
      </c>
      <c r="AH141" s="22">
        <f>'Activity data'!AH48*FracLEACH*MSLeachEF*NtoN2O*kgtoGg</f>
        <v>1.5198742248041366E-6</v>
      </c>
      <c r="AI141" s="22">
        <f>'Activity data'!AI48*FracLEACH*MSLeachEF*NtoN2O*kgtoGg</f>
        <v>1.5205811455716608E-6</v>
      </c>
      <c r="AJ141" s="22">
        <f>'Activity data'!AJ48*FracLEACH*MSLeachEF*NtoN2O*kgtoGg</f>
        <v>1.5212880663391851E-6</v>
      </c>
      <c r="AK141" s="22">
        <f>'Activity data'!AK48*FracLEACH*MSLeachEF*NtoN2O*kgtoGg</f>
        <v>1.5219949871067096E-6</v>
      </c>
      <c r="AL141" s="22">
        <f>'Activity data'!AL48*FracLEACH*MSLeachEF*NtoN2O*kgtoGg</f>
        <v>1.522701907874234E-6</v>
      </c>
      <c r="AM141" s="22">
        <f>'Activity data'!AM48*FracLEACH*MSLeachEF*NtoN2O*kgtoGg</f>
        <v>1.5234184483498658E-6</v>
      </c>
      <c r="AN141" s="22">
        <f>'Activity data'!AN48*FracLEACH*MSLeachEF*NtoN2O*kgtoGg</f>
        <v>1.5241349888122705E-6</v>
      </c>
      <c r="AO141" s="22">
        <f>'Activity data'!AO48*FracLEACH*MSLeachEF*NtoN2O*kgtoGg</f>
        <v>1.5248515292746761E-6</v>
      </c>
      <c r="AP141" s="22">
        <f>'Activity data'!AP48*FracLEACH*MSLeachEF*NtoN2O*kgtoGg</f>
        <v>1.5248515292746761E-6</v>
      </c>
      <c r="AQ141" s="22">
        <f>'Activity data'!AQ48*FracLEACH*MSLeachEF*NtoN2O*kgtoGg</f>
        <v>1.5248515292746761E-6</v>
      </c>
      <c r="AR141" s="22">
        <f>'Activity data'!AR48*FracLEACH*MSLeachEF*NtoN2O*kgtoGg</f>
        <v>1.5248515292746761E-6</v>
      </c>
      <c r="AS141" s="22">
        <f>'Activity data'!AS48*FracLEACH*MSLeachEF*NtoN2O*kgtoGg</f>
        <v>1.5248515292746761E-6</v>
      </c>
      <c r="AT141" s="22">
        <f>'Activity data'!AT48*FracLEACH*MSLeachEF*NtoN2O*kgtoGg</f>
        <v>1.5248515292746761E-6</v>
      </c>
      <c r="AU141" s="22">
        <f>'Activity data'!AU48*FracLEACH*MSLeachEF*NtoN2O*kgtoGg</f>
        <v>1.5248515292746761E-6</v>
      </c>
      <c r="AV141" s="22">
        <f>'Activity data'!AV48*FracLEACH*MSLeachEF*NtoN2O*kgtoGg</f>
        <v>1.5248515292746761E-6</v>
      </c>
      <c r="AW141" s="22">
        <f>'Activity data'!AW48*FracLEACH*MSLeachEF*NtoN2O*kgtoGg</f>
        <v>1.5248515292746761E-6</v>
      </c>
      <c r="AX141" s="22">
        <f>'Activity data'!AX48*FracLEACH*MSLeachEF*NtoN2O*kgtoGg</f>
        <v>1.5248515292746761E-6</v>
      </c>
      <c r="AY141" s="22">
        <f>'Activity data'!AY48*FracLEACH*MSLeachEF*NtoN2O*kgtoGg</f>
        <v>1.5248515292746761E-6</v>
      </c>
      <c r="AZ141" s="22">
        <f>'Activity data'!AZ48*FracLEACH*MSLeachEF*NtoN2O*kgtoGg</f>
        <v>1.5248515292746761E-6</v>
      </c>
      <c r="BA141" s="22">
        <f>'Activity data'!BA48*FracLEACH*MSLeachEF*NtoN2O*kgtoGg</f>
        <v>1.5248515292746761E-6</v>
      </c>
      <c r="BB141" s="22">
        <f>'Activity data'!BB48*FracLEACH*MSLeachEF*NtoN2O*kgtoGg</f>
        <v>1.5248515292746761E-6</v>
      </c>
      <c r="BC141" s="22">
        <f>'Activity data'!BC48*FracLEACH*MSLeachEF*NtoN2O*kgtoGg</f>
        <v>1.5248515292746761E-6</v>
      </c>
      <c r="BD141" s="22">
        <f>'Activity data'!BD48*FracLEACH*MSLeachEF*NtoN2O*kgtoGg</f>
        <v>1.5248515292746761E-6</v>
      </c>
      <c r="BE141" s="22">
        <f>'Activity data'!BE48*FracLEACH*MSLeachEF*NtoN2O*kgtoGg</f>
        <v>1.5248515292746761E-6</v>
      </c>
      <c r="BF141" s="22">
        <f>'Activity data'!BF48*FracLEACH*MSLeachEF*NtoN2O*kgtoGg</f>
        <v>1.5248515292746761E-6</v>
      </c>
      <c r="BG141" s="22">
        <f>'Activity data'!BG48*FracLEACH*MSLeachEF*NtoN2O*kgtoGg</f>
        <v>1.5248515292746761E-6</v>
      </c>
      <c r="BH141" s="22">
        <f>'Activity data'!BH48*FracLEACH*MSLeachEF*NtoN2O*kgtoGg</f>
        <v>1.5248515292746761E-6</v>
      </c>
      <c r="BI141" s="22">
        <f>'Activity data'!BI48*FracLEACH*MSLeachEF*NtoN2O*kgtoGg</f>
        <v>1.5248515292746761E-6</v>
      </c>
      <c r="BJ141" s="22">
        <f>'Activity data'!BJ48*FracLEACH*MSLeachEF*NtoN2O*kgtoGg</f>
        <v>1.5248515292746761E-6</v>
      </c>
      <c r="BK141" s="22">
        <f>'Activity data'!BK48*FracLEACH*MSLeachEF*NtoN2O*kgtoGg</f>
        <v>1.5248515292746761E-6</v>
      </c>
      <c r="BL141" s="22">
        <f>'Activity data'!BL48*FracLEACH*MSLeachEF*NtoN2O*kgtoGg</f>
        <v>1.5248515292746761E-6</v>
      </c>
      <c r="BM141" s="22">
        <f>'Activity data'!BM48*FracLEACH*MSLeachEF*NtoN2O*kgtoGg</f>
        <v>1.5248515292746761E-6</v>
      </c>
      <c r="BN141" s="22">
        <f>'Activity data'!BN48*FracLEACH*MSLeachEF*NtoN2O*kgtoGg</f>
        <v>1.5248515292746761E-6</v>
      </c>
      <c r="BO141" s="22">
        <f>'Activity data'!BO48*FracLEACH*MSLeachEF*NtoN2O*kgtoGg</f>
        <v>1.5248515292746761E-6</v>
      </c>
      <c r="BP141" s="22">
        <f>'Activity data'!BP48*FracLEACH*MSLeachEF*NtoN2O*kgtoGg</f>
        <v>1.5248515292746761E-6</v>
      </c>
    </row>
    <row r="142" spans="1:68" x14ac:dyDescent="0.25">
      <c r="A142" t="str">
        <f t="shared" ref="A142:A145" si="52">A141</f>
        <v>3C Aggregated and non-CO2 emissions on land</v>
      </c>
      <c r="B142" t="str">
        <f t="shared" ref="B142:B144" si="53">B141</f>
        <v>3C5 Indirect N2O from managed soils (N2O)</v>
      </c>
      <c r="C142" t="str">
        <f t="shared" ref="C142:C156" si="54">C141</f>
        <v>Leaching/runoff</v>
      </c>
      <c r="D142" t="str">
        <f t="shared" si="51"/>
        <v xml:space="preserve"> - Managed manure</v>
      </c>
      <c r="E142" t="str">
        <f t="shared" si="46"/>
        <v>Leaching/runoff - Managed manure</v>
      </c>
      <c r="F142" t="str">
        <f t="shared" si="47"/>
        <v>N2O</v>
      </c>
      <c r="G142" t="str">
        <f t="shared" si="48"/>
        <v>Gg N2O</v>
      </c>
      <c r="H142" s="22">
        <f>SUM('Activity data'!H50:H65)*FracLEACH*MSLeachEF*NtoN2O*kgtoGg</f>
        <v>0.19084464140771618</v>
      </c>
      <c r="I142" s="22">
        <f>SUM('Activity data'!I50:I65)*FracLEACH*MSLeachEF*NtoN2O*kgtoGg</f>
        <v>0.20228683621162641</v>
      </c>
      <c r="J142" s="22">
        <f>SUM('Activity data'!J50:J65)*FracLEACH*MSLeachEF*NtoN2O*kgtoGg</f>
        <v>0.19628277337138794</v>
      </c>
      <c r="K142" s="22">
        <f>SUM('Activity data'!K50:K65)*FracLEACH*MSLeachEF*NtoN2O*kgtoGg</f>
        <v>0.19822277924540524</v>
      </c>
      <c r="L142" s="22">
        <f>SUM('Activity data'!L50:L65)*FracLEACH*MSLeachEF*NtoN2O*kgtoGg</f>
        <v>0.1825323111201699</v>
      </c>
      <c r="M142" s="22">
        <f>SUM('Activity data'!M50:M65)*FracLEACH*MSLeachEF*NtoN2O*kgtoGg</f>
        <v>0.18615764889509581</v>
      </c>
      <c r="N142" s="22">
        <f>SUM('Activity data'!N50:N65)*FracLEACH*MSLeachEF*NtoN2O*kgtoGg</f>
        <v>0.19199533091908458</v>
      </c>
      <c r="O142" s="22">
        <f>SUM('Activity data'!O50:O65)*FracLEACH*MSLeachEF*NtoN2O*kgtoGg</f>
        <v>0.19410533021342069</v>
      </c>
      <c r="P142" s="22">
        <f>SUM('Activity data'!P50:P65)*FracLEACH*MSLeachEF*NtoN2O*kgtoGg</f>
        <v>0.20007401496423419</v>
      </c>
      <c r="Q142" s="22">
        <f>SUM('Activity data'!Q50:Q65)*FracLEACH*MSLeachEF*NtoN2O*kgtoGg</f>
        <v>0.20391098922774409</v>
      </c>
      <c r="R142" s="22">
        <f>SUM('Activity data'!R50:R65)*FracLEACH*MSLeachEF*NtoN2O*kgtoGg</f>
        <v>0.21691340963704037</v>
      </c>
      <c r="S142" s="22">
        <f>SUM('Activity data'!S50:S65)*FracLEACH*MSLeachEF*NtoN2O*kgtoGg</f>
        <v>0.214113284173121</v>
      </c>
      <c r="T142" s="22">
        <f>SUM('Activity data'!T50:T65)*FracLEACH*MSLeachEF*NtoN2O*kgtoGg</f>
        <v>0.21739481007363315</v>
      </c>
      <c r="U142" s="22">
        <f>SUM('Activity data'!U50:U65)*FracLEACH*MSLeachEF*NtoN2O*kgtoGg</f>
        <v>0.21238663212028244</v>
      </c>
      <c r="V142" s="22">
        <f>SUM('Activity data'!V50:V65)*FracLEACH*MSLeachEF*NtoN2O*kgtoGg</f>
        <v>0.20930279636896515</v>
      </c>
      <c r="W142" s="22">
        <f>SUM('Activity data'!W50:W65)*FracLEACH*MSLeachEF*NtoN2O*kgtoGg</f>
        <v>0.21286481375965643</v>
      </c>
      <c r="X142" s="22">
        <f>SUM('Activity data'!X50:X65)*FracLEACH*MSLeachEF*NtoN2O*kgtoGg</f>
        <v>0.21622989533469228</v>
      </c>
      <c r="Y142" s="22">
        <f>SUM('Activity data'!Y50:Y65)*FracLEACH*MSLeachEF*NtoN2O*kgtoGg</f>
        <v>0.22181595321366887</v>
      </c>
      <c r="Z142" s="22">
        <f>SUM('Activity data'!Z50:Z65)*FracLEACH*MSLeachEF*NtoN2O*kgtoGg</f>
        <v>0.23286932196944796</v>
      </c>
      <c r="AA142" s="22">
        <f>SUM('Activity data'!AA50:AA65)*FracLEACH*MSLeachEF*NtoN2O*kgtoGg</f>
        <v>0.23188870907706199</v>
      </c>
      <c r="AB142" s="22">
        <f>SUM('Activity data'!AB50:AB65)*FracLEACH*MSLeachEF*NtoN2O*kgtoGg</f>
        <v>0.2310761581752879</v>
      </c>
      <c r="AC142" s="22">
        <f>SUM('Activity data'!AC50:AC65)*FracLEACH*MSLeachEF*NtoN2O*kgtoGg</f>
        <v>0.23132486548736045</v>
      </c>
      <c r="AD142" s="22">
        <f>SUM('Activity data'!AD50:AD65)*FracLEACH*MSLeachEF*NtoN2O*kgtoGg</f>
        <v>0.23016679473953344</v>
      </c>
      <c r="AE142" s="22">
        <f>SUM('Activity data'!AE50:AE65)*FracLEACH*MSLeachEF*NtoN2O*kgtoGg</f>
        <v>0.23166927349541946</v>
      </c>
      <c r="AF142" s="22">
        <f>SUM('Activity data'!AF50:AF65)*FracLEACH*MSLeachEF*NtoN2O*kgtoGg</f>
        <v>0.23296415617155136</v>
      </c>
      <c r="AG142" s="22">
        <f>SUM('Activity data'!AG50:AG65)*FracLEACH*MSLeachEF*NtoN2O*kgtoGg</f>
        <v>0.23403976972702034</v>
      </c>
      <c r="AH142" s="22">
        <f>SUM('Activity data'!AH50:AH65)*FracLEACH*MSLeachEF*NtoN2O*kgtoGg</f>
        <v>0.23495928555674236</v>
      </c>
      <c r="AI142" s="22">
        <f>SUM('Activity data'!AI50:AI65)*FracLEACH*MSLeachEF*NtoN2O*kgtoGg</f>
        <v>0.23605204460583096</v>
      </c>
      <c r="AJ142" s="22">
        <f>SUM('Activity data'!AJ50:AJ65)*FracLEACH*MSLeachEF*NtoN2O*kgtoGg</f>
        <v>0.23708993093454783</v>
      </c>
      <c r="AK142" s="22">
        <f>SUM('Activity data'!AK50:AK65)*FracLEACH*MSLeachEF*NtoN2O*kgtoGg</f>
        <v>0.23807714920889647</v>
      </c>
      <c r="AL142" s="22">
        <f>SUM('Activity data'!AL50:AL65)*FracLEACH*MSLeachEF*NtoN2O*kgtoGg</f>
        <v>0.23549990352917488</v>
      </c>
      <c r="AM142" s="22">
        <f>SUM('Activity data'!AM50:AM65)*FracLEACH*MSLeachEF*NtoN2O*kgtoGg</f>
        <v>0.23705687383517554</v>
      </c>
      <c r="AN142" s="22">
        <f>SUM('Activity data'!AN50:AN65)*FracLEACH*MSLeachEF*NtoN2O*kgtoGg</f>
        <v>0.23858550884263768</v>
      </c>
      <c r="AO142" s="22">
        <f>SUM('Activity data'!AO50:AO65)*FracLEACH*MSLeachEF*NtoN2O*kgtoGg</f>
        <v>0.24013199210461222</v>
      </c>
      <c r="AP142" s="22">
        <f>SUM('Activity data'!AP50:AP65)*FracLEACH*MSLeachEF*NtoN2O*kgtoGg</f>
        <v>0.2416570140093354</v>
      </c>
      <c r="AQ142" s="22">
        <f>SUM('Activity data'!AQ50:AQ65)*FracLEACH*MSLeachEF*NtoN2O*kgtoGg</f>
        <v>0.24322894527038119</v>
      </c>
      <c r="AR142" s="22">
        <f>SUM('Activity data'!AR50:AR65)*FracLEACH*MSLeachEF*NtoN2O*kgtoGg</f>
        <v>0.24499602013327831</v>
      </c>
      <c r="AS142" s="22">
        <f>SUM('Activity data'!AS50:AS65)*FracLEACH*MSLeachEF*NtoN2O*kgtoGg</f>
        <v>0.24676285364662495</v>
      </c>
      <c r="AT142" s="22">
        <f>SUM('Activity data'!AT50:AT65)*FracLEACH*MSLeachEF*NtoN2O*kgtoGg</f>
        <v>0.24858707394401697</v>
      </c>
      <c r="AU142" s="22">
        <f>SUM('Activity data'!AU50:AU65)*FracLEACH*MSLeachEF*NtoN2O*kgtoGg</f>
        <v>0.25045575268585246</v>
      </c>
      <c r="AV142" s="22">
        <f>SUM('Activity data'!AV50:AV65)*FracLEACH*MSLeachEF*NtoN2O*kgtoGg</f>
        <v>0.2523848839478085</v>
      </c>
      <c r="AW142" s="22">
        <f>SUM('Activity data'!AW50:AW65)*FracLEACH*MSLeachEF*NtoN2O*kgtoGg</f>
        <v>0.25479282311617135</v>
      </c>
      <c r="AX142" s="22">
        <f>SUM('Activity data'!AX50:AX65)*FracLEACH*MSLeachEF*NtoN2O*kgtoGg</f>
        <v>0.25706463105637067</v>
      </c>
      <c r="AY142" s="22">
        <f>SUM('Activity data'!AY50:AY65)*FracLEACH*MSLeachEF*NtoN2O*kgtoGg</f>
        <v>0.25951091760195544</v>
      </c>
      <c r="AZ142" s="22">
        <f>SUM('Activity data'!AZ50:AZ65)*FracLEACH*MSLeachEF*NtoN2O*kgtoGg</f>
        <v>0.26205262310518973</v>
      </c>
      <c r="BA142" s="22">
        <f>SUM('Activity data'!BA50:BA65)*FracLEACH*MSLeachEF*NtoN2O*kgtoGg</f>
        <v>0.26468746934470949</v>
      </c>
      <c r="BB142" s="22">
        <f>SUM('Activity data'!BB50:BB65)*FracLEACH*MSLeachEF*NtoN2O*kgtoGg</f>
        <v>0.26733858899881024</v>
      </c>
      <c r="BC142" s="22">
        <f>SUM('Activity data'!BC50:BC65)*FracLEACH*MSLeachEF*NtoN2O*kgtoGg</f>
        <v>0.2700249810809191</v>
      </c>
      <c r="BD142" s="22">
        <f>SUM('Activity data'!BD50:BD65)*FracLEACH*MSLeachEF*NtoN2O*kgtoGg</f>
        <v>0.27211784992661892</v>
      </c>
      <c r="BE142" s="22">
        <f>SUM('Activity data'!BE50:BE65)*FracLEACH*MSLeachEF*NtoN2O*kgtoGg</f>
        <v>0.27413130917295631</v>
      </c>
      <c r="BF142" s="22">
        <f>SUM('Activity data'!BF50:BF65)*FracLEACH*MSLeachEF*NtoN2O*kgtoGg</f>
        <v>0.2761989925328982</v>
      </c>
      <c r="BG142" s="22">
        <f>SUM('Activity data'!BG50:BG65)*FracLEACH*MSLeachEF*NtoN2O*kgtoGg</f>
        <v>0.27851832861007347</v>
      </c>
      <c r="BH142" s="22">
        <f>SUM('Activity data'!BH50:BH65)*FracLEACH*MSLeachEF*NtoN2O*kgtoGg</f>
        <v>0.28086284843936543</v>
      </c>
      <c r="BI142" s="22">
        <f>SUM('Activity data'!BI50:BI65)*FracLEACH*MSLeachEF*NtoN2O*kgtoGg</f>
        <v>0.28322145155124945</v>
      </c>
      <c r="BJ142" s="22">
        <f>SUM('Activity data'!BJ50:BJ65)*FracLEACH*MSLeachEF*NtoN2O*kgtoGg</f>
        <v>0.28560258183648396</v>
      </c>
      <c r="BK142" s="22">
        <f>SUM('Activity data'!BK50:BK65)*FracLEACH*MSLeachEF*NtoN2O*kgtoGg</f>
        <v>0.28805126478806919</v>
      </c>
      <c r="BL142" s="22">
        <f>SUM('Activity data'!BL50:BL65)*FracLEACH*MSLeachEF*NtoN2O*kgtoGg</f>
        <v>0.29051627910780009</v>
      </c>
      <c r="BM142" s="22">
        <f>SUM('Activity data'!BM50:BM65)*FracLEACH*MSLeachEF*NtoN2O*kgtoGg</f>
        <v>0.29300971556798239</v>
      </c>
      <c r="BN142" s="22">
        <f>SUM('Activity data'!BN50:BN65)*FracLEACH*MSLeachEF*NtoN2O*kgtoGg</f>
        <v>0.29543700230982445</v>
      </c>
      <c r="BO142" s="22">
        <f>SUM('Activity data'!BO50:BO65)*FracLEACH*MSLeachEF*NtoN2O*kgtoGg</f>
        <v>0.29789447298273158</v>
      </c>
      <c r="BP142" s="22">
        <f>SUM('Activity data'!BP50:BP65)*FracLEACH*MSLeachEF*NtoN2O*kgtoGg</f>
        <v>0.30038431498408708</v>
      </c>
    </row>
    <row r="143" spans="1:68" x14ac:dyDescent="0.25">
      <c r="A143" t="str">
        <f t="shared" si="52"/>
        <v>3C Aggregated and non-CO2 emissions on land</v>
      </c>
      <c r="B143" t="str">
        <f t="shared" si="53"/>
        <v>3C5 Indirect N2O from managed soils (N2O)</v>
      </c>
      <c r="C143" t="str">
        <f t="shared" si="54"/>
        <v>Leaching/runoff</v>
      </c>
      <c r="D143" t="str">
        <f t="shared" si="51"/>
        <v xml:space="preserve"> - Urine &amp; dung</v>
      </c>
      <c r="E143" t="str">
        <f t="shared" si="46"/>
        <v>Leaching/runoff - Urine &amp; dung</v>
      </c>
      <c r="F143" t="str">
        <f t="shared" si="47"/>
        <v>N2O</v>
      </c>
      <c r="G143" t="str">
        <f t="shared" si="48"/>
        <v>Gg N2O</v>
      </c>
      <c r="H143" s="22">
        <f>SUM('Activity data'!H66:H81)*FracLEACHUD*MSLeachEF*NtoN2O*kgtoGg</f>
        <v>0</v>
      </c>
      <c r="I143" s="22">
        <f>SUM('Activity data'!I66:I81)*FracLEACHUD*MSLeachEF*NtoN2O*kgtoGg</f>
        <v>0</v>
      </c>
      <c r="J143" s="22">
        <f>SUM('Activity data'!J66:J81)*FracLEACHUD*MSLeachEF*NtoN2O*kgtoGg</f>
        <v>0</v>
      </c>
      <c r="K143" s="22">
        <f>SUM('Activity data'!K66:K81)*FracLEACHUD*MSLeachEF*NtoN2O*kgtoGg</f>
        <v>0</v>
      </c>
      <c r="L143" s="22">
        <f>SUM('Activity data'!L66:L81)*FracLEACHUD*MSLeachEF*NtoN2O*kgtoGg</f>
        <v>0</v>
      </c>
      <c r="M143" s="22">
        <f>SUM('Activity data'!M66:M81)*FracLEACHUD*MSLeachEF*NtoN2O*kgtoGg</f>
        <v>0</v>
      </c>
      <c r="N143" s="22">
        <f>SUM('Activity data'!N66:N81)*FracLEACHUD*MSLeachEF*NtoN2O*kgtoGg</f>
        <v>0</v>
      </c>
      <c r="O143" s="22">
        <f>SUM('Activity data'!O66:O81)*FracLEACHUD*MSLeachEF*NtoN2O*kgtoGg</f>
        <v>0</v>
      </c>
      <c r="P143" s="22">
        <f>SUM('Activity data'!P66:P81)*FracLEACHUD*MSLeachEF*NtoN2O*kgtoGg</f>
        <v>0</v>
      </c>
      <c r="Q143" s="22">
        <f>SUM('Activity data'!Q66:Q81)*FracLEACHUD*MSLeachEF*NtoN2O*kgtoGg</f>
        <v>0</v>
      </c>
      <c r="R143" s="22">
        <f>SUM('Activity data'!R66:R81)*FracLEACHUD*MSLeachEF*NtoN2O*kgtoGg</f>
        <v>0</v>
      </c>
      <c r="S143" s="22">
        <f>SUM('Activity data'!S66:S81)*FracLEACHUD*MSLeachEF*NtoN2O*kgtoGg</f>
        <v>0</v>
      </c>
      <c r="T143" s="22">
        <f>SUM('Activity data'!T66:T81)*FracLEACHUD*MSLeachEF*NtoN2O*kgtoGg</f>
        <v>0</v>
      </c>
      <c r="U143" s="22">
        <f>SUM('Activity data'!U66:U81)*FracLEACHUD*MSLeachEF*NtoN2O*kgtoGg</f>
        <v>0</v>
      </c>
      <c r="V143" s="22">
        <f>SUM('Activity data'!V66:V81)*FracLEACHUD*MSLeachEF*NtoN2O*kgtoGg</f>
        <v>0</v>
      </c>
      <c r="W143" s="22">
        <f>SUM('Activity data'!W66:W81)*FracLEACHUD*MSLeachEF*NtoN2O*kgtoGg</f>
        <v>0</v>
      </c>
      <c r="X143" s="22">
        <f>SUM('Activity data'!X66:X81)*FracLEACHUD*MSLeachEF*NtoN2O*kgtoGg</f>
        <v>0</v>
      </c>
      <c r="Y143" s="22">
        <f>SUM('Activity data'!Y66:Y81)*FracLEACHUD*MSLeachEF*NtoN2O*kgtoGg</f>
        <v>0</v>
      </c>
      <c r="Z143" s="22">
        <f>SUM('Activity data'!Z66:Z81)*FracLEACHUD*MSLeachEF*NtoN2O*kgtoGg</f>
        <v>0</v>
      </c>
      <c r="AA143" s="22">
        <f>SUM('Activity data'!AA66:AA81)*FracLEACHUD*MSLeachEF*NtoN2O*kgtoGg</f>
        <v>0</v>
      </c>
      <c r="AB143" s="22">
        <f>SUM('Activity data'!AB66:AB81)*FracLEACHUD*MSLeachEF*NtoN2O*kgtoGg</f>
        <v>0</v>
      </c>
      <c r="AC143" s="22">
        <f>SUM('Activity data'!AC66:AC81)*FracLEACHUD*MSLeachEF*NtoN2O*kgtoGg</f>
        <v>0</v>
      </c>
      <c r="AD143" s="22">
        <f>SUM('Activity data'!AD66:AD81)*FracLEACHUD*MSLeachEF*NtoN2O*kgtoGg</f>
        <v>0</v>
      </c>
      <c r="AE143" s="22">
        <f>SUM('Activity data'!AE66:AE81)*FracLEACHUD*MSLeachEF*NtoN2O*kgtoGg</f>
        <v>0</v>
      </c>
      <c r="AF143" s="22">
        <f>SUM('Activity data'!AF66:AF81)*FracLEACHUD*MSLeachEF*NtoN2O*kgtoGg</f>
        <v>0</v>
      </c>
      <c r="AG143" s="22">
        <f>SUM('Activity data'!AG66:AG81)*FracLEACHUD*MSLeachEF*NtoN2O*kgtoGg</f>
        <v>0</v>
      </c>
      <c r="AH143" s="22">
        <f>SUM('Activity data'!AH66:AH81)*FracLEACHUD*MSLeachEF*NtoN2O*kgtoGg</f>
        <v>0</v>
      </c>
      <c r="AI143" s="22">
        <f>SUM('Activity data'!AI66:AI81)*FracLEACHUD*MSLeachEF*NtoN2O*kgtoGg</f>
        <v>0</v>
      </c>
      <c r="AJ143" s="22">
        <f>SUM('Activity data'!AJ66:AJ81)*FracLEACHUD*MSLeachEF*NtoN2O*kgtoGg</f>
        <v>0</v>
      </c>
      <c r="AK143" s="22">
        <f>SUM('Activity data'!AK66:AK81)*FracLEACHUD*MSLeachEF*NtoN2O*kgtoGg</f>
        <v>0</v>
      </c>
      <c r="AL143" s="22">
        <f>SUM('Activity data'!AL66:AL81)*FracLEACHUD*MSLeachEF*NtoN2O*kgtoGg</f>
        <v>0</v>
      </c>
      <c r="AM143" s="22">
        <f>SUM('Activity data'!AM66:AM81)*FracLEACHUD*MSLeachEF*NtoN2O*kgtoGg</f>
        <v>0</v>
      </c>
      <c r="AN143" s="22">
        <f>SUM('Activity data'!AN66:AN81)*FracLEACHUD*MSLeachEF*NtoN2O*kgtoGg</f>
        <v>0</v>
      </c>
      <c r="AO143" s="22">
        <f>SUM('Activity data'!AO66:AO81)*FracLEACHUD*MSLeachEF*NtoN2O*kgtoGg</f>
        <v>0</v>
      </c>
      <c r="AP143" s="22">
        <f>SUM('Activity data'!AP66:AP81)*FracLEACHUD*MSLeachEF*NtoN2O*kgtoGg</f>
        <v>0</v>
      </c>
      <c r="AQ143" s="22">
        <f>SUM('Activity data'!AQ66:AQ81)*FracLEACHUD*MSLeachEF*NtoN2O*kgtoGg</f>
        <v>0</v>
      </c>
      <c r="AR143" s="22">
        <f>SUM('Activity data'!AR66:AR81)*FracLEACHUD*MSLeachEF*NtoN2O*kgtoGg</f>
        <v>0</v>
      </c>
      <c r="AS143" s="22">
        <f>SUM('Activity data'!AS66:AS81)*FracLEACHUD*MSLeachEF*NtoN2O*kgtoGg</f>
        <v>0</v>
      </c>
      <c r="AT143" s="22">
        <f>SUM('Activity data'!AT66:AT81)*FracLEACHUD*MSLeachEF*NtoN2O*kgtoGg</f>
        <v>0</v>
      </c>
      <c r="AU143" s="22">
        <f>SUM('Activity data'!AU66:AU81)*FracLEACHUD*MSLeachEF*NtoN2O*kgtoGg</f>
        <v>0</v>
      </c>
      <c r="AV143" s="22">
        <f>SUM('Activity data'!AV66:AV81)*FracLEACHUD*MSLeachEF*NtoN2O*kgtoGg</f>
        <v>0</v>
      </c>
      <c r="AW143" s="22">
        <f>SUM('Activity data'!AW66:AW81)*FracLEACHUD*MSLeachEF*NtoN2O*kgtoGg</f>
        <v>0</v>
      </c>
      <c r="AX143" s="22">
        <f>SUM('Activity data'!AX66:AX81)*FracLEACHUD*MSLeachEF*NtoN2O*kgtoGg</f>
        <v>0</v>
      </c>
      <c r="AY143" s="22">
        <f>SUM('Activity data'!AY66:AY81)*FracLEACHUD*MSLeachEF*NtoN2O*kgtoGg</f>
        <v>0</v>
      </c>
      <c r="AZ143" s="22">
        <f>SUM('Activity data'!AZ66:AZ81)*FracLEACHUD*MSLeachEF*NtoN2O*kgtoGg</f>
        <v>0</v>
      </c>
      <c r="BA143" s="22">
        <f>SUM('Activity data'!BA66:BA81)*FracLEACHUD*MSLeachEF*NtoN2O*kgtoGg</f>
        <v>0</v>
      </c>
      <c r="BB143" s="22">
        <f>SUM('Activity data'!BB66:BB81)*FracLEACHUD*MSLeachEF*NtoN2O*kgtoGg</f>
        <v>0</v>
      </c>
      <c r="BC143" s="22">
        <f>SUM('Activity data'!BC66:BC81)*FracLEACHUD*MSLeachEF*NtoN2O*kgtoGg</f>
        <v>0</v>
      </c>
      <c r="BD143" s="22">
        <f>SUM('Activity data'!BD66:BD81)*FracLEACHUD*MSLeachEF*NtoN2O*kgtoGg</f>
        <v>0</v>
      </c>
      <c r="BE143" s="22">
        <f>SUM('Activity data'!BE66:BE81)*FracLEACHUD*MSLeachEF*NtoN2O*kgtoGg</f>
        <v>0</v>
      </c>
      <c r="BF143" s="22">
        <f>SUM('Activity data'!BF66:BF81)*FracLEACHUD*MSLeachEF*NtoN2O*kgtoGg</f>
        <v>0</v>
      </c>
      <c r="BG143" s="22">
        <f>SUM('Activity data'!BG66:BG81)*FracLEACHUD*MSLeachEF*NtoN2O*kgtoGg</f>
        <v>0</v>
      </c>
      <c r="BH143" s="22">
        <f>SUM('Activity data'!BH66:BH81)*FracLEACHUD*MSLeachEF*NtoN2O*kgtoGg</f>
        <v>0</v>
      </c>
      <c r="BI143" s="22">
        <f>SUM('Activity data'!BI66:BI81)*FracLEACHUD*MSLeachEF*NtoN2O*kgtoGg</f>
        <v>0</v>
      </c>
      <c r="BJ143" s="22">
        <f>SUM('Activity data'!BJ66:BJ81)*FracLEACHUD*MSLeachEF*NtoN2O*kgtoGg</f>
        <v>0</v>
      </c>
      <c r="BK143" s="22">
        <f>SUM('Activity data'!BK66:BK81)*FracLEACHUD*MSLeachEF*NtoN2O*kgtoGg</f>
        <v>0</v>
      </c>
      <c r="BL143" s="22">
        <f>SUM('Activity data'!BL66:BL81)*FracLEACHUD*MSLeachEF*NtoN2O*kgtoGg</f>
        <v>0</v>
      </c>
      <c r="BM143" s="22">
        <f>SUM('Activity data'!BM66:BM81)*FracLEACHUD*MSLeachEF*NtoN2O*kgtoGg</f>
        <v>0</v>
      </c>
      <c r="BN143" s="22">
        <f>SUM('Activity data'!BN66:BN81)*FracLEACHUD*MSLeachEF*NtoN2O*kgtoGg</f>
        <v>0</v>
      </c>
      <c r="BO143" s="22">
        <f>SUM('Activity data'!BO66:BO81)*FracLEACHUD*MSLeachEF*NtoN2O*kgtoGg</f>
        <v>0</v>
      </c>
      <c r="BP143" s="22">
        <f>SUM('Activity data'!BP66:BP81)*FracLEACHUD*MSLeachEF*NtoN2O*kgtoGg</f>
        <v>0</v>
      </c>
    </row>
    <row r="144" spans="1:68" x14ac:dyDescent="0.25">
      <c r="A144" t="str">
        <f t="shared" si="52"/>
        <v>3C Aggregated and non-CO2 emissions on land</v>
      </c>
      <c r="B144" t="str">
        <f t="shared" si="53"/>
        <v>3C5 Indirect N2O from managed soils (N2O)</v>
      </c>
      <c r="C144" t="str">
        <f t="shared" si="54"/>
        <v>Leaching/runoff</v>
      </c>
      <c r="D144" t="s">
        <v>444</v>
      </c>
      <c r="E144" t="str">
        <f t="shared" si="46"/>
        <v>Leaching/runoff - crop residues</v>
      </c>
      <c r="F144" t="str">
        <f t="shared" si="47"/>
        <v>N2O</v>
      </c>
      <c r="G144" t="str">
        <f t="shared" si="48"/>
        <v>Gg N2O</v>
      </c>
      <c r="H144" s="22">
        <f>'Activity data'!H85*FracLEACH*MSLeachEF*NtoN2O*kgtoGg</f>
        <v>0.32825138330425746</v>
      </c>
      <c r="I144" s="22">
        <f>'Activity data'!I85*FracLEACH*MSLeachEF*NtoN2O*kgtoGg</f>
        <v>0.29258472088991805</v>
      </c>
      <c r="J144" s="22">
        <f>'Activity data'!J85*FracLEACH*MSLeachEF*NtoN2O*kgtoGg</f>
        <v>0.30466001341387333</v>
      </c>
      <c r="K144" s="22">
        <f>'Activity data'!K85*FracLEACH*MSLeachEF*NtoN2O*kgtoGg</f>
        <v>0.32719032978612411</v>
      </c>
      <c r="L144" s="22">
        <f>'Activity data'!L85*FracLEACH*MSLeachEF*NtoN2O*kgtoGg</f>
        <v>0.34506298505165967</v>
      </c>
      <c r="M144" s="22">
        <f>'Activity data'!M85*FracLEACH*MSLeachEF*NtoN2O*kgtoGg</f>
        <v>0.26835741701138188</v>
      </c>
      <c r="N144" s="22">
        <f>'Activity data'!N85*FracLEACH*MSLeachEF*NtoN2O*kgtoGg</f>
        <v>0.29559092734534437</v>
      </c>
      <c r="O144" s="22">
        <f>'Activity data'!O85*FracLEACH*MSLeachEF*NtoN2O*kgtoGg</f>
        <v>0.31084343591780184</v>
      </c>
      <c r="P144" s="22">
        <f>'Activity data'!P85*FracLEACH*MSLeachEF*NtoN2O*kgtoGg</f>
        <v>0.27086459563815568</v>
      </c>
      <c r="Q144" s="22">
        <f>'Activity data'!Q85*FracLEACH*MSLeachEF*NtoN2O*kgtoGg</f>
        <v>0.26878213404252554</v>
      </c>
      <c r="R144" s="22">
        <f>'Activity data'!R85*FracLEACH*MSLeachEF*NtoN2O*kgtoGg</f>
        <v>0.30850443704293706</v>
      </c>
      <c r="S144" s="22">
        <f>'Activity data'!S85*FracLEACH*MSLeachEF*NtoN2O*kgtoGg</f>
        <v>0.25198130516617884</v>
      </c>
      <c r="T144" s="22">
        <f>'Activity data'!T85*FracLEACH*MSLeachEF*NtoN2O*kgtoGg</f>
        <v>0.27482653444956295</v>
      </c>
      <c r="U144" s="22">
        <f>'Activity data'!U85*FracLEACH*MSLeachEF*NtoN2O*kgtoGg</f>
        <v>0.27118111335186618</v>
      </c>
      <c r="V144" s="22">
        <f>'Activity data'!V85*FracLEACH*MSLeachEF*NtoN2O*kgtoGg</f>
        <v>0.24249970337716806</v>
      </c>
      <c r="W144" s="22">
        <f>'Activity data'!W85*FracLEACH*MSLeachEF*NtoN2O*kgtoGg</f>
        <v>0.24631967811667024</v>
      </c>
      <c r="X144" s="22">
        <f>'Activity data'!X85*FracLEACH*MSLeachEF*NtoN2O*kgtoGg</f>
        <v>0.16562313484333735</v>
      </c>
      <c r="Y144" s="22">
        <f>'Activity data'!Y85*FracLEACH*MSLeachEF*NtoN2O*kgtoGg</f>
        <v>0.22452515502235468</v>
      </c>
      <c r="Z144" s="22">
        <f>'Activity data'!Z85*FracLEACH*MSLeachEF*NtoN2O*kgtoGg</f>
        <v>0.25642809937723432</v>
      </c>
      <c r="AA144" s="22">
        <f>'Activity data'!AA85*FracLEACH*MSLeachEF*NtoN2O*kgtoGg</f>
        <v>0.22783824491775231</v>
      </c>
      <c r="AB144" s="22">
        <f>'Activity data'!AB85*FracLEACH*MSLeachEF*NtoN2O*kgtoGg</f>
        <v>0.24876618225527067</v>
      </c>
      <c r="AC144" s="22">
        <f>'Activity data'!AC85*FracLEACH*MSLeachEF*NtoN2O*kgtoGg</f>
        <v>0.23034433519625197</v>
      </c>
      <c r="AD144" s="22">
        <f>'Activity data'!AD85*FracLEACH*MSLeachEF*NtoN2O*kgtoGg</f>
        <v>0.23036850790875155</v>
      </c>
      <c r="AE144" s="22">
        <f>'Activity data'!AE85*FracLEACH*MSLeachEF*NtoN2O*kgtoGg</f>
        <v>0.22854177855272886</v>
      </c>
      <c r="AF144" s="22">
        <f>'Activity data'!AF85*FracLEACH*MSLeachEF*NtoN2O*kgtoGg</f>
        <v>0.22671229606264687</v>
      </c>
      <c r="AG144" s="22">
        <f>'Activity data'!AG85*FracLEACH*MSLeachEF*NtoN2O*kgtoGg</f>
        <v>0.2248780044325788</v>
      </c>
      <c r="AH144" s="22">
        <f>'Activity data'!AH85*FracLEACH*MSLeachEF*NtoN2O*kgtoGg</f>
        <v>0.22288980313845114</v>
      </c>
      <c r="AI144" s="22">
        <f>'Activity data'!AI85*FracLEACH*MSLeachEF*NtoN2O*kgtoGg</f>
        <v>0.2208939417285419</v>
      </c>
      <c r="AJ144" s="22">
        <f>'Activity data'!AJ85*FracLEACH*MSLeachEF*NtoN2O*kgtoGg</f>
        <v>0.21890124511942405</v>
      </c>
      <c r="AK144" s="22">
        <f>'Activity data'!AK85*FracLEACH*MSLeachEF*NtoN2O*kgtoGg</f>
        <v>0.21691163457170917</v>
      </c>
      <c r="AL144" s="22">
        <f>'Activity data'!AL85*FracLEACH*MSLeachEF*NtoN2O*kgtoGg</f>
        <v>0.21520074094627922</v>
      </c>
      <c r="AM144" s="22">
        <f>'Activity data'!AM85*FracLEACH*MSLeachEF*NtoN2O*kgtoGg</f>
        <v>0.21313324271866216</v>
      </c>
      <c r="AN144" s="22">
        <f>'Activity data'!AN85*FracLEACH*MSLeachEF*NtoN2O*kgtoGg</f>
        <v>0.21107344476728296</v>
      </c>
      <c r="AO144" s="22">
        <f>'Activity data'!AO85*FracLEACH*MSLeachEF*NtoN2O*kgtoGg</f>
        <v>0.2090161343876632</v>
      </c>
      <c r="AP144" s="22">
        <f>'Activity data'!AP85*FracLEACH*MSLeachEF*NtoN2O*kgtoGg</f>
        <v>0.20898668478373933</v>
      </c>
      <c r="AQ144" s="22">
        <f>'Activity data'!AQ85*FracLEACH*MSLeachEF*NtoN2O*kgtoGg</f>
        <v>0.20895691919993645</v>
      </c>
      <c r="AR144" s="22">
        <f>'Activity data'!AR85*FracLEACH*MSLeachEF*NtoN2O*kgtoGg</f>
        <v>0.20892156660019903</v>
      </c>
      <c r="AS144" s="22">
        <f>'Activity data'!AS85*FracLEACH*MSLeachEF*NtoN2O*kgtoGg</f>
        <v>0.20889083636759931</v>
      </c>
      <c r="AT144" s="22">
        <f>'Activity data'!AT85*FracLEACH*MSLeachEF*NtoN2O*kgtoGg</f>
        <v>0.20886107658166841</v>
      </c>
      <c r="AU144" s="22">
        <f>'Activity data'!AU85*FracLEACH*MSLeachEF*NtoN2O*kgtoGg</f>
        <v>0.2088333763651288</v>
      </c>
      <c r="AV144" s="22">
        <f>'Activity data'!AV85*FracLEACH*MSLeachEF*NtoN2O*kgtoGg</f>
        <v>0.20880779002862435</v>
      </c>
      <c r="AW144" s="22">
        <f>'Activity data'!AW85*FracLEACH*MSLeachEF*NtoN2O*kgtoGg</f>
        <v>0.20880779002862435</v>
      </c>
      <c r="AX144" s="22">
        <f>'Activity data'!AX85*FracLEACH*MSLeachEF*NtoN2O*kgtoGg</f>
        <v>0.20880779002862435</v>
      </c>
      <c r="AY144" s="22">
        <f>'Activity data'!AY85*FracLEACH*MSLeachEF*NtoN2O*kgtoGg</f>
        <v>0.20880779002862435</v>
      </c>
      <c r="AZ144" s="22">
        <f>'Activity data'!AZ85*FracLEACH*MSLeachEF*NtoN2O*kgtoGg</f>
        <v>0.20880779002862435</v>
      </c>
      <c r="BA144" s="22">
        <f>'Activity data'!BA85*FracLEACH*MSLeachEF*NtoN2O*kgtoGg</f>
        <v>0.20880779002862435</v>
      </c>
      <c r="BB144" s="22">
        <f>'Activity data'!BB85*FracLEACH*MSLeachEF*NtoN2O*kgtoGg</f>
        <v>0.20880779002862435</v>
      </c>
      <c r="BC144" s="22">
        <f>'Activity data'!BC85*FracLEACH*MSLeachEF*NtoN2O*kgtoGg</f>
        <v>0.20880779002862435</v>
      </c>
      <c r="BD144" s="22">
        <f>'Activity data'!BD85*FracLEACH*MSLeachEF*NtoN2O*kgtoGg</f>
        <v>0.20880779002862435</v>
      </c>
      <c r="BE144" s="22">
        <f>'Activity data'!BE85*FracLEACH*MSLeachEF*NtoN2O*kgtoGg</f>
        <v>0.20880779002862435</v>
      </c>
      <c r="BF144" s="22">
        <f>'Activity data'!BF85*FracLEACH*MSLeachEF*NtoN2O*kgtoGg</f>
        <v>0.20880779002862435</v>
      </c>
      <c r="BG144" s="22">
        <f>'Activity data'!BG85*FracLEACH*MSLeachEF*NtoN2O*kgtoGg</f>
        <v>0.20880779002862435</v>
      </c>
      <c r="BH144" s="22">
        <f>'Activity data'!BH85*FracLEACH*MSLeachEF*NtoN2O*kgtoGg</f>
        <v>0.20880779002862435</v>
      </c>
      <c r="BI144" s="22">
        <f>'Activity data'!BI85*FracLEACH*MSLeachEF*NtoN2O*kgtoGg</f>
        <v>0.20880779002862435</v>
      </c>
      <c r="BJ144" s="22">
        <f>'Activity data'!BJ85*FracLEACH*MSLeachEF*NtoN2O*kgtoGg</f>
        <v>0.20880779002862435</v>
      </c>
      <c r="BK144" s="22">
        <f>'Activity data'!BK85*FracLEACH*MSLeachEF*NtoN2O*kgtoGg</f>
        <v>0.20880779002862435</v>
      </c>
      <c r="BL144" s="22">
        <f>'Activity data'!BL85*FracLEACH*MSLeachEF*NtoN2O*kgtoGg</f>
        <v>0.20880779002862435</v>
      </c>
      <c r="BM144" s="22">
        <f>'Activity data'!BM85*FracLEACH*MSLeachEF*NtoN2O*kgtoGg</f>
        <v>0.20880779002862435</v>
      </c>
      <c r="BN144" s="22">
        <f>'Activity data'!BN85*FracLEACH*MSLeachEF*NtoN2O*kgtoGg</f>
        <v>0.20880779002862435</v>
      </c>
      <c r="BO144" s="22">
        <f>'Activity data'!BO85*FracLEACH*MSLeachEF*NtoN2O*kgtoGg</f>
        <v>0.20880779002862435</v>
      </c>
      <c r="BP144" s="22">
        <f>'Activity data'!BP85*FracLEACH*MSLeachEF*NtoN2O*kgtoGg</f>
        <v>0.20880779002862435</v>
      </c>
    </row>
    <row r="145" spans="1:68" x14ac:dyDescent="0.25">
      <c r="A145" t="str">
        <f t="shared" si="52"/>
        <v>3C Aggregated and non-CO2 emissions on land</v>
      </c>
      <c r="B145" t="str">
        <f>'IPCC Categories'!B78</f>
        <v>3C5 Indirect N2O from managed soils (N2O)</v>
      </c>
      <c r="C145" t="str">
        <f t="shared" si="54"/>
        <v>Leaching/runoff</v>
      </c>
      <c r="D145" t="str">
        <f>" - FSOM - "&amp;'Activity data'!D87</f>
        <v xml:space="preserve"> - FSOM - Forest remaining forest land</v>
      </c>
      <c r="E145" t="str">
        <f t="shared" ref="E145" si="55">C145&amp;D145</f>
        <v>Leaching/runoff - FSOM - Forest remaining forest land</v>
      </c>
      <c r="F145" t="str">
        <f t="shared" si="47"/>
        <v>N2O</v>
      </c>
      <c r="G145" t="str">
        <f t="shared" si="48"/>
        <v>Gg N2O</v>
      </c>
      <c r="H145" s="22" t="str">
        <f>IFERROR(('Activity data'!H87*(1/Constants!$H$112))*ttokg*FracLEACH*MSLeachEF*NtoN2O*kgtoGg,"NO")</f>
        <v>NO</v>
      </c>
      <c r="I145" s="22" t="str">
        <f>IFERROR(('Activity data'!I87*(1/Constants!$H$112))*ttokg*FracLEACH*MSLeachEF*NtoN2O*kgtoGg,"NO")</f>
        <v>NO</v>
      </c>
      <c r="J145" s="22" t="str">
        <f>IFERROR(('Activity data'!J87*(1/Constants!$H$112))*ttokg*FracLEACH*MSLeachEF*NtoN2O*kgtoGg,"NO")</f>
        <v>NO</v>
      </c>
      <c r="K145" s="22" t="str">
        <f>IFERROR(('Activity data'!K87*(1/Constants!$H$112))*ttokg*FracLEACH*MSLeachEF*NtoN2O*kgtoGg,"NO")</f>
        <v>NO</v>
      </c>
      <c r="L145" s="22" t="str">
        <f>IFERROR(('Activity data'!L87*(1/Constants!$H$112))*ttokg*FracLEACH*MSLeachEF*NtoN2O*kgtoGg,"NO")</f>
        <v>NO</v>
      </c>
      <c r="M145" s="22" t="str">
        <f>IFERROR(('Activity data'!M87*(1/Constants!$H$112))*ttokg*FracLEACH*MSLeachEF*NtoN2O*kgtoGg,"NO")</f>
        <v>NO</v>
      </c>
      <c r="N145" s="22" t="str">
        <f>IFERROR(('Activity data'!N87*(1/Constants!$H$112))*ttokg*FracLEACH*MSLeachEF*NtoN2O*kgtoGg,"NO")</f>
        <v>NO</v>
      </c>
      <c r="O145" s="22" t="str">
        <f>IFERROR(('Activity data'!O87*(1/Constants!$H$112))*ttokg*FracLEACH*MSLeachEF*NtoN2O*kgtoGg,"NO")</f>
        <v>NO</v>
      </c>
      <c r="P145" s="22" t="str">
        <f>IFERROR(('Activity data'!P87*(1/Constants!$H$112))*ttokg*FracLEACH*MSLeachEF*NtoN2O*kgtoGg,"NO")</f>
        <v>NO</v>
      </c>
      <c r="Q145" s="22" t="str">
        <f>IFERROR(('Activity data'!Q87*(1/Constants!$H$112))*ttokg*FracLEACH*MSLeachEF*NtoN2O*kgtoGg,"NO")</f>
        <v>NO</v>
      </c>
      <c r="R145" s="22" t="str">
        <f>IFERROR(('Activity data'!R87*(1/Constants!$H$112))*ttokg*FracLEACH*MSLeachEF*NtoN2O*kgtoGg,"NO")</f>
        <v>NO</v>
      </c>
      <c r="S145" s="22" t="str">
        <f>IFERROR(('Activity data'!S87*(1/Constants!$H$112))*ttokg*FracLEACH*MSLeachEF*NtoN2O*kgtoGg,"NO")</f>
        <v>NO</v>
      </c>
      <c r="T145" s="22" t="str">
        <f>IFERROR(('Activity data'!T87*(1/Constants!$H$112))*ttokg*FracLEACH*MSLeachEF*NtoN2O*kgtoGg,"NO")</f>
        <v>NO</v>
      </c>
      <c r="U145" s="22" t="str">
        <f>IFERROR(('Activity data'!U87*(1/Constants!$H$112))*ttokg*FracLEACH*MSLeachEF*NtoN2O*kgtoGg,"NO")</f>
        <v>NO</v>
      </c>
      <c r="V145" s="22" t="str">
        <f>IFERROR(('Activity data'!V87*(1/Constants!$H$112))*ttokg*FracLEACH*MSLeachEF*NtoN2O*kgtoGg,"NO")</f>
        <v>NO</v>
      </c>
      <c r="W145" s="22" t="str">
        <f>IFERROR(('Activity data'!W87*(1/Constants!$H$112))*ttokg*FracLEACH*MSLeachEF*NtoN2O*kgtoGg,"NO")</f>
        <v>NO</v>
      </c>
      <c r="X145" s="22" t="str">
        <f>IFERROR(('Activity data'!X87*(1/Constants!$H$112))*ttokg*FracLEACH*MSLeachEF*NtoN2O*kgtoGg,"NO")</f>
        <v>NO</v>
      </c>
      <c r="Y145" s="22" t="str">
        <f>IFERROR(('Activity data'!Y87*(1/Constants!$H$112))*ttokg*FracLEACH*MSLeachEF*NtoN2O*kgtoGg,"NO")</f>
        <v>NO</v>
      </c>
      <c r="Z145" s="22" t="str">
        <f>IFERROR(('Activity data'!Z87*(1/Constants!$H$112))*ttokg*FracLEACH*MSLeachEF*NtoN2O*kgtoGg,"NO")</f>
        <v>NO</v>
      </c>
      <c r="AA145" s="22" t="str">
        <f>IFERROR(('Activity data'!AA87*(1/Constants!$H$112))*ttokg*FracLEACH*MSLeachEF*NtoN2O*kgtoGg,"NO")</f>
        <v>NO</v>
      </c>
      <c r="AB145" s="22" t="str">
        <f>IFERROR(('Activity data'!AB87*(1/Constants!$H$112))*ttokg*FracLEACH*MSLeachEF*NtoN2O*kgtoGg,"NO")</f>
        <v>NO</v>
      </c>
      <c r="AC145" s="22" t="str">
        <f>IFERROR(('Activity data'!AC87*(1/Constants!$H$112))*ttokg*FracLEACH*MSLeachEF*NtoN2O*kgtoGg,"NO")</f>
        <v>NO</v>
      </c>
      <c r="AD145" s="22" t="str">
        <f>IFERROR(('Activity data'!AD87*(1/Constants!$H$112))*ttokg*FracLEACH*MSLeachEF*NtoN2O*kgtoGg,"NO")</f>
        <v>NO</v>
      </c>
      <c r="AE145" s="22" t="str">
        <f>IFERROR(('Activity data'!AE87*(1/Constants!$H$112))*ttokg*FracLEACH*MSLeachEF*NtoN2O*kgtoGg,"NO")</f>
        <v>NO</v>
      </c>
      <c r="AF145" s="22" t="str">
        <f>IFERROR(('Activity data'!AF87*(1/Constants!$H$112))*ttokg*FracLEACH*MSLeachEF*NtoN2O*kgtoGg,"NO")</f>
        <v>NO</v>
      </c>
      <c r="AG145" s="22" t="str">
        <f>IFERROR(('Activity data'!AG87*(1/Constants!$H$112))*ttokg*FracLEACH*MSLeachEF*NtoN2O*kgtoGg,"NO")</f>
        <v>NO</v>
      </c>
      <c r="AH145" s="22" t="str">
        <f>IFERROR(('Activity data'!AH87*(1/Constants!$H$112))*ttokg*FracLEACH*MSLeachEF*NtoN2O*kgtoGg,"NO")</f>
        <v>NO</v>
      </c>
      <c r="AI145" s="22" t="str">
        <f>IFERROR(('Activity data'!AI87*(1/Constants!$H$112))*ttokg*FracLEACH*MSLeachEF*NtoN2O*kgtoGg,"NO")</f>
        <v>NO</v>
      </c>
      <c r="AJ145" s="22" t="str">
        <f>IFERROR(('Activity data'!AJ87*(1/Constants!$H$112))*ttokg*FracLEACH*MSLeachEF*NtoN2O*kgtoGg,"NO")</f>
        <v>NO</v>
      </c>
      <c r="AK145" s="22" t="str">
        <f>IFERROR(('Activity data'!AK87*(1/Constants!$H$112))*ttokg*FracLEACH*MSLeachEF*NtoN2O*kgtoGg,"NO")</f>
        <v>NO</v>
      </c>
      <c r="AL145" s="22" t="str">
        <f>IFERROR(('Activity data'!AL87*(1/Constants!$H$112))*ttokg*FracLEACH*MSLeachEF*NtoN2O*kgtoGg,"NO")</f>
        <v>NO</v>
      </c>
      <c r="AM145" s="22" t="str">
        <f>IFERROR(('Activity data'!AM87*(1/Constants!$H$112))*ttokg*FracLEACH*MSLeachEF*NtoN2O*kgtoGg,"NO")</f>
        <v>NO</v>
      </c>
      <c r="AN145" s="22" t="str">
        <f>IFERROR(('Activity data'!AN87*(1/Constants!$H$112))*ttokg*FracLEACH*MSLeachEF*NtoN2O*kgtoGg,"NO")</f>
        <v>NO</v>
      </c>
      <c r="AO145" s="22" t="str">
        <f>IFERROR(('Activity data'!AO87*(1/Constants!$H$112))*ttokg*FracLEACH*MSLeachEF*NtoN2O*kgtoGg,"NO")</f>
        <v>NO</v>
      </c>
      <c r="AP145" s="22" t="str">
        <f>IFERROR(('Activity data'!AP87*(1/Constants!$H$112))*ttokg*FracLEACH*MSLeachEF*NtoN2O*kgtoGg,"NO")</f>
        <v>NO</v>
      </c>
      <c r="AQ145" s="22" t="str">
        <f>IFERROR(('Activity data'!AQ87*(1/Constants!$H$112))*ttokg*FracLEACH*MSLeachEF*NtoN2O*kgtoGg,"NO")</f>
        <v>NO</v>
      </c>
      <c r="AR145" s="22" t="str">
        <f>IFERROR(('Activity data'!AR87*(1/Constants!$H$112))*ttokg*FracLEACH*MSLeachEF*NtoN2O*kgtoGg,"NO")</f>
        <v>NO</v>
      </c>
      <c r="AS145" s="22" t="str">
        <f>IFERROR(('Activity data'!AS87*(1/Constants!$H$112))*ttokg*FracLEACH*MSLeachEF*NtoN2O*kgtoGg,"NO")</f>
        <v>NO</v>
      </c>
      <c r="AT145" s="22" t="str">
        <f>IFERROR(('Activity data'!AT87*(1/Constants!$H$112))*ttokg*FracLEACH*MSLeachEF*NtoN2O*kgtoGg,"NO")</f>
        <v>NO</v>
      </c>
      <c r="AU145" s="22" t="str">
        <f>IFERROR(('Activity data'!AU87*(1/Constants!$H$112))*ttokg*FracLEACH*MSLeachEF*NtoN2O*kgtoGg,"NO")</f>
        <v>NO</v>
      </c>
      <c r="AV145" s="22" t="str">
        <f>IFERROR(('Activity data'!AV87*(1/Constants!$H$112))*ttokg*FracLEACH*MSLeachEF*NtoN2O*kgtoGg,"NO")</f>
        <v>NO</v>
      </c>
      <c r="AW145" s="22" t="str">
        <f>IFERROR(('Activity data'!AW87*(1/Constants!$H$112))*ttokg*FracLEACH*MSLeachEF*NtoN2O*kgtoGg,"NO")</f>
        <v>NO</v>
      </c>
      <c r="AX145" s="22" t="str">
        <f>IFERROR(('Activity data'!AX87*(1/Constants!$H$112))*ttokg*FracLEACH*MSLeachEF*NtoN2O*kgtoGg,"NO")</f>
        <v>NO</v>
      </c>
      <c r="AY145" s="22" t="str">
        <f>IFERROR(('Activity data'!AY87*(1/Constants!$H$112))*ttokg*FracLEACH*MSLeachEF*NtoN2O*kgtoGg,"NO")</f>
        <v>NO</v>
      </c>
      <c r="AZ145" s="22" t="str">
        <f>IFERROR(('Activity data'!AZ87*(1/Constants!$H$112))*ttokg*FracLEACH*MSLeachEF*NtoN2O*kgtoGg,"NO")</f>
        <v>NO</v>
      </c>
      <c r="BA145" s="22" t="str">
        <f>IFERROR(('Activity data'!BA87*(1/Constants!$H$112))*ttokg*FracLEACH*MSLeachEF*NtoN2O*kgtoGg,"NO")</f>
        <v>NO</v>
      </c>
      <c r="BB145" s="22" t="str">
        <f>IFERROR(('Activity data'!BB87*(1/Constants!$H$112))*ttokg*FracLEACH*MSLeachEF*NtoN2O*kgtoGg,"NO")</f>
        <v>NO</v>
      </c>
      <c r="BC145" s="22" t="str">
        <f>IFERROR(('Activity data'!BC87*(1/Constants!$H$112))*ttokg*FracLEACH*MSLeachEF*NtoN2O*kgtoGg,"NO")</f>
        <v>NO</v>
      </c>
      <c r="BD145" s="22" t="str">
        <f>IFERROR(('Activity data'!BD87*(1/Constants!$H$112))*ttokg*FracLEACH*MSLeachEF*NtoN2O*kgtoGg,"NO")</f>
        <v>NO</v>
      </c>
      <c r="BE145" s="22" t="str">
        <f>IFERROR(('Activity data'!BE87*(1/Constants!$H$112))*ttokg*FracLEACH*MSLeachEF*NtoN2O*kgtoGg,"NO")</f>
        <v>NO</v>
      </c>
      <c r="BF145" s="22" t="str">
        <f>IFERROR(('Activity data'!BF87*(1/Constants!$H$112))*ttokg*FracLEACH*MSLeachEF*NtoN2O*kgtoGg,"NO")</f>
        <v>NO</v>
      </c>
      <c r="BG145" s="22" t="str">
        <f>IFERROR(('Activity data'!BG87*(1/Constants!$H$112))*ttokg*FracLEACH*MSLeachEF*NtoN2O*kgtoGg,"NO")</f>
        <v>NO</v>
      </c>
      <c r="BH145" s="22" t="str">
        <f>IFERROR(('Activity data'!BH87*(1/Constants!$H$112))*ttokg*FracLEACH*MSLeachEF*NtoN2O*kgtoGg,"NO")</f>
        <v>NO</v>
      </c>
      <c r="BI145" s="22" t="str">
        <f>IFERROR(('Activity data'!BI87*(1/Constants!$H$112))*ttokg*FracLEACH*MSLeachEF*NtoN2O*kgtoGg,"NO")</f>
        <v>NO</v>
      </c>
      <c r="BJ145" s="22" t="str">
        <f>IFERROR(('Activity data'!BJ87*(1/Constants!$H$112))*ttokg*FracLEACH*MSLeachEF*NtoN2O*kgtoGg,"NO")</f>
        <v>NO</v>
      </c>
      <c r="BK145" s="22" t="str">
        <f>IFERROR(('Activity data'!BK87*(1/Constants!$H$112))*ttokg*FracLEACH*MSLeachEF*NtoN2O*kgtoGg,"NO")</f>
        <v>NO</v>
      </c>
      <c r="BL145" s="22" t="str">
        <f>IFERROR(('Activity data'!BL87*(1/Constants!$H$112))*ttokg*FracLEACH*MSLeachEF*NtoN2O*kgtoGg,"NO")</f>
        <v>NO</v>
      </c>
      <c r="BM145" s="22" t="str">
        <f>IFERROR(('Activity data'!BM87*(1/Constants!$H$112))*ttokg*FracLEACH*MSLeachEF*NtoN2O*kgtoGg,"NO")</f>
        <v>NO</v>
      </c>
      <c r="BN145" s="22" t="str">
        <f>IFERROR(('Activity data'!BN87*(1/Constants!$H$112))*ttokg*FracLEACH*MSLeachEF*NtoN2O*kgtoGg,"NO")</f>
        <v>NO</v>
      </c>
      <c r="BO145" s="22" t="str">
        <f>IFERROR(('Activity data'!BO87*(1/Constants!$H$112))*ttokg*FracLEACH*MSLeachEF*NtoN2O*kgtoGg,"NO")</f>
        <v>NO</v>
      </c>
      <c r="BP145" s="22" t="str">
        <f>IFERROR(('Activity data'!BP87*(1/Constants!$H$112))*ttokg*FracLEACH*MSLeachEF*NtoN2O*kgtoGg,"NO")</f>
        <v>NO</v>
      </c>
    </row>
    <row r="146" spans="1:68" x14ac:dyDescent="0.25">
      <c r="A146" t="str">
        <f>A145</f>
        <v>3C Aggregated and non-CO2 emissions on land</v>
      </c>
      <c r="B146" t="str">
        <f t="shared" ref="B146" si="56">B145</f>
        <v>3C5 Indirect N2O from managed soils (N2O)</v>
      </c>
      <c r="C146" t="str">
        <f t="shared" si="54"/>
        <v>Leaching/runoff</v>
      </c>
      <c r="D146" t="str">
        <f>" - FSOM - "&amp;'Activity data'!D88</f>
        <v xml:space="preserve"> - FSOM - Land converted to forest land</v>
      </c>
      <c r="E146" t="str">
        <f t="shared" ref="E146" si="57">C146&amp;D146</f>
        <v>Leaching/runoff - FSOM - Land converted to forest land</v>
      </c>
      <c r="F146" t="str">
        <f t="shared" si="47"/>
        <v>N2O</v>
      </c>
      <c r="G146" t="str">
        <f t="shared" si="48"/>
        <v>Gg N2O</v>
      </c>
      <c r="H146" s="22" t="str">
        <f>IFERROR(('Activity data'!H88*(1/Constants!$H$112))*ttokg*FracLEACH*MSLeachEF*NtoN2O*kgtoGg,"NO")</f>
        <v>NO</v>
      </c>
      <c r="I146" s="22" t="str">
        <f>IFERROR(('Activity data'!I88*(1/Constants!$H$112))*ttokg*FracLEACH*MSLeachEF*NtoN2O*kgtoGg,"NO")</f>
        <v>NO</v>
      </c>
      <c r="J146" s="22" t="str">
        <f>IFERROR(('Activity data'!J88*(1/Constants!$H$112))*ttokg*FracLEACH*MSLeachEF*NtoN2O*kgtoGg,"NO")</f>
        <v>NO</v>
      </c>
      <c r="K146" s="22" t="str">
        <f>IFERROR(('Activity data'!K88*(1/Constants!$H$112))*ttokg*FracLEACH*MSLeachEF*NtoN2O*kgtoGg,"NO")</f>
        <v>NO</v>
      </c>
      <c r="L146" s="22" t="str">
        <f>IFERROR(('Activity data'!L88*(1/Constants!$H$112))*ttokg*FracLEACH*MSLeachEF*NtoN2O*kgtoGg,"NO")</f>
        <v>NO</v>
      </c>
      <c r="M146" s="22" t="str">
        <f>IFERROR(('Activity data'!M88*(1/Constants!$H$112))*ttokg*FracLEACH*MSLeachEF*NtoN2O*kgtoGg,"NO")</f>
        <v>NO</v>
      </c>
      <c r="N146" s="22" t="str">
        <f>IFERROR(('Activity data'!N88*(1/Constants!$H$112))*ttokg*FracLEACH*MSLeachEF*NtoN2O*kgtoGg,"NO")</f>
        <v>NO</v>
      </c>
      <c r="O146" s="22" t="str">
        <f>IFERROR(('Activity data'!O88*(1/Constants!$H$112))*ttokg*FracLEACH*MSLeachEF*NtoN2O*kgtoGg,"NO")</f>
        <v>NO</v>
      </c>
      <c r="P146" s="22" t="str">
        <f>IFERROR(('Activity data'!P88*(1/Constants!$H$112))*ttokg*FracLEACH*MSLeachEF*NtoN2O*kgtoGg,"NO")</f>
        <v>NO</v>
      </c>
      <c r="Q146" s="22" t="str">
        <f>IFERROR(('Activity data'!Q88*(1/Constants!$H$112))*ttokg*FracLEACH*MSLeachEF*NtoN2O*kgtoGg,"NO")</f>
        <v>NO</v>
      </c>
      <c r="R146" s="22" t="str">
        <f>IFERROR(('Activity data'!R88*(1/Constants!$H$112))*ttokg*FracLEACH*MSLeachEF*NtoN2O*kgtoGg,"NO")</f>
        <v>NO</v>
      </c>
      <c r="S146" s="22" t="str">
        <f>IFERROR(('Activity data'!S88*(1/Constants!$H$112))*ttokg*FracLEACH*MSLeachEF*NtoN2O*kgtoGg,"NO")</f>
        <v>NO</v>
      </c>
      <c r="T146" s="22" t="str">
        <f>IFERROR(('Activity data'!T88*(1/Constants!$H$112))*ttokg*FracLEACH*MSLeachEF*NtoN2O*kgtoGg,"NO")</f>
        <v>NO</v>
      </c>
      <c r="U146" s="22" t="str">
        <f>IFERROR(('Activity data'!U88*(1/Constants!$H$112))*ttokg*FracLEACH*MSLeachEF*NtoN2O*kgtoGg,"NO")</f>
        <v>NO</v>
      </c>
      <c r="V146" s="22" t="str">
        <f>IFERROR(('Activity data'!V88*(1/Constants!$H$112))*ttokg*FracLEACH*MSLeachEF*NtoN2O*kgtoGg,"NO")</f>
        <v>NO</v>
      </c>
      <c r="W146" s="22" t="str">
        <f>IFERROR(('Activity data'!W88*(1/Constants!$H$112))*ttokg*FracLEACH*MSLeachEF*NtoN2O*kgtoGg,"NO")</f>
        <v>NO</v>
      </c>
      <c r="X146" s="22" t="str">
        <f>IFERROR(('Activity data'!X88*(1/Constants!$H$112))*ttokg*FracLEACH*MSLeachEF*NtoN2O*kgtoGg,"NO")</f>
        <v>NO</v>
      </c>
      <c r="Y146" s="22" t="str">
        <f>IFERROR(('Activity data'!Y88*(1/Constants!$H$112))*ttokg*FracLEACH*MSLeachEF*NtoN2O*kgtoGg,"NO")</f>
        <v>NO</v>
      </c>
      <c r="Z146" s="22" t="str">
        <f>IFERROR(('Activity data'!Z88*(1/Constants!$H$112))*ttokg*FracLEACH*MSLeachEF*NtoN2O*kgtoGg,"NO")</f>
        <v>NO</v>
      </c>
      <c r="AA146" s="22" t="str">
        <f>IFERROR(('Activity data'!AA88*(1/Constants!$H$112))*ttokg*FracLEACH*MSLeachEF*NtoN2O*kgtoGg,"NO")</f>
        <v>NO</v>
      </c>
      <c r="AB146" s="22" t="str">
        <f>IFERROR(('Activity data'!AB88*(1/Constants!$H$112))*ttokg*FracLEACH*MSLeachEF*NtoN2O*kgtoGg,"NO")</f>
        <v>NO</v>
      </c>
      <c r="AC146" s="22" t="str">
        <f>IFERROR(('Activity data'!AC88*(1/Constants!$H$112))*ttokg*FracLEACH*MSLeachEF*NtoN2O*kgtoGg,"NO")</f>
        <v>NO</v>
      </c>
      <c r="AD146" s="22" t="str">
        <f>IFERROR(('Activity data'!AD88*(1/Constants!$H$112))*ttokg*FracLEACH*MSLeachEF*NtoN2O*kgtoGg,"NO")</f>
        <v>NO</v>
      </c>
      <c r="AE146" s="22" t="str">
        <f>IFERROR(('Activity data'!AE88*(1/Constants!$H$112))*ttokg*FracLEACH*MSLeachEF*NtoN2O*kgtoGg,"NO")</f>
        <v>NO</v>
      </c>
      <c r="AF146" s="22" t="str">
        <f>IFERROR(('Activity data'!AF88*(1/Constants!$H$112))*ttokg*FracLEACH*MSLeachEF*NtoN2O*kgtoGg,"NO")</f>
        <v>NO</v>
      </c>
      <c r="AG146" s="22" t="str">
        <f>IFERROR(('Activity data'!AG88*(1/Constants!$H$112))*ttokg*FracLEACH*MSLeachEF*NtoN2O*kgtoGg,"NO")</f>
        <v>NO</v>
      </c>
      <c r="AH146" s="22" t="str">
        <f>IFERROR(('Activity data'!AH88*(1/Constants!$H$112))*ttokg*FracLEACH*MSLeachEF*NtoN2O*kgtoGg,"NO")</f>
        <v>NO</v>
      </c>
      <c r="AI146" s="22" t="str">
        <f>IFERROR(('Activity data'!AI88*(1/Constants!$H$112))*ttokg*FracLEACH*MSLeachEF*NtoN2O*kgtoGg,"NO")</f>
        <v>NO</v>
      </c>
      <c r="AJ146" s="22" t="str">
        <f>IFERROR(('Activity data'!AJ88*(1/Constants!$H$112))*ttokg*FracLEACH*MSLeachEF*NtoN2O*kgtoGg,"NO")</f>
        <v>NO</v>
      </c>
      <c r="AK146" s="22" t="str">
        <f>IFERROR(('Activity data'!AK88*(1/Constants!$H$112))*ttokg*FracLEACH*MSLeachEF*NtoN2O*kgtoGg,"NO")</f>
        <v>NO</v>
      </c>
      <c r="AL146" s="22" t="str">
        <f>IFERROR(('Activity data'!AL88*(1/Constants!$H$112))*ttokg*FracLEACH*MSLeachEF*NtoN2O*kgtoGg,"NO")</f>
        <v>NO</v>
      </c>
      <c r="AM146" s="22" t="str">
        <f>IFERROR(('Activity data'!AM88*(1/Constants!$H$112))*ttokg*FracLEACH*MSLeachEF*NtoN2O*kgtoGg,"NO")</f>
        <v>NO</v>
      </c>
      <c r="AN146" s="22" t="str">
        <f>IFERROR(('Activity data'!AN88*(1/Constants!$H$112))*ttokg*FracLEACH*MSLeachEF*NtoN2O*kgtoGg,"NO")</f>
        <v>NO</v>
      </c>
      <c r="AO146" s="22" t="str">
        <f>IFERROR(('Activity data'!AO88*(1/Constants!$H$112))*ttokg*FracLEACH*MSLeachEF*NtoN2O*kgtoGg,"NO")</f>
        <v>NO</v>
      </c>
      <c r="AP146" s="22" t="str">
        <f>IFERROR(('Activity data'!AP88*(1/Constants!$H$112))*ttokg*FracLEACH*MSLeachEF*NtoN2O*kgtoGg,"NO")</f>
        <v>NO</v>
      </c>
      <c r="AQ146" s="22" t="str">
        <f>IFERROR(('Activity data'!AQ88*(1/Constants!$H$112))*ttokg*FracLEACH*MSLeachEF*NtoN2O*kgtoGg,"NO")</f>
        <v>NO</v>
      </c>
      <c r="AR146" s="22" t="str">
        <f>IFERROR(('Activity data'!AR88*(1/Constants!$H$112))*ttokg*FracLEACH*MSLeachEF*NtoN2O*kgtoGg,"NO")</f>
        <v>NO</v>
      </c>
      <c r="AS146" s="22" t="str">
        <f>IFERROR(('Activity data'!AS88*(1/Constants!$H$112))*ttokg*FracLEACH*MSLeachEF*NtoN2O*kgtoGg,"NO")</f>
        <v>NO</v>
      </c>
      <c r="AT146" s="22" t="str">
        <f>IFERROR(('Activity data'!AT88*(1/Constants!$H$112))*ttokg*FracLEACH*MSLeachEF*NtoN2O*kgtoGg,"NO")</f>
        <v>NO</v>
      </c>
      <c r="AU146" s="22" t="str">
        <f>IFERROR(('Activity data'!AU88*(1/Constants!$H$112))*ttokg*FracLEACH*MSLeachEF*NtoN2O*kgtoGg,"NO")</f>
        <v>NO</v>
      </c>
      <c r="AV146" s="22" t="str">
        <f>IFERROR(('Activity data'!AV88*(1/Constants!$H$112))*ttokg*FracLEACH*MSLeachEF*NtoN2O*kgtoGg,"NO")</f>
        <v>NO</v>
      </c>
      <c r="AW146" s="22" t="str">
        <f>IFERROR(('Activity data'!AW88*(1/Constants!$H$112))*ttokg*FracLEACH*MSLeachEF*NtoN2O*kgtoGg,"NO")</f>
        <v>NO</v>
      </c>
      <c r="AX146" s="22" t="str">
        <f>IFERROR(('Activity data'!AX88*(1/Constants!$H$112))*ttokg*FracLEACH*MSLeachEF*NtoN2O*kgtoGg,"NO")</f>
        <v>NO</v>
      </c>
      <c r="AY146" s="22" t="str">
        <f>IFERROR(('Activity data'!AY88*(1/Constants!$H$112))*ttokg*FracLEACH*MSLeachEF*NtoN2O*kgtoGg,"NO")</f>
        <v>NO</v>
      </c>
      <c r="AZ146" s="22" t="str">
        <f>IFERROR(('Activity data'!AZ88*(1/Constants!$H$112))*ttokg*FracLEACH*MSLeachEF*NtoN2O*kgtoGg,"NO")</f>
        <v>NO</v>
      </c>
      <c r="BA146" s="22" t="str">
        <f>IFERROR(('Activity data'!BA88*(1/Constants!$H$112))*ttokg*FracLEACH*MSLeachEF*NtoN2O*kgtoGg,"NO")</f>
        <v>NO</v>
      </c>
      <c r="BB146" s="22" t="str">
        <f>IFERROR(('Activity data'!BB88*(1/Constants!$H$112))*ttokg*FracLEACH*MSLeachEF*NtoN2O*kgtoGg,"NO")</f>
        <v>NO</v>
      </c>
      <c r="BC146" s="22" t="str">
        <f>IFERROR(('Activity data'!BC88*(1/Constants!$H$112))*ttokg*FracLEACH*MSLeachEF*NtoN2O*kgtoGg,"NO")</f>
        <v>NO</v>
      </c>
      <c r="BD146" s="22" t="str">
        <f>IFERROR(('Activity data'!BD88*(1/Constants!$H$112))*ttokg*FracLEACH*MSLeachEF*NtoN2O*kgtoGg,"NO")</f>
        <v>NO</v>
      </c>
      <c r="BE146" s="22" t="str">
        <f>IFERROR(('Activity data'!BE88*(1/Constants!$H$112))*ttokg*FracLEACH*MSLeachEF*NtoN2O*kgtoGg,"NO")</f>
        <v>NO</v>
      </c>
      <c r="BF146" s="22" t="str">
        <f>IFERROR(('Activity data'!BF88*(1/Constants!$H$112))*ttokg*FracLEACH*MSLeachEF*NtoN2O*kgtoGg,"NO")</f>
        <v>NO</v>
      </c>
      <c r="BG146" s="22" t="str">
        <f>IFERROR(('Activity data'!BG88*(1/Constants!$H$112))*ttokg*FracLEACH*MSLeachEF*NtoN2O*kgtoGg,"NO")</f>
        <v>NO</v>
      </c>
      <c r="BH146" s="22" t="str">
        <f>IFERROR(('Activity data'!BH88*(1/Constants!$H$112))*ttokg*FracLEACH*MSLeachEF*NtoN2O*kgtoGg,"NO")</f>
        <v>NO</v>
      </c>
      <c r="BI146" s="22" t="str">
        <f>IFERROR(('Activity data'!BI88*(1/Constants!$H$112))*ttokg*FracLEACH*MSLeachEF*NtoN2O*kgtoGg,"NO")</f>
        <v>NO</v>
      </c>
      <c r="BJ146" s="22" t="str">
        <f>IFERROR(('Activity data'!BJ88*(1/Constants!$H$112))*ttokg*FracLEACH*MSLeachEF*NtoN2O*kgtoGg,"NO")</f>
        <v>NO</v>
      </c>
      <c r="BK146" s="22" t="str">
        <f>IFERROR(('Activity data'!BK88*(1/Constants!$H$112))*ttokg*FracLEACH*MSLeachEF*NtoN2O*kgtoGg,"NO")</f>
        <v>NO</v>
      </c>
      <c r="BL146" s="22" t="str">
        <f>IFERROR(('Activity data'!BL88*(1/Constants!$H$112))*ttokg*FracLEACH*MSLeachEF*NtoN2O*kgtoGg,"NO")</f>
        <v>NO</v>
      </c>
      <c r="BM146" s="22" t="str">
        <f>IFERROR(('Activity data'!BM88*(1/Constants!$H$112))*ttokg*FracLEACH*MSLeachEF*NtoN2O*kgtoGg,"NO")</f>
        <v>NO</v>
      </c>
      <c r="BN146" s="22" t="str">
        <f>IFERROR(('Activity data'!BN88*(1/Constants!$H$112))*ttokg*FracLEACH*MSLeachEF*NtoN2O*kgtoGg,"NO")</f>
        <v>NO</v>
      </c>
      <c r="BO146" s="22" t="str">
        <f>IFERROR(('Activity data'!BO88*(1/Constants!$H$112))*ttokg*FracLEACH*MSLeachEF*NtoN2O*kgtoGg,"NO")</f>
        <v>NO</v>
      </c>
      <c r="BP146" s="22" t="str">
        <f>IFERROR(('Activity data'!BP88*(1/Constants!$H$112))*ttokg*FracLEACH*MSLeachEF*NtoN2O*kgtoGg,"NO")</f>
        <v>NO</v>
      </c>
    </row>
    <row r="147" spans="1:68" x14ac:dyDescent="0.25">
      <c r="A147" t="str">
        <f t="shared" ref="A147:A188" si="58">A146</f>
        <v>3C Aggregated and non-CO2 emissions on land</v>
      </c>
      <c r="B147" t="str">
        <f t="shared" ref="B147:B156" si="59">B146</f>
        <v>3C5 Indirect N2O from managed soils (N2O)</v>
      </c>
      <c r="C147" t="str">
        <f t="shared" si="54"/>
        <v>Leaching/runoff</v>
      </c>
      <c r="D147" t="str">
        <f>" - FSOM - "&amp;'Activity data'!D89</f>
        <v xml:space="preserve"> - FSOM - Cropland remaining cropland</v>
      </c>
      <c r="E147" t="str">
        <f t="shared" ref="E147:E156" si="60">C147&amp;D147</f>
        <v>Leaching/runoff - FSOM - Cropland remaining cropland</v>
      </c>
      <c r="F147" t="str">
        <f t="shared" si="47"/>
        <v>N2O</v>
      </c>
      <c r="G147" t="str">
        <f t="shared" si="48"/>
        <v>Gg N2O</v>
      </c>
      <c r="H147" s="22" t="str">
        <f>IFERROR(('Activity data'!H89*(1/Constants!$H$112))*ttokg*FracLEACH*MSLeachEF*NtoN2O*kgtoGg,"NO")</f>
        <v>NO</v>
      </c>
      <c r="I147" s="22" t="str">
        <f>IFERROR(('Activity data'!I89*(1/Constants!$H$112))*ttokg*FracLEACH*MSLeachEF*NtoN2O*kgtoGg,"NO")</f>
        <v>NO</v>
      </c>
      <c r="J147" s="22" t="str">
        <f>IFERROR(('Activity data'!J89*(1/Constants!$H$112))*ttokg*FracLEACH*MSLeachEF*NtoN2O*kgtoGg,"NO")</f>
        <v>NO</v>
      </c>
      <c r="K147" s="22" t="str">
        <f>IFERROR(('Activity data'!K89*(1/Constants!$H$112))*ttokg*FracLEACH*MSLeachEF*NtoN2O*kgtoGg,"NO")</f>
        <v>NO</v>
      </c>
      <c r="L147" s="22" t="str">
        <f>IFERROR(('Activity data'!L89*(1/Constants!$H$112))*ttokg*FracLEACH*MSLeachEF*NtoN2O*kgtoGg,"NO")</f>
        <v>NO</v>
      </c>
      <c r="M147" s="22" t="str">
        <f>IFERROR(('Activity data'!M89*(1/Constants!$H$112))*ttokg*FracLEACH*MSLeachEF*NtoN2O*kgtoGg,"NO")</f>
        <v>NO</v>
      </c>
      <c r="N147" s="22" t="str">
        <f>IFERROR(('Activity data'!N89*(1/Constants!$H$112))*ttokg*FracLEACH*MSLeachEF*NtoN2O*kgtoGg,"NO")</f>
        <v>NO</v>
      </c>
      <c r="O147" s="22" t="str">
        <f>IFERROR(('Activity data'!O89*(1/Constants!$H$112))*ttokg*FracLEACH*MSLeachEF*NtoN2O*kgtoGg,"NO")</f>
        <v>NO</v>
      </c>
      <c r="P147" s="22" t="str">
        <f>IFERROR(('Activity data'!P89*(1/Constants!$H$112))*ttokg*FracLEACH*MSLeachEF*NtoN2O*kgtoGg,"NO")</f>
        <v>NO</v>
      </c>
      <c r="Q147" s="22" t="str">
        <f>IFERROR(('Activity data'!Q89*(1/Constants!$H$112))*ttokg*FracLEACH*MSLeachEF*NtoN2O*kgtoGg,"NO")</f>
        <v>NO</v>
      </c>
      <c r="R147" s="22" t="str">
        <f>IFERROR(('Activity data'!R89*(1/Constants!$H$112))*ttokg*FracLEACH*MSLeachEF*NtoN2O*kgtoGg,"NO")</f>
        <v>NO</v>
      </c>
      <c r="S147" s="22" t="str">
        <f>IFERROR(('Activity data'!S89*(1/Constants!$H$112))*ttokg*FracLEACH*MSLeachEF*NtoN2O*kgtoGg,"NO")</f>
        <v>NO</v>
      </c>
      <c r="T147" s="22" t="str">
        <f>IFERROR(('Activity data'!T89*(1/Constants!$H$112))*ttokg*FracLEACH*MSLeachEF*NtoN2O*kgtoGg,"NO")</f>
        <v>NO</v>
      </c>
      <c r="U147" s="22" t="str">
        <f>IFERROR(('Activity data'!U89*(1/Constants!$H$112))*ttokg*FracLEACH*MSLeachEF*NtoN2O*kgtoGg,"NO")</f>
        <v>NO</v>
      </c>
      <c r="V147" s="22" t="str">
        <f>IFERROR(('Activity data'!V89*(1/Constants!$H$112))*ttokg*FracLEACH*MSLeachEF*NtoN2O*kgtoGg,"NO")</f>
        <v>NO</v>
      </c>
      <c r="W147" s="22" t="str">
        <f>IFERROR(('Activity data'!W89*(1/Constants!$H$112))*ttokg*FracLEACH*MSLeachEF*NtoN2O*kgtoGg,"NO")</f>
        <v>NO</v>
      </c>
      <c r="X147" s="22" t="str">
        <f>IFERROR(('Activity data'!X89*(1/Constants!$H$112))*ttokg*FracLEACH*MSLeachEF*NtoN2O*kgtoGg,"NO")</f>
        <v>NO</v>
      </c>
      <c r="Y147" s="22" t="str">
        <f>IFERROR(('Activity data'!Y89*(1/Constants!$H$112))*ttokg*FracLEACH*MSLeachEF*NtoN2O*kgtoGg,"NO")</f>
        <v>NO</v>
      </c>
      <c r="Z147" s="22" t="str">
        <f>IFERROR(('Activity data'!Z89*(1/Constants!$H$112))*ttokg*FracLEACH*MSLeachEF*NtoN2O*kgtoGg,"NO")</f>
        <v>NO</v>
      </c>
      <c r="AA147" s="22" t="str">
        <f>IFERROR(('Activity data'!AA89*(1/Constants!$H$112))*ttokg*FracLEACH*MSLeachEF*NtoN2O*kgtoGg,"NO")</f>
        <v>NO</v>
      </c>
      <c r="AB147" s="22" t="str">
        <f>IFERROR(('Activity data'!AB89*(1/Constants!$H$112))*ttokg*FracLEACH*MSLeachEF*NtoN2O*kgtoGg,"NO")</f>
        <v>NO</v>
      </c>
      <c r="AC147" s="22" t="str">
        <f>IFERROR(('Activity data'!AC89*(1/Constants!$H$112))*ttokg*FracLEACH*MSLeachEF*NtoN2O*kgtoGg,"NO")</f>
        <v>NO</v>
      </c>
      <c r="AD147" s="22" t="str">
        <f>IFERROR(('Activity data'!AD89*(1/Constants!$H$112))*ttokg*FracLEACH*MSLeachEF*NtoN2O*kgtoGg,"NO")</f>
        <v>NO</v>
      </c>
      <c r="AE147" s="22" t="str">
        <f>IFERROR(('Activity data'!AE89*(1/Constants!$H$112))*ttokg*FracLEACH*MSLeachEF*NtoN2O*kgtoGg,"NO")</f>
        <v>NO</v>
      </c>
      <c r="AF147" s="22" t="str">
        <f>IFERROR(('Activity data'!AF89*(1/Constants!$H$112))*ttokg*FracLEACH*MSLeachEF*NtoN2O*kgtoGg,"NO")</f>
        <v>NO</v>
      </c>
      <c r="AG147" s="22" t="str">
        <f>IFERROR(('Activity data'!AG89*(1/Constants!$H$112))*ttokg*FracLEACH*MSLeachEF*NtoN2O*kgtoGg,"NO")</f>
        <v>NO</v>
      </c>
      <c r="AH147" s="22" t="str">
        <f>IFERROR(('Activity data'!AH89*(1/Constants!$H$112))*ttokg*FracLEACH*MSLeachEF*NtoN2O*kgtoGg,"NO")</f>
        <v>NO</v>
      </c>
      <c r="AI147" s="22" t="str">
        <f>IFERROR(('Activity data'!AI89*(1/Constants!$H$112))*ttokg*FracLEACH*MSLeachEF*NtoN2O*kgtoGg,"NO")</f>
        <v>NO</v>
      </c>
      <c r="AJ147" s="22" t="str">
        <f>IFERROR(('Activity data'!AJ89*(1/Constants!$H$112))*ttokg*FracLEACH*MSLeachEF*NtoN2O*kgtoGg,"NO")</f>
        <v>NO</v>
      </c>
      <c r="AK147" s="22" t="str">
        <f>IFERROR(('Activity data'!AK89*(1/Constants!$H$112))*ttokg*FracLEACH*MSLeachEF*NtoN2O*kgtoGg,"NO")</f>
        <v>NO</v>
      </c>
      <c r="AL147" s="22" t="str">
        <f>IFERROR(('Activity data'!AL89*(1/Constants!$H$112))*ttokg*FracLEACH*MSLeachEF*NtoN2O*kgtoGg,"NO")</f>
        <v>NO</v>
      </c>
      <c r="AM147" s="22" t="str">
        <f>IFERROR(('Activity data'!AM89*(1/Constants!$H$112))*ttokg*FracLEACH*MSLeachEF*NtoN2O*kgtoGg,"NO")</f>
        <v>NO</v>
      </c>
      <c r="AN147" s="22" t="str">
        <f>IFERROR(('Activity data'!AN89*(1/Constants!$H$112))*ttokg*FracLEACH*MSLeachEF*NtoN2O*kgtoGg,"NO")</f>
        <v>NO</v>
      </c>
      <c r="AO147" s="22" t="str">
        <f>IFERROR(('Activity data'!AO89*(1/Constants!$H$112))*ttokg*FracLEACH*MSLeachEF*NtoN2O*kgtoGg,"NO")</f>
        <v>NO</v>
      </c>
      <c r="AP147" s="22" t="str">
        <f>IFERROR(('Activity data'!AP89*(1/Constants!$H$112))*ttokg*FracLEACH*MSLeachEF*NtoN2O*kgtoGg,"NO")</f>
        <v>NO</v>
      </c>
      <c r="AQ147" s="22" t="str">
        <f>IFERROR(('Activity data'!AQ89*(1/Constants!$H$112))*ttokg*FracLEACH*MSLeachEF*NtoN2O*kgtoGg,"NO")</f>
        <v>NO</v>
      </c>
      <c r="AR147" s="22" t="str">
        <f>IFERROR(('Activity data'!AR89*(1/Constants!$H$112))*ttokg*FracLEACH*MSLeachEF*NtoN2O*kgtoGg,"NO")</f>
        <v>NO</v>
      </c>
      <c r="AS147" s="22" t="str">
        <f>IFERROR(('Activity data'!AS89*(1/Constants!$H$112))*ttokg*FracLEACH*MSLeachEF*NtoN2O*kgtoGg,"NO")</f>
        <v>NO</v>
      </c>
      <c r="AT147" s="22" t="str">
        <f>IFERROR(('Activity data'!AT89*(1/Constants!$H$112))*ttokg*FracLEACH*MSLeachEF*NtoN2O*kgtoGg,"NO")</f>
        <v>NO</v>
      </c>
      <c r="AU147" s="22" t="str">
        <f>IFERROR(('Activity data'!AU89*(1/Constants!$H$112))*ttokg*FracLEACH*MSLeachEF*NtoN2O*kgtoGg,"NO")</f>
        <v>NO</v>
      </c>
      <c r="AV147" s="22" t="str">
        <f>IFERROR(('Activity data'!AV89*(1/Constants!$H$112))*ttokg*FracLEACH*MSLeachEF*NtoN2O*kgtoGg,"NO")</f>
        <v>NO</v>
      </c>
      <c r="AW147" s="22" t="str">
        <f>IFERROR(('Activity data'!AW89*(1/Constants!$H$112))*ttokg*FracLEACH*MSLeachEF*NtoN2O*kgtoGg,"NO")</f>
        <v>NO</v>
      </c>
      <c r="AX147" s="22" t="str">
        <f>IFERROR(('Activity data'!AX89*(1/Constants!$H$112))*ttokg*FracLEACH*MSLeachEF*NtoN2O*kgtoGg,"NO")</f>
        <v>NO</v>
      </c>
      <c r="AY147" s="22" t="str">
        <f>IFERROR(('Activity data'!AY89*(1/Constants!$H$112))*ttokg*FracLEACH*MSLeachEF*NtoN2O*kgtoGg,"NO")</f>
        <v>NO</v>
      </c>
      <c r="AZ147" s="22" t="str">
        <f>IFERROR(('Activity data'!AZ89*(1/Constants!$H$112))*ttokg*FracLEACH*MSLeachEF*NtoN2O*kgtoGg,"NO")</f>
        <v>NO</v>
      </c>
      <c r="BA147" s="22" t="str">
        <f>IFERROR(('Activity data'!BA89*(1/Constants!$H$112))*ttokg*FracLEACH*MSLeachEF*NtoN2O*kgtoGg,"NO")</f>
        <v>NO</v>
      </c>
      <c r="BB147" s="22" t="str">
        <f>IFERROR(('Activity data'!BB89*(1/Constants!$H$112))*ttokg*FracLEACH*MSLeachEF*NtoN2O*kgtoGg,"NO")</f>
        <v>NO</v>
      </c>
      <c r="BC147" s="22" t="str">
        <f>IFERROR(('Activity data'!BC89*(1/Constants!$H$112))*ttokg*FracLEACH*MSLeachEF*NtoN2O*kgtoGg,"NO")</f>
        <v>NO</v>
      </c>
      <c r="BD147" s="22" t="str">
        <f>IFERROR(('Activity data'!BD89*(1/Constants!$H$112))*ttokg*FracLEACH*MSLeachEF*NtoN2O*kgtoGg,"NO")</f>
        <v>NO</v>
      </c>
      <c r="BE147" s="22" t="str">
        <f>IFERROR(('Activity data'!BE89*(1/Constants!$H$112))*ttokg*FracLEACH*MSLeachEF*NtoN2O*kgtoGg,"NO")</f>
        <v>NO</v>
      </c>
      <c r="BF147" s="22" t="str">
        <f>IFERROR(('Activity data'!BF89*(1/Constants!$H$112))*ttokg*FracLEACH*MSLeachEF*NtoN2O*kgtoGg,"NO")</f>
        <v>NO</v>
      </c>
      <c r="BG147" s="22" t="str">
        <f>IFERROR(('Activity data'!BG89*(1/Constants!$H$112))*ttokg*FracLEACH*MSLeachEF*NtoN2O*kgtoGg,"NO")</f>
        <v>NO</v>
      </c>
      <c r="BH147" s="22" t="str">
        <f>IFERROR(('Activity data'!BH89*(1/Constants!$H$112))*ttokg*FracLEACH*MSLeachEF*NtoN2O*kgtoGg,"NO")</f>
        <v>NO</v>
      </c>
      <c r="BI147" s="22" t="str">
        <f>IFERROR(('Activity data'!BI89*(1/Constants!$H$112))*ttokg*FracLEACH*MSLeachEF*NtoN2O*kgtoGg,"NO")</f>
        <v>NO</v>
      </c>
      <c r="BJ147" s="22" t="str">
        <f>IFERROR(('Activity data'!BJ89*(1/Constants!$H$112))*ttokg*FracLEACH*MSLeachEF*NtoN2O*kgtoGg,"NO")</f>
        <v>NO</v>
      </c>
      <c r="BK147" s="22" t="str">
        <f>IFERROR(('Activity data'!BK89*(1/Constants!$H$112))*ttokg*FracLEACH*MSLeachEF*NtoN2O*kgtoGg,"NO")</f>
        <v>NO</v>
      </c>
      <c r="BL147" s="22" t="str">
        <f>IFERROR(('Activity data'!BL89*(1/Constants!$H$112))*ttokg*FracLEACH*MSLeachEF*NtoN2O*kgtoGg,"NO")</f>
        <v>NO</v>
      </c>
      <c r="BM147" s="22" t="str">
        <f>IFERROR(('Activity data'!BM89*(1/Constants!$H$112))*ttokg*FracLEACH*MSLeachEF*NtoN2O*kgtoGg,"NO")</f>
        <v>NO</v>
      </c>
      <c r="BN147" s="22" t="str">
        <f>IFERROR(('Activity data'!BN89*(1/Constants!$H$112))*ttokg*FracLEACH*MSLeachEF*NtoN2O*kgtoGg,"NO")</f>
        <v>NO</v>
      </c>
      <c r="BO147" s="22" t="str">
        <f>IFERROR(('Activity data'!BO89*(1/Constants!$H$112))*ttokg*FracLEACH*MSLeachEF*NtoN2O*kgtoGg,"NO")</f>
        <v>NO</v>
      </c>
      <c r="BP147" s="22" t="str">
        <f>IFERROR(('Activity data'!BP89*(1/Constants!$H$112))*ttokg*FracLEACH*MSLeachEF*NtoN2O*kgtoGg,"NO")</f>
        <v>NO</v>
      </c>
    </row>
    <row r="148" spans="1:68" x14ac:dyDescent="0.25">
      <c r="A148" t="str">
        <f t="shared" si="58"/>
        <v>3C Aggregated and non-CO2 emissions on land</v>
      </c>
      <c r="B148" t="str">
        <f t="shared" si="59"/>
        <v>3C5 Indirect N2O from managed soils (N2O)</v>
      </c>
      <c r="C148" t="str">
        <f t="shared" si="54"/>
        <v>Leaching/runoff</v>
      </c>
      <c r="D148" t="str">
        <f>" - FSOM - "&amp;'Activity data'!D90</f>
        <v xml:space="preserve"> - FSOM - Land converted to cropland</v>
      </c>
      <c r="E148" t="str">
        <f t="shared" si="60"/>
        <v>Leaching/runoff - FSOM - Land converted to cropland</v>
      </c>
      <c r="F148" t="str">
        <f t="shared" si="47"/>
        <v>N2O</v>
      </c>
      <c r="G148" t="str">
        <f t="shared" si="48"/>
        <v>Gg N2O</v>
      </c>
      <c r="H148" s="22" t="str">
        <f>IFERROR(('Activity data'!H90*(1/Constants!$H$112))*ttokg*FracLEACH*MSLeachEF*NtoN2O*kgtoGg,"NO")</f>
        <v>NO</v>
      </c>
      <c r="I148" s="22">
        <f>IFERROR(('Activity data'!I90*(1/Constants!$H$112))*ttokg*FracLEACH*MSLeachEF*NtoN2O*kgtoGg,"NO")</f>
        <v>7.2988165488083543E-3</v>
      </c>
      <c r="J148" s="22">
        <f>IFERROR(('Activity data'!J90*(1/Constants!$H$112))*ttokg*FracLEACH*MSLeachEF*NtoN2O*kgtoGg,"NO")</f>
        <v>7.2988165488083543E-3</v>
      </c>
      <c r="K148" s="22">
        <f>IFERROR(('Activity data'!K90*(1/Constants!$H$112))*ttokg*FracLEACH*MSLeachEF*NtoN2O*kgtoGg,"NO")</f>
        <v>7.2988165488083543E-3</v>
      </c>
      <c r="L148" s="22">
        <f>IFERROR(('Activity data'!L90*(1/Constants!$H$112))*ttokg*FracLEACH*MSLeachEF*NtoN2O*kgtoGg,"NO")</f>
        <v>7.2988165488083543E-3</v>
      </c>
      <c r="M148" s="22">
        <f>IFERROR(('Activity data'!M90*(1/Constants!$H$112))*ttokg*FracLEACH*MSLeachEF*NtoN2O*kgtoGg,"NO")</f>
        <v>7.2988165488083543E-3</v>
      </c>
      <c r="N148" s="22">
        <f>IFERROR(('Activity data'!N90*(1/Constants!$H$112))*ttokg*FracLEACH*MSLeachEF*NtoN2O*kgtoGg,"NO")</f>
        <v>7.2988165488083543E-3</v>
      </c>
      <c r="O148" s="22">
        <f>IFERROR(('Activity data'!O90*(1/Constants!$H$112))*ttokg*FracLEACH*MSLeachEF*NtoN2O*kgtoGg,"NO")</f>
        <v>7.2988165488083543E-3</v>
      </c>
      <c r="P148" s="22">
        <f>IFERROR(('Activity data'!P90*(1/Constants!$H$112))*ttokg*FracLEACH*MSLeachEF*NtoN2O*kgtoGg,"NO")</f>
        <v>7.2988165488083543E-3</v>
      </c>
      <c r="Q148" s="22">
        <f>IFERROR(('Activity data'!Q90*(1/Constants!$H$112))*ttokg*FracLEACH*MSLeachEF*NtoN2O*kgtoGg,"NO")</f>
        <v>7.2988165488083543E-3</v>
      </c>
      <c r="R148" s="22">
        <f>IFERROR(('Activity data'!R90*(1/Constants!$H$112))*ttokg*FracLEACH*MSLeachEF*NtoN2O*kgtoGg,"NO")</f>
        <v>7.2988165488083543E-3</v>
      </c>
      <c r="S148" s="22">
        <f>IFERROR(('Activity data'!S90*(1/Constants!$H$112))*ttokg*FracLEACH*MSLeachEF*NtoN2O*kgtoGg,"NO")</f>
        <v>7.2988165488083543E-3</v>
      </c>
      <c r="T148" s="22">
        <f>IFERROR(('Activity data'!T90*(1/Constants!$H$112))*ttokg*FracLEACH*MSLeachEF*NtoN2O*kgtoGg,"NO")</f>
        <v>7.2988165488083543E-3</v>
      </c>
      <c r="U148" s="22">
        <f>IFERROR(('Activity data'!U90*(1/Constants!$H$112))*ttokg*FracLEACH*MSLeachEF*NtoN2O*kgtoGg,"NO")</f>
        <v>7.2988165488083543E-3</v>
      </c>
      <c r="V148" s="22">
        <f>IFERROR(('Activity data'!V90*(1/Constants!$H$112))*ttokg*FracLEACH*MSLeachEF*NtoN2O*kgtoGg,"NO")</f>
        <v>7.2988165488083543E-3</v>
      </c>
      <c r="W148" s="22">
        <f>IFERROR(('Activity data'!W90*(1/Constants!$H$112))*ttokg*FracLEACH*MSLeachEF*NtoN2O*kgtoGg,"NO")</f>
        <v>7.2988165488083543E-3</v>
      </c>
      <c r="X148" s="22">
        <f>IFERROR(('Activity data'!X90*(1/Constants!$H$112))*ttokg*FracLEACH*MSLeachEF*NtoN2O*kgtoGg,"NO")</f>
        <v>7.2988165488083543E-3</v>
      </c>
      <c r="Y148" s="22">
        <f>IFERROR(('Activity data'!Y90*(1/Constants!$H$112))*ttokg*FracLEACH*MSLeachEF*NtoN2O*kgtoGg,"NO")</f>
        <v>7.2988165488083543E-3</v>
      </c>
      <c r="Z148" s="22">
        <f>IFERROR(('Activity data'!Z90*(1/Constants!$H$112))*ttokg*FracLEACH*MSLeachEF*NtoN2O*kgtoGg,"NO")</f>
        <v>7.2988165488083543E-3</v>
      </c>
      <c r="AA148" s="22">
        <f>IFERROR(('Activity data'!AA90*(1/Constants!$H$112))*ttokg*FracLEACH*MSLeachEF*NtoN2O*kgtoGg,"NO")</f>
        <v>7.2988165488083543E-3</v>
      </c>
      <c r="AB148" s="22">
        <f>IFERROR(('Activity data'!AB90*(1/Constants!$H$112))*ttokg*FracLEACH*MSLeachEF*NtoN2O*kgtoGg,"NO")</f>
        <v>7.2988165488083543E-3</v>
      </c>
      <c r="AC148" s="22">
        <f>IFERROR(('Activity data'!AC90*(1/Constants!$H$112))*ttokg*FracLEACH*MSLeachEF*NtoN2O*kgtoGg,"NO")</f>
        <v>7.2988165488083543E-3</v>
      </c>
      <c r="AD148" s="22">
        <f>IFERROR(('Activity data'!AD90*(1/Constants!$H$112))*ttokg*FracLEACH*MSLeachEF*NtoN2O*kgtoGg,"NO")</f>
        <v>1.1991929253929627E-2</v>
      </c>
      <c r="AE148" s="22">
        <f>IFERROR(('Activity data'!AE90*(1/Constants!$H$112))*ttokg*FracLEACH*MSLeachEF*NtoN2O*kgtoGg,"NO")</f>
        <v>1.2031751936678766E-2</v>
      </c>
      <c r="AF148" s="22">
        <f>IFERROR(('Activity data'!AF90*(1/Constants!$H$112))*ttokg*FracLEACH*MSLeachEF*NtoN2O*kgtoGg,"NO")</f>
        <v>1.2071574619427896E-2</v>
      </c>
      <c r="AG148" s="22">
        <f>IFERROR(('Activity data'!AG90*(1/Constants!$H$112))*ttokg*FracLEACH*MSLeachEF*NtoN2O*kgtoGg,"NO")</f>
        <v>1.2111397302177029E-2</v>
      </c>
      <c r="AH148" s="22">
        <f>IFERROR(('Activity data'!AH90*(1/Constants!$H$112))*ttokg*FracLEACH*MSLeachEF*NtoN2O*kgtoGg,"NO")</f>
        <v>1.2151219984926168E-2</v>
      </c>
      <c r="AI148" s="22">
        <f>IFERROR(('Activity data'!AI90*(1/Constants!$H$112))*ttokg*FracLEACH*MSLeachEF*NtoN2O*kgtoGg,"NO")</f>
        <v>1.2191042667675303E-2</v>
      </c>
      <c r="AJ148" s="22">
        <f>IFERROR(('Activity data'!AJ90*(1/Constants!$H$112))*ttokg*FracLEACH*MSLeachEF*NtoN2O*kgtoGg,"NO")</f>
        <v>1.2230865350424435E-2</v>
      </c>
      <c r="AK148" s="22">
        <f>IFERROR(('Activity data'!AK90*(1/Constants!$H$112))*ttokg*FracLEACH*MSLeachEF*NtoN2O*kgtoGg,"NO")</f>
        <v>1.227068803317357E-2</v>
      </c>
      <c r="AL148" s="22">
        <f>IFERROR(('Activity data'!AL90*(1/Constants!$H$112))*ttokg*FracLEACH*MSLeachEF*NtoN2O*kgtoGg,"NO")</f>
        <v>1.231051071592271E-2</v>
      </c>
      <c r="AM148" s="22">
        <f>IFERROR(('Activity data'!AM90*(1/Constants!$H$112))*ttokg*FracLEACH*MSLeachEF*NtoN2O*kgtoGg,"NO")</f>
        <v>1.2350333398671842E-2</v>
      </c>
      <c r="AN148" s="22">
        <f>IFERROR(('Activity data'!AN90*(1/Constants!$H$112))*ttokg*FracLEACH*MSLeachEF*NtoN2O*kgtoGg,"NO")</f>
        <v>1.2390156081420979E-2</v>
      </c>
      <c r="AO148" s="22">
        <f>IFERROR(('Activity data'!AO90*(1/Constants!$H$112))*ttokg*FracLEACH*MSLeachEF*NtoN2O*kgtoGg,"NO")</f>
        <v>1.2429978764170116E-2</v>
      </c>
      <c r="AP148" s="22">
        <f>IFERROR(('Activity data'!AP90*(1/Constants!$H$112))*ttokg*FracLEACH*MSLeachEF*NtoN2O*kgtoGg,"NO")</f>
        <v>1.2469801446919251E-2</v>
      </c>
      <c r="AQ148" s="22">
        <f>IFERROR(('Activity data'!AQ90*(1/Constants!$H$112))*ttokg*FracLEACH*MSLeachEF*NtoN2O*kgtoGg,"NO")</f>
        <v>1.2509624129668377E-2</v>
      </c>
      <c r="AR148" s="22">
        <f>IFERROR(('Activity data'!AR90*(1/Constants!$H$112))*ttokg*FracLEACH*MSLeachEF*NtoN2O*kgtoGg,"NO")</f>
        <v>1.2549446812417521E-2</v>
      </c>
      <c r="AS148" s="22">
        <f>IFERROR(('Activity data'!AS90*(1/Constants!$H$112))*ttokg*FracLEACH*MSLeachEF*NtoN2O*kgtoGg,"NO")</f>
        <v>1.2589269495166658E-2</v>
      </c>
      <c r="AT148" s="22">
        <f>IFERROR(('Activity data'!AT90*(1/Constants!$H$112))*ttokg*FracLEACH*MSLeachEF*NtoN2O*kgtoGg,"NO")</f>
        <v>1.2629092177915786E-2</v>
      </c>
      <c r="AU148" s="22">
        <f>IFERROR(('Activity data'!AU90*(1/Constants!$H$112))*ttokg*FracLEACH*MSLeachEF*NtoN2O*kgtoGg,"NO")</f>
        <v>1.2668914860664923E-2</v>
      </c>
      <c r="AV148" s="22">
        <f>IFERROR(('Activity data'!AV90*(1/Constants!$H$112))*ttokg*FracLEACH*MSLeachEF*NtoN2O*kgtoGg,"NO")</f>
        <v>1.270873754341406E-2</v>
      </c>
      <c r="AW148" s="22">
        <f>IFERROR(('Activity data'!AW90*(1/Constants!$H$112))*ttokg*FracLEACH*MSLeachEF*NtoN2O*kgtoGg,"NO")</f>
        <v>1.2748560226163197E-2</v>
      </c>
      <c r="AX148" s="22">
        <f>IFERROR(('Activity data'!AX90*(1/Constants!$H$112))*ttokg*FracLEACH*MSLeachEF*NtoN2O*kgtoGg,"NO")</f>
        <v>1.2788382908912327E-2</v>
      </c>
      <c r="AY148" s="22">
        <f>IFERROR(('Activity data'!AY90*(1/Constants!$H$112))*ttokg*FracLEACH*MSLeachEF*NtoN2O*kgtoGg,"NO")</f>
        <v>1.2828205591661465E-2</v>
      </c>
      <c r="AZ148" s="22">
        <f>IFERROR(('Activity data'!AZ90*(1/Constants!$H$112))*ttokg*FracLEACH*MSLeachEF*NtoN2O*kgtoGg,"NO")</f>
        <v>1.28680282744106E-2</v>
      </c>
      <c r="BA148" s="22">
        <f>IFERROR(('Activity data'!BA90*(1/Constants!$H$112))*ttokg*FracLEACH*MSLeachEF*NtoN2O*kgtoGg,"NO")</f>
        <v>1.2907850957159728E-2</v>
      </c>
      <c r="BB148" s="22">
        <f>IFERROR(('Activity data'!BB90*(1/Constants!$H$112))*ttokg*FracLEACH*MSLeachEF*NtoN2O*kgtoGg,"NO")</f>
        <v>1.2947673639908869E-2</v>
      </c>
      <c r="BC148" s="22">
        <f>IFERROR(('Activity data'!BC90*(1/Constants!$H$112))*ttokg*FracLEACH*MSLeachEF*NtoN2O*kgtoGg,"NO")</f>
        <v>1.2987496322658002E-2</v>
      </c>
      <c r="BD148" s="22">
        <f>IFERROR(('Activity data'!BD90*(1/Constants!$H$112))*ttokg*FracLEACH*MSLeachEF*NtoN2O*kgtoGg,"NO")</f>
        <v>1.3027319005407142E-2</v>
      </c>
      <c r="BE148" s="22">
        <f>IFERROR(('Activity data'!BE90*(1/Constants!$H$112))*ttokg*FracLEACH*MSLeachEF*NtoN2O*kgtoGg,"NO")</f>
        <v>1.3067141688156276E-2</v>
      </c>
      <c r="BF148" s="22">
        <f>IFERROR(('Activity data'!BF90*(1/Constants!$H$112))*ttokg*FracLEACH*MSLeachEF*NtoN2O*kgtoGg,"NO")</f>
        <v>1.3106964370905413E-2</v>
      </c>
      <c r="BG148" s="22">
        <f>IFERROR(('Activity data'!BG90*(1/Constants!$H$112))*ttokg*FracLEACH*MSLeachEF*NtoN2O*kgtoGg,"NO")</f>
        <v>1.3146787053654546E-2</v>
      </c>
      <c r="BH148" s="22">
        <f>IFERROR(('Activity data'!BH90*(1/Constants!$H$112))*ttokg*FracLEACH*MSLeachEF*NtoN2O*kgtoGg,"NO")</f>
        <v>1.3186609736403676E-2</v>
      </c>
      <c r="BI148" s="22">
        <f>IFERROR(('Activity data'!BI90*(1/Constants!$H$112))*ttokg*FracLEACH*MSLeachEF*NtoN2O*kgtoGg,"NO")</f>
        <v>1.3226432419152811E-2</v>
      </c>
      <c r="BJ148" s="22">
        <f>IFERROR(('Activity data'!BJ90*(1/Constants!$H$112))*ttokg*FracLEACH*MSLeachEF*NtoN2O*kgtoGg,"NO")</f>
        <v>1.3266255101901948E-2</v>
      </c>
      <c r="BK148" s="22">
        <f>IFERROR(('Activity data'!BK90*(1/Constants!$H$112))*ttokg*FracLEACH*MSLeachEF*NtoN2O*kgtoGg,"NO")</f>
        <v>1.330607778465109E-2</v>
      </c>
      <c r="BL148" s="22">
        <f>IFERROR(('Activity data'!BL90*(1/Constants!$H$112))*ttokg*FracLEACH*MSLeachEF*NtoN2O*kgtoGg,"NO")</f>
        <v>1.334590046740022E-2</v>
      </c>
      <c r="BM148" s="22">
        <f>IFERROR(('Activity data'!BM90*(1/Constants!$H$112))*ttokg*FracLEACH*MSLeachEF*NtoN2O*kgtoGg,"NO")</f>
        <v>1.3385723150149357E-2</v>
      </c>
      <c r="BN148" s="22">
        <f>IFERROR(('Activity data'!BN90*(1/Constants!$H$112))*ttokg*FracLEACH*MSLeachEF*NtoN2O*kgtoGg,"NO")</f>
        <v>1.342554583289849E-2</v>
      </c>
      <c r="BO148" s="22">
        <f>IFERROR(('Activity data'!BO90*(1/Constants!$H$112))*ttokg*FracLEACH*MSLeachEF*NtoN2O*kgtoGg,"NO")</f>
        <v>1.3465368515647631E-2</v>
      </c>
      <c r="BP148" s="22">
        <f>IFERROR(('Activity data'!BP90*(1/Constants!$H$112))*ttokg*FracLEACH*MSLeachEF*NtoN2O*kgtoGg,"NO")</f>
        <v>1.3505191198396767E-2</v>
      </c>
    </row>
    <row r="149" spans="1:68" x14ac:dyDescent="0.25">
      <c r="A149" t="str">
        <f t="shared" si="58"/>
        <v>3C Aggregated and non-CO2 emissions on land</v>
      </c>
      <c r="B149" t="str">
        <f t="shared" si="59"/>
        <v>3C5 Indirect N2O from managed soils (N2O)</v>
      </c>
      <c r="C149" t="str">
        <f t="shared" si="54"/>
        <v>Leaching/runoff</v>
      </c>
      <c r="D149" t="str">
        <f>" - FSOM - "&amp;'Activity data'!D91</f>
        <v xml:space="preserve"> - FSOM - Grassland remaining grassland</v>
      </c>
      <c r="E149" t="str">
        <f t="shared" si="60"/>
        <v>Leaching/runoff - FSOM - Grassland remaining grassland</v>
      </c>
      <c r="F149" t="str">
        <f t="shared" si="47"/>
        <v>N2O</v>
      </c>
      <c r="G149" t="str">
        <f t="shared" si="48"/>
        <v>Gg N2O</v>
      </c>
      <c r="H149" s="22" t="str">
        <f>IFERROR(('Activity data'!H91*(1/Constants!$H$112))*ttokg*FracLEACH*MSLeachEF*NtoN2O*kgtoGg,"NO")</f>
        <v>NO</v>
      </c>
      <c r="I149" s="22">
        <f>IFERROR(('Activity data'!I91*(1/Constants!$H$112))*ttokg*FracLEACH*MSLeachEF*NtoN2O*kgtoGg,"NO")</f>
        <v>1.737211725152201E-4</v>
      </c>
      <c r="J149" s="22">
        <f>IFERROR(('Activity data'!J91*(1/Constants!$H$112))*ttokg*FracLEACH*MSLeachEF*NtoN2O*kgtoGg,"NO")</f>
        <v>1.737211725152201E-4</v>
      </c>
      <c r="K149" s="22">
        <f>IFERROR(('Activity data'!K91*(1/Constants!$H$112))*ttokg*FracLEACH*MSLeachEF*NtoN2O*kgtoGg,"NO")</f>
        <v>1.737211725152201E-4</v>
      </c>
      <c r="L149" s="22">
        <f>IFERROR(('Activity data'!L91*(1/Constants!$H$112))*ttokg*FracLEACH*MSLeachEF*NtoN2O*kgtoGg,"NO")</f>
        <v>1.737211725152201E-4</v>
      </c>
      <c r="M149" s="22">
        <f>IFERROR(('Activity data'!M91*(1/Constants!$H$112))*ttokg*FracLEACH*MSLeachEF*NtoN2O*kgtoGg,"NO")</f>
        <v>1.737211725152201E-4</v>
      </c>
      <c r="N149" s="22">
        <f>IFERROR(('Activity data'!N91*(1/Constants!$H$112))*ttokg*FracLEACH*MSLeachEF*NtoN2O*kgtoGg,"NO")</f>
        <v>1.737211725152201E-4</v>
      </c>
      <c r="O149" s="22">
        <f>IFERROR(('Activity data'!O91*(1/Constants!$H$112))*ttokg*FracLEACH*MSLeachEF*NtoN2O*kgtoGg,"NO")</f>
        <v>1.737211725152201E-4</v>
      </c>
      <c r="P149" s="22">
        <f>IFERROR(('Activity data'!P91*(1/Constants!$H$112))*ttokg*FracLEACH*MSLeachEF*NtoN2O*kgtoGg,"NO")</f>
        <v>1.737211725152201E-4</v>
      </c>
      <c r="Q149" s="22">
        <f>IFERROR(('Activity data'!Q91*(1/Constants!$H$112))*ttokg*FracLEACH*MSLeachEF*NtoN2O*kgtoGg,"NO")</f>
        <v>1.737211725152201E-4</v>
      </c>
      <c r="R149" s="22">
        <f>IFERROR(('Activity data'!R91*(1/Constants!$H$112))*ttokg*FracLEACH*MSLeachEF*NtoN2O*kgtoGg,"NO")</f>
        <v>1.737211725152201E-4</v>
      </c>
      <c r="S149" s="22">
        <f>IFERROR(('Activity data'!S91*(1/Constants!$H$112))*ttokg*FracLEACH*MSLeachEF*NtoN2O*kgtoGg,"NO")</f>
        <v>1.737211725152201E-4</v>
      </c>
      <c r="T149" s="22">
        <f>IFERROR(('Activity data'!T91*(1/Constants!$H$112))*ttokg*FracLEACH*MSLeachEF*NtoN2O*kgtoGg,"NO")</f>
        <v>1.737211725152201E-4</v>
      </c>
      <c r="U149" s="22">
        <f>IFERROR(('Activity data'!U91*(1/Constants!$H$112))*ttokg*FracLEACH*MSLeachEF*NtoN2O*kgtoGg,"NO")</f>
        <v>1.737211725152201E-4</v>
      </c>
      <c r="V149" s="22">
        <f>IFERROR(('Activity data'!V91*(1/Constants!$H$112))*ttokg*FracLEACH*MSLeachEF*NtoN2O*kgtoGg,"NO")</f>
        <v>1.737211725152201E-4</v>
      </c>
      <c r="W149" s="22">
        <f>IFERROR(('Activity data'!W91*(1/Constants!$H$112))*ttokg*FracLEACH*MSLeachEF*NtoN2O*kgtoGg,"NO")</f>
        <v>1.737211725152201E-4</v>
      </c>
      <c r="X149" s="22">
        <f>IFERROR(('Activity data'!X91*(1/Constants!$H$112))*ttokg*FracLEACH*MSLeachEF*NtoN2O*kgtoGg,"NO")</f>
        <v>1.737211725152201E-4</v>
      </c>
      <c r="Y149" s="22">
        <f>IFERROR(('Activity data'!Y91*(1/Constants!$H$112))*ttokg*FracLEACH*MSLeachEF*NtoN2O*kgtoGg,"NO")</f>
        <v>1.737211725152201E-4</v>
      </c>
      <c r="Z149" s="22">
        <f>IFERROR(('Activity data'!Z91*(1/Constants!$H$112))*ttokg*FracLEACH*MSLeachEF*NtoN2O*kgtoGg,"NO")</f>
        <v>1.737211725152201E-4</v>
      </c>
      <c r="AA149" s="22">
        <f>IFERROR(('Activity data'!AA91*(1/Constants!$H$112))*ttokg*FracLEACH*MSLeachEF*NtoN2O*kgtoGg,"NO")</f>
        <v>1.737211725152201E-4</v>
      </c>
      <c r="AB149" s="22">
        <f>IFERROR(('Activity data'!AB91*(1/Constants!$H$112))*ttokg*FracLEACH*MSLeachEF*NtoN2O*kgtoGg,"NO")</f>
        <v>1.737211725152201E-4</v>
      </c>
      <c r="AC149" s="22">
        <f>IFERROR(('Activity data'!AC91*(1/Constants!$H$112))*ttokg*FracLEACH*MSLeachEF*NtoN2O*kgtoGg,"NO")</f>
        <v>1.737211725152201E-4</v>
      </c>
      <c r="AD149" s="22">
        <f>IFERROR(('Activity data'!AD91*(1/Constants!$H$112))*ttokg*FracLEACH*MSLeachEF*NtoN2O*kgtoGg,"NO")</f>
        <v>4.7773839461586233E-2</v>
      </c>
      <c r="AE149" s="22">
        <f>IFERROR(('Activity data'!AE91*(1/Constants!$H$112))*ttokg*FracLEACH*MSLeachEF*NtoN2O*kgtoGg,"NO")</f>
        <v>4.7773839461586233E-2</v>
      </c>
      <c r="AF149" s="22">
        <f>IFERROR(('Activity data'!AF91*(1/Constants!$H$112))*ttokg*FracLEACH*MSLeachEF*NtoN2O*kgtoGg,"NO")</f>
        <v>4.7773839461586233E-2</v>
      </c>
      <c r="AG149" s="22">
        <f>IFERROR(('Activity data'!AG91*(1/Constants!$H$112))*ttokg*FracLEACH*MSLeachEF*NtoN2O*kgtoGg,"NO")</f>
        <v>4.7773839461586233E-2</v>
      </c>
      <c r="AH149" s="22">
        <f>IFERROR(('Activity data'!AH91*(1/Constants!$H$112))*ttokg*FracLEACH*MSLeachEF*NtoN2O*kgtoGg,"NO")</f>
        <v>4.7773839461586233E-2</v>
      </c>
      <c r="AI149" s="22">
        <f>IFERROR(('Activity data'!AI91*(1/Constants!$H$112))*ttokg*FracLEACH*MSLeachEF*NtoN2O*kgtoGg,"NO")</f>
        <v>4.7773839461586233E-2</v>
      </c>
      <c r="AJ149" s="22">
        <f>IFERROR(('Activity data'!AJ91*(1/Constants!$H$112))*ttokg*FracLEACH*MSLeachEF*NtoN2O*kgtoGg,"NO")</f>
        <v>4.7773839461586233E-2</v>
      </c>
      <c r="AK149" s="22">
        <f>IFERROR(('Activity data'!AK91*(1/Constants!$H$112))*ttokg*FracLEACH*MSLeachEF*NtoN2O*kgtoGg,"NO")</f>
        <v>4.7773839461586233E-2</v>
      </c>
      <c r="AL149" s="22">
        <f>IFERROR(('Activity data'!AL91*(1/Constants!$H$112))*ttokg*FracLEACH*MSLeachEF*NtoN2O*kgtoGg,"NO")</f>
        <v>4.7773839461586233E-2</v>
      </c>
      <c r="AM149" s="22">
        <f>IFERROR(('Activity data'!AM91*(1/Constants!$H$112))*ttokg*FracLEACH*MSLeachEF*NtoN2O*kgtoGg,"NO")</f>
        <v>4.7773839461586233E-2</v>
      </c>
      <c r="AN149" s="22">
        <f>IFERROR(('Activity data'!AN91*(1/Constants!$H$112))*ttokg*FracLEACH*MSLeachEF*NtoN2O*kgtoGg,"NO")</f>
        <v>4.7773839461586233E-2</v>
      </c>
      <c r="AO149" s="22">
        <f>IFERROR(('Activity data'!AO91*(1/Constants!$H$112))*ttokg*FracLEACH*MSLeachEF*NtoN2O*kgtoGg,"NO")</f>
        <v>4.7773839461586233E-2</v>
      </c>
      <c r="AP149" s="22">
        <f>IFERROR(('Activity data'!AP91*(1/Constants!$H$112))*ttokg*FracLEACH*MSLeachEF*NtoN2O*kgtoGg,"NO")</f>
        <v>4.7773839461586233E-2</v>
      </c>
      <c r="AQ149" s="22">
        <f>IFERROR(('Activity data'!AQ91*(1/Constants!$H$112))*ttokg*FracLEACH*MSLeachEF*NtoN2O*kgtoGg,"NO")</f>
        <v>4.7773839461586233E-2</v>
      </c>
      <c r="AR149" s="22">
        <f>IFERROR(('Activity data'!AR91*(1/Constants!$H$112))*ttokg*FracLEACH*MSLeachEF*NtoN2O*kgtoGg,"NO")</f>
        <v>4.7773839461586233E-2</v>
      </c>
      <c r="AS149" s="22">
        <f>IFERROR(('Activity data'!AS91*(1/Constants!$H$112))*ttokg*FracLEACH*MSLeachEF*NtoN2O*kgtoGg,"NO")</f>
        <v>4.7773839461586233E-2</v>
      </c>
      <c r="AT149" s="22">
        <f>IFERROR(('Activity data'!AT91*(1/Constants!$H$112))*ttokg*FracLEACH*MSLeachEF*NtoN2O*kgtoGg,"NO")</f>
        <v>4.7773839461586233E-2</v>
      </c>
      <c r="AU149" s="22">
        <f>IFERROR(('Activity data'!AU91*(1/Constants!$H$112))*ttokg*FracLEACH*MSLeachEF*NtoN2O*kgtoGg,"NO")</f>
        <v>4.7773839461586233E-2</v>
      </c>
      <c r="AV149" s="22">
        <f>IFERROR(('Activity data'!AV91*(1/Constants!$H$112))*ttokg*FracLEACH*MSLeachEF*NtoN2O*kgtoGg,"NO")</f>
        <v>4.7773839461586233E-2</v>
      </c>
      <c r="AW149" s="22">
        <f>IFERROR(('Activity data'!AW91*(1/Constants!$H$112))*ttokg*FracLEACH*MSLeachEF*NtoN2O*kgtoGg,"NO")</f>
        <v>4.7773839461586233E-2</v>
      </c>
      <c r="AX149" s="22">
        <f>IFERROR(('Activity data'!AX91*(1/Constants!$H$112))*ttokg*FracLEACH*MSLeachEF*NtoN2O*kgtoGg,"NO")</f>
        <v>4.7773839461586233E-2</v>
      </c>
      <c r="AY149" s="22">
        <f>IFERROR(('Activity data'!AY91*(1/Constants!$H$112))*ttokg*FracLEACH*MSLeachEF*NtoN2O*kgtoGg,"NO")</f>
        <v>4.7773839461586233E-2</v>
      </c>
      <c r="AZ149" s="22">
        <f>IFERROR(('Activity data'!AZ91*(1/Constants!$H$112))*ttokg*FracLEACH*MSLeachEF*NtoN2O*kgtoGg,"NO")</f>
        <v>4.7773839461586233E-2</v>
      </c>
      <c r="BA149" s="22">
        <f>IFERROR(('Activity data'!BA91*(1/Constants!$H$112))*ttokg*FracLEACH*MSLeachEF*NtoN2O*kgtoGg,"NO")</f>
        <v>4.7773839461586233E-2</v>
      </c>
      <c r="BB149" s="22">
        <f>IFERROR(('Activity data'!BB91*(1/Constants!$H$112))*ttokg*FracLEACH*MSLeachEF*NtoN2O*kgtoGg,"NO")</f>
        <v>4.7773839461586233E-2</v>
      </c>
      <c r="BC149" s="22">
        <f>IFERROR(('Activity data'!BC91*(1/Constants!$H$112))*ttokg*FracLEACH*MSLeachEF*NtoN2O*kgtoGg,"NO")</f>
        <v>4.7773839461586233E-2</v>
      </c>
      <c r="BD149" s="22">
        <f>IFERROR(('Activity data'!BD91*(1/Constants!$H$112))*ttokg*FracLEACH*MSLeachEF*NtoN2O*kgtoGg,"NO")</f>
        <v>4.7773839461586233E-2</v>
      </c>
      <c r="BE149" s="22">
        <f>IFERROR(('Activity data'!BE91*(1/Constants!$H$112))*ttokg*FracLEACH*MSLeachEF*NtoN2O*kgtoGg,"NO")</f>
        <v>4.7773839461586233E-2</v>
      </c>
      <c r="BF149" s="22">
        <f>IFERROR(('Activity data'!BF91*(1/Constants!$H$112))*ttokg*FracLEACH*MSLeachEF*NtoN2O*kgtoGg,"NO")</f>
        <v>4.7773839461586233E-2</v>
      </c>
      <c r="BG149" s="22">
        <f>IFERROR(('Activity data'!BG91*(1/Constants!$H$112))*ttokg*FracLEACH*MSLeachEF*NtoN2O*kgtoGg,"NO")</f>
        <v>4.7773839461586233E-2</v>
      </c>
      <c r="BH149" s="22">
        <f>IFERROR(('Activity data'!BH91*(1/Constants!$H$112))*ttokg*FracLEACH*MSLeachEF*NtoN2O*kgtoGg,"NO")</f>
        <v>4.7773839461586233E-2</v>
      </c>
      <c r="BI149" s="22">
        <f>IFERROR(('Activity data'!BI91*(1/Constants!$H$112))*ttokg*FracLEACH*MSLeachEF*NtoN2O*kgtoGg,"NO")</f>
        <v>4.7773839461586233E-2</v>
      </c>
      <c r="BJ149" s="22">
        <f>IFERROR(('Activity data'!BJ91*(1/Constants!$H$112))*ttokg*FracLEACH*MSLeachEF*NtoN2O*kgtoGg,"NO")</f>
        <v>4.7773839461586233E-2</v>
      </c>
      <c r="BK149" s="22">
        <f>IFERROR(('Activity data'!BK91*(1/Constants!$H$112))*ttokg*FracLEACH*MSLeachEF*NtoN2O*kgtoGg,"NO")</f>
        <v>4.7773839461586233E-2</v>
      </c>
      <c r="BL149" s="22">
        <f>IFERROR(('Activity data'!BL91*(1/Constants!$H$112))*ttokg*FracLEACH*MSLeachEF*NtoN2O*kgtoGg,"NO")</f>
        <v>4.7773839461586233E-2</v>
      </c>
      <c r="BM149" s="22">
        <f>IFERROR(('Activity data'!BM91*(1/Constants!$H$112))*ttokg*FracLEACH*MSLeachEF*NtoN2O*kgtoGg,"NO")</f>
        <v>4.7773839461586233E-2</v>
      </c>
      <c r="BN149" s="22">
        <f>IFERROR(('Activity data'!BN91*(1/Constants!$H$112))*ttokg*FracLEACH*MSLeachEF*NtoN2O*kgtoGg,"NO")</f>
        <v>4.7773839461586233E-2</v>
      </c>
      <c r="BO149" s="22">
        <f>IFERROR(('Activity data'!BO91*(1/Constants!$H$112))*ttokg*FracLEACH*MSLeachEF*NtoN2O*kgtoGg,"NO")</f>
        <v>4.7773839461586233E-2</v>
      </c>
      <c r="BP149" s="22">
        <f>IFERROR(('Activity data'!BP91*(1/Constants!$H$112))*ttokg*FracLEACH*MSLeachEF*NtoN2O*kgtoGg,"NO")</f>
        <v>4.7773839461586233E-2</v>
      </c>
    </row>
    <row r="150" spans="1:68" x14ac:dyDescent="0.25">
      <c r="A150" t="str">
        <f t="shared" si="58"/>
        <v>3C Aggregated and non-CO2 emissions on land</v>
      </c>
      <c r="B150" t="str">
        <f t="shared" si="59"/>
        <v>3C5 Indirect N2O from managed soils (N2O)</v>
      </c>
      <c r="C150" t="str">
        <f t="shared" si="54"/>
        <v>Leaching/runoff</v>
      </c>
      <c r="D150" t="str">
        <f>" - FSOM - "&amp;'Activity data'!D92</f>
        <v xml:space="preserve"> - FSOM - Land converted to grassland</v>
      </c>
      <c r="E150" t="str">
        <f t="shared" si="60"/>
        <v>Leaching/runoff - FSOM - Land converted to grassland</v>
      </c>
      <c r="F150" t="str">
        <f t="shared" si="47"/>
        <v>N2O</v>
      </c>
      <c r="G150" t="str">
        <f t="shared" si="48"/>
        <v>Gg N2O</v>
      </c>
      <c r="H150" s="22">
        <f>IFERROR(('Activity data'!H92*(1/Constants!$H$112))*ttokg*FracLEACH*MSLeachEF*NtoN2O*kgtoGg,"NO")</f>
        <v>0</v>
      </c>
      <c r="I150" s="22">
        <f>IFERROR(('Activity data'!I92*(1/Constants!$H$112))*ttokg*FracLEACH*MSLeachEF*NtoN2O*kgtoGg,"NO")</f>
        <v>9.2483926361848039E-3</v>
      </c>
      <c r="J150" s="22">
        <f>IFERROR(('Activity data'!J92*(1/Constants!$H$112))*ttokg*FracLEACH*MSLeachEF*NtoN2O*kgtoGg,"NO")</f>
        <v>9.2483926361848039E-3</v>
      </c>
      <c r="K150" s="22">
        <f>IFERROR(('Activity data'!K92*(1/Constants!$H$112))*ttokg*FracLEACH*MSLeachEF*NtoN2O*kgtoGg,"NO")</f>
        <v>9.2483926361848039E-3</v>
      </c>
      <c r="L150" s="22">
        <f>IFERROR(('Activity data'!L92*(1/Constants!$H$112))*ttokg*FracLEACH*MSLeachEF*NtoN2O*kgtoGg,"NO")</f>
        <v>9.2483926361848039E-3</v>
      </c>
      <c r="M150" s="22">
        <f>IFERROR(('Activity data'!M92*(1/Constants!$H$112))*ttokg*FracLEACH*MSLeachEF*NtoN2O*kgtoGg,"NO")</f>
        <v>9.2483926361848039E-3</v>
      </c>
      <c r="N150" s="22">
        <f>IFERROR(('Activity data'!N92*(1/Constants!$H$112))*ttokg*FracLEACH*MSLeachEF*NtoN2O*kgtoGg,"NO")</f>
        <v>9.2483926361848039E-3</v>
      </c>
      <c r="O150" s="22">
        <f>IFERROR(('Activity data'!O92*(1/Constants!$H$112))*ttokg*FracLEACH*MSLeachEF*NtoN2O*kgtoGg,"NO")</f>
        <v>9.2483926361848039E-3</v>
      </c>
      <c r="P150" s="22">
        <f>IFERROR(('Activity data'!P92*(1/Constants!$H$112))*ttokg*FracLEACH*MSLeachEF*NtoN2O*kgtoGg,"NO")</f>
        <v>9.2483926361848039E-3</v>
      </c>
      <c r="Q150" s="22">
        <f>IFERROR(('Activity data'!Q92*(1/Constants!$H$112))*ttokg*FracLEACH*MSLeachEF*NtoN2O*kgtoGg,"NO")</f>
        <v>9.2483926361848039E-3</v>
      </c>
      <c r="R150" s="22">
        <f>IFERROR(('Activity data'!R92*(1/Constants!$H$112))*ttokg*FracLEACH*MSLeachEF*NtoN2O*kgtoGg,"NO")</f>
        <v>9.2483926361848039E-3</v>
      </c>
      <c r="S150" s="22">
        <f>IFERROR(('Activity data'!S92*(1/Constants!$H$112))*ttokg*FracLEACH*MSLeachEF*NtoN2O*kgtoGg,"NO")</f>
        <v>9.2483926361848039E-3</v>
      </c>
      <c r="T150" s="22">
        <f>IFERROR(('Activity data'!T92*(1/Constants!$H$112))*ttokg*FracLEACH*MSLeachEF*NtoN2O*kgtoGg,"NO")</f>
        <v>9.2483926361848039E-3</v>
      </c>
      <c r="U150" s="22">
        <f>IFERROR(('Activity data'!U92*(1/Constants!$H$112))*ttokg*FracLEACH*MSLeachEF*NtoN2O*kgtoGg,"NO")</f>
        <v>9.2483926361848039E-3</v>
      </c>
      <c r="V150" s="22">
        <f>IFERROR(('Activity data'!V92*(1/Constants!$H$112))*ttokg*FracLEACH*MSLeachEF*NtoN2O*kgtoGg,"NO")</f>
        <v>9.2483926361848039E-3</v>
      </c>
      <c r="W150" s="22">
        <f>IFERROR(('Activity data'!W92*(1/Constants!$H$112))*ttokg*FracLEACH*MSLeachEF*NtoN2O*kgtoGg,"NO")</f>
        <v>9.2483926361848039E-3</v>
      </c>
      <c r="X150" s="22">
        <f>IFERROR(('Activity data'!X92*(1/Constants!$H$112))*ttokg*FracLEACH*MSLeachEF*NtoN2O*kgtoGg,"NO")</f>
        <v>9.2483926361848039E-3</v>
      </c>
      <c r="Y150" s="22">
        <f>IFERROR(('Activity data'!Y92*(1/Constants!$H$112))*ttokg*FracLEACH*MSLeachEF*NtoN2O*kgtoGg,"NO")</f>
        <v>9.2483926361848039E-3</v>
      </c>
      <c r="Z150" s="22">
        <f>IFERROR(('Activity data'!Z92*(1/Constants!$H$112))*ttokg*FracLEACH*MSLeachEF*NtoN2O*kgtoGg,"NO")</f>
        <v>9.2483926361848039E-3</v>
      </c>
      <c r="AA150" s="22">
        <f>IFERROR(('Activity data'!AA92*(1/Constants!$H$112))*ttokg*FracLEACH*MSLeachEF*NtoN2O*kgtoGg,"NO")</f>
        <v>9.2483926361848039E-3</v>
      </c>
      <c r="AB150" s="22">
        <f>IFERROR(('Activity data'!AB92*(1/Constants!$H$112))*ttokg*FracLEACH*MSLeachEF*NtoN2O*kgtoGg,"NO")</f>
        <v>9.2483926361848039E-3</v>
      </c>
      <c r="AC150" s="22">
        <f>IFERROR(('Activity data'!AC92*(1/Constants!$H$112))*ttokg*FracLEACH*MSLeachEF*NtoN2O*kgtoGg,"NO")</f>
        <v>9.2483926361848039E-3</v>
      </c>
      <c r="AD150" s="22" t="str">
        <f>IFERROR(('Activity data'!AD92*(1/Constants!$H$112))*ttokg*FracLEACH*MSLeachEF*NtoN2O*kgtoGg,"NO")</f>
        <v>NO</v>
      </c>
      <c r="AE150" s="22" t="str">
        <f>IFERROR(('Activity data'!AE92*(1/Constants!$H$112))*ttokg*FracLEACH*MSLeachEF*NtoN2O*kgtoGg,"NO")</f>
        <v>NO</v>
      </c>
      <c r="AF150" s="22" t="str">
        <f>IFERROR(('Activity data'!AF92*(1/Constants!$H$112))*ttokg*FracLEACH*MSLeachEF*NtoN2O*kgtoGg,"NO")</f>
        <v>NO</v>
      </c>
      <c r="AG150" s="22" t="str">
        <f>IFERROR(('Activity data'!AG92*(1/Constants!$H$112))*ttokg*FracLEACH*MSLeachEF*NtoN2O*kgtoGg,"NO")</f>
        <v>NO</v>
      </c>
      <c r="AH150" s="22" t="str">
        <f>IFERROR(('Activity data'!AH92*(1/Constants!$H$112))*ttokg*FracLEACH*MSLeachEF*NtoN2O*kgtoGg,"NO")</f>
        <v>NO</v>
      </c>
      <c r="AI150" s="22" t="str">
        <f>IFERROR(('Activity data'!AI92*(1/Constants!$H$112))*ttokg*FracLEACH*MSLeachEF*NtoN2O*kgtoGg,"NO")</f>
        <v>NO</v>
      </c>
      <c r="AJ150" s="22" t="str">
        <f>IFERROR(('Activity data'!AJ92*(1/Constants!$H$112))*ttokg*FracLEACH*MSLeachEF*NtoN2O*kgtoGg,"NO")</f>
        <v>NO</v>
      </c>
      <c r="AK150" s="22" t="str">
        <f>IFERROR(('Activity data'!AK92*(1/Constants!$H$112))*ttokg*FracLEACH*MSLeachEF*NtoN2O*kgtoGg,"NO")</f>
        <v>NO</v>
      </c>
      <c r="AL150" s="22" t="str">
        <f>IFERROR(('Activity data'!AL92*(1/Constants!$H$112))*ttokg*FracLEACH*MSLeachEF*NtoN2O*kgtoGg,"NO")</f>
        <v>NO</v>
      </c>
      <c r="AM150" s="22" t="str">
        <f>IFERROR(('Activity data'!AM92*(1/Constants!$H$112))*ttokg*FracLEACH*MSLeachEF*NtoN2O*kgtoGg,"NO")</f>
        <v>NO</v>
      </c>
      <c r="AN150" s="22" t="str">
        <f>IFERROR(('Activity data'!AN92*(1/Constants!$H$112))*ttokg*FracLEACH*MSLeachEF*NtoN2O*kgtoGg,"NO")</f>
        <v>NO</v>
      </c>
      <c r="AO150" s="22" t="str">
        <f>IFERROR(('Activity data'!AO92*(1/Constants!$H$112))*ttokg*FracLEACH*MSLeachEF*NtoN2O*kgtoGg,"NO")</f>
        <v>NO</v>
      </c>
      <c r="AP150" s="22" t="str">
        <f>IFERROR(('Activity data'!AP92*(1/Constants!$H$112))*ttokg*FracLEACH*MSLeachEF*NtoN2O*kgtoGg,"NO")</f>
        <v>NO</v>
      </c>
      <c r="AQ150" s="22" t="str">
        <f>IFERROR(('Activity data'!AQ92*(1/Constants!$H$112))*ttokg*FracLEACH*MSLeachEF*NtoN2O*kgtoGg,"NO")</f>
        <v>NO</v>
      </c>
      <c r="AR150" s="22" t="str">
        <f>IFERROR(('Activity data'!AR92*(1/Constants!$H$112))*ttokg*FracLEACH*MSLeachEF*NtoN2O*kgtoGg,"NO")</f>
        <v>NO</v>
      </c>
      <c r="AS150" s="22" t="str">
        <f>IFERROR(('Activity data'!AS92*(1/Constants!$H$112))*ttokg*FracLEACH*MSLeachEF*NtoN2O*kgtoGg,"NO")</f>
        <v>NO</v>
      </c>
      <c r="AT150" s="22" t="str">
        <f>IFERROR(('Activity data'!AT92*(1/Constants!$H$112))*ttokg*FracLEACH*MSLeachEF*NtoN2O*kgtoGg,"NO")</f>
        <v>NO</v>
      </c>
      <c r="AU150" s="22" t="str">
        <f>IFERROR(('Activity data'!AU92*(1/Constants!$H$112))*ttokg*FracLEACH*MSLeachEF*NtoN2O*kgtoGg,"NO")</f>
        <v>NO</v>
      </c>
      <c r="AV150" s="22" t="str">
        <f>IFERROR(('Activity data'!AV92*(1/Constants!$H$112))*ttokg*FracLEACH*MSLeachEF*NtoN2O*kgtoGg,"NO")</f>
        <v>NO</v>
      </c>
      <c r="AW150" s="22" t="str">
        <f>IFERROR(('Activity data'!AW92*(1/Constants!$H$112))*ttokg*FracLEACH*MSLeachEF*NtoN2O*kgtoGg,"NO")</f>
        <v>NO</v>
      </c>
      <c r="AX150" s="22" t="str">
        <f>IFERROR(('Activity data'!AX92*(1/Constants!$H$112))*ttokg*FracLEACH*MSLeachEF*NtoN2O*kgtoGg,"NO")</f>
        <v>NO</v>
      </c>
      <c r="AY150" s="22" t="str">
        <f>IFERROR(('Activity data'!AY92*(1/Constants!$H$112))*ttokg*FracLEACH*MSLeachEF*NtoN2O*kgtoGg,"NO")</f>
        <v>NO</v>
      </c>
      <c r="AZ150" s="22" t="str">
        <f>IFERROR(('Activity data'!AZ92*(1/Constants!$H$112))*ttokg*FracLEACH*MSLeachEF*NtoN2O*kgtoGg,"NO")</f>
        <v>NO</v>
      </c>
      <c r="BA150" s="22" t="str">
        <f>IFERROR(('Activity data'!BA92*(1/Constants!$H$112))*ttokg*FracLEACH*MSLeachEF*NtoN2O*kgtoGg,"NO")</f>
        <v>NO</v>
      </c>
      <c r="BB150" s="22" t="str">
        <f>IFERROR(('Activity data'!BB92*(1/Constants!$H$112))*ttokg*FracLEACH*MSLeachEF*NtoN2O*kgtoGg,"NO")</f>
        <v>NO</v>
      </c>
      <c r="BC150" s="22" t="str">
        <f>IFERROR(('Activity data'!BC92*(1/Constants!$H$112))*ttokg*FracLEACH*MSLeachEF*NtoN2O*kgtoGg,"NO")</f>
        <v>NO</v>
      </c>
      <c r="BD150" s="22" t="str">
        <f>IFERROR(('Activity data'!BD92*(1/Constants!$H$112))*ttokg*FracLEACH*MSLeachEF*NtoN2O*kgtoGg,"NO")</f>
        <v>NO</v>
      </c>
      <c r="BE150" s="22" t="str">
        <f>IFERROR(('Activity data'!BE92*(1/Constants!$H$112))*ttokg*FracLEACH*MSLeachEF*NtoN2O*kgtoGg,"NO")</f>
        <v>NO</v>
      </c>
      <c r="BF150" s="22" t="str">
        <f>IFERROR(('Activity data'!BF92*(1/Constants!$H$112))*ttokg*FracLEACH*MSLeachEF*NtoN2O*kgtoGg,"NO")</f>
        <v>NO</v>
      </c>
      <c r="BG150" s="22" t="str">
        <f>IFERROR(('Activity data'!BG92*(1/Constants!$H$112))*ttokg*FracLEACH*MSLeachEF*NtoN2O*kgtoGg,"NO")</f>
        <v>NO</v>
      </c>
      <c r="BH150" s="22" t="str">
        <f>IFERROR(('Activity data'!BH92*(1/Constants!$H$112))*ttokg*FracLEACH*MSLeachEF*NtoN2O*kgtoGg,"NO")</f>
        <v>NO</v>
      </c>
      <c r="BI150" s="22" t="str">
        <f>IFERROR(('Activity data'!BI92*(1/Constants!$H$112))*ttokg*FracLEACH*MSLeachEF*NtoN2O*kgtoGg,"NO")</f>
        <v>NO</v>
      </c>
      <c r="BJ150" s="22" t="str">
        <f>IFERROR(('Activity data'!BJ92*(1/Constants!$H$112))*ttokg*FracLEACH*MSLeachEF*NtoN2O*kgtoGg,"NO")</f>
        <v>NO</v>
      </c>
      <c r="BK150" s="22" t="str">
        <f>IFERROR(('Activity data'!BK92*(1/Constants!$H$112))*ttokg*FracLEACH*MSLeachEF*NtoN2O*kgtoGg,"NO")</f>
        <v>NO</v>
      </c>
      <c r="BL150" s="22" t="str">
        <f>IFERROR(('Activity data'!BL92*(1/Constants!$H$112))*ttokg*FracLEACH*MSLeachEF*NtoN2O*kgtoGg,"NO")</f>
        <v>NO</v>
      </c>
      <c r="BM150" s="22" t="str">
        <f>IFERROR(('Activity data'!BM92*(1/Constants!$H$112))*ttokg*FracLEACH*MSLeachEF*NtoN2O*kgtoGg,"NO")</f>
        <v>NO</v>
      </c>
      <c r="BN150" s="22" t="str">
        <f>IFERROR(('Activity data'!BN92*(1/Constants!$H$112))*ttokg*FracLEACH*MSLeachEF*NtoN2O*kgtoGg,"NO")</f>
        <v>NO</v>
      </c>
      <c r="BO150" s="22" t="str">
        <f>IFERROR(('Activity data'!BO92*(1/Constants!$H$112))*ttokg*FracLEACH*MSLeachEF*NtoN2O*kgtoGg,"NO")</f>
        <v>NO</v>
      </c>
      <c r="BP150" s="22" t="str">
        <f>IFERROR(('Activity data'!BP92*(1/Constants!$H$112))*ttokg*FracLEACH*MSLeachEF*NtoN2O*kgtoGg,"NO")</f>
        <v>NO</v>
      </c>
    </row>
    <row r="151" spans="1:68" x14ac:dyDescent="0.25">
      <c r="A151" t="str">
        <f t="shared" si="58"/>
        <v>3C Aggregated and non-CO2 emissions on land</v>
      </c>
      <c r="B151" t="str">
        <f t="shared" si="59"/>
        <v>3C5 Indirect N2O from managed soils (N2O)</v>
      </c>
      <c r="C151" t="str">
        <f t="shared" si="54"/>
        <v>Leaching/runoff</v>
      </c>
      <c r="D151" t="str">
        <f>" - FSOM - "&amp;'Activity data'!D93</f>
        <v xml:space="preserve"> - FSOM - Wetland remaining wetland</v>
      </c>
      <c r="E151" t="str">
        <f t="shared" si="60"/>
        <v>Leaching/runoff - FSOM - Wetland remaining wetland</v>
      </c>
      <c r="F151" t="str">
        <f t="shared" si="47"/>
        <v>N2O</v>
      </c>
      <c r="G151" t="str">
        <f t="shared" si="48"/>
        <v>Gg N2O</v>
      </c>
      <c r="H151" s="22" t="str">
        <f>IFERROR(('Activity data'!H93*(1/Constants!$H$112))*ttokg*FracLEACH*MSLeachEF*NtoN2O*kgtoGg,"NO")</f>
        <v>NO</v>
      </c>
      <c r="I151" s="22" t="str">
        <f>IFERROR(('Activity data'!I93*(1/Constants!$H$112))*ttokg*FracLEACH*MSLeachEF*NtoN2O*kgtoGg,"NO")</f>
        <v>NO</v>
      </c>
      <c r="J151" s="22" t="str">
        <f>IFERROR(('Activity data'!J93*(1/Constants!$H$112))*ttokg*FracLEACH*MSLeachEF*NtoN2O*kgtoGg,"NO")</f>
        <v>NO</v>
      </c>
      <c r="K151" s="22" t="str">
        <f>IFERROR(('Activity data'!K93*(1/Constants!$H$112))*ttokg*FracLEACH*MSLeachEF*NtoN2O*kgtoGg,"NO")</f>
        <v>NO</v>
      </c>
      <c r="L151" s="22" t="str">
        <f>IFERROR(('Activity data'!L93*(1/Constants!$H$112))*ttokg*FracLEACH*MSLeachEF*NtoN2O*kgtoGg,"NO")</f>
        <v>NO</v>
      </c>
      <c r="M151" s="22" t="str">
        <f>IFERROR(('Activity data'!M93*(1/Constants!$H$112))*ttokg*FracLEACH*MSLeachEF*NtoN2O*kgtoGg,"NO")</f>
        <v>NO</v>
      </c>
      <c r="N151" s="22" t="str">
        <f>IFERROR(('Activity data'!N93*(1/Constants!$H$112))*ttokg*FracLEACH*MSLeachEF*NtoN2O*kgtoGg,"NO")</f>
        <v>NO</v>
      </c>
      <c r="O151" s="22" t="str">
        <f>IFERROR(('Activity data'!O93*(1/Constants!$H$112))*ttokg*FracLEACH*MSLeachEF*NtoN2O*kgtoGg,"NO")</f>
        <v>NO</v>
      </c>
      <c r="P151" s="22" t="str">
        <f>IFERROR(('Activity data'!P93*(1/Constants!$H$112))*ttokg*FracLEACH*MSLeachEF*NtoN2O*kgtoGg,"NO")</f>
        <v>NO</v>
      </c>
      <c r="Q151" s="22" t="str">
        <f>IFERROR(('Activity data'!Q93*(1/Constants!$H$112))*ttokg*FracLEACH*MSLeachEF*NtoN2O*kgtoGg,"NO")</f>
        <v>NO</v>
      </c>
      <c r="R151" s="22" t="str">
        <f>IFERROR(('Activity data'!R93*(1/Constants!$H$112))*ttokg*FracLEACH*MSLeachEF*NtoN2O*kgtoGg,"NO")</f>
        <v>NO</v>
      </c>
      <c r="S151" s="22" t="str">
        <f>IFERROR(('Activity data'!S93*(1/Constants!$H$112))*ttokg*FracLEACH*MSLeachEF*NtoN2O*kgtoGg,"NO")</f>
        <v>NO</v>
      </c>
      <c r="T151" s="22" t="str">
        <f>IFERROR(('Activity data'!T93*(1/Constants!$H$112))*ttokg*FracLEACH*MSLeachEF*NtoN2O*kgtoGg,"NO")</f>
        <v>NO</v>
      </c>
      <c r="U151" s="22" t="str">
        <f>IFERROR(('Activity data'!U93*(1/Constants!$H$112))*ttokg*FracLEACH*MSLeachEF*NtoN2O*kgtoGg,"NO")</f>
        <v>NO</v>
      </c>
      <c r="V151" s="22" t="str">
        <f>IFERROR(('Activity data'!V93*(1/Constants!$H$112))*ttokg*FracLEACH*MSLeachEF*NtoN2O*kgtoGg,"NO")</f>
        <v>NO</v>
      </c>
      <c r="W151" s="22" t="str">
        <f>IFERROR(('Activity data'!W93*(1/Constants!$H$112))*ttokg*FracLEACH*MSLeachEF*NtoN2O*kgtoGg,"NO")</f>
        <v>NO</v>
      </c>
      <c r="X151" s="22" t="str">
        <f>IFERROR(('Activity data'!X93*(1/Constants!$H$112))*ttokg*FracLEACH*MSLeachEF*NtoN2O*kgtoGg,"NO")</f>
        <v>NO</v>
      </c>
      <c r="Y151" s="22" t="str">
        <f>IFERROR(('Activity data'!Y93*(1/Constants!$H$112))*ttokg*FracLEACH*MSLeachEF*NtoN2O*kgtoGg,"NO")</f>
        <v>NO</v>
      </c>
      <c r="Z151" s="22" t="str">
        <f>IFERROR(('Activity data'!Z93*(1/Constants!$H$112))*ttokg*FracLEACH*MSLeachEF*NtoN2O*kgtoGg,"NO")</f>
        <v>NO</v>
      </c>
      <c r="AA151" s="22" t="str">
        <f>IFERROR(('Activity data'!AA93*(1/Constants!$H$112))*ttokg*FracLEACH*MSLeachEF*NtoN2O*kgtoGg,"NO")</f>
        <v>NO</v>
      </c>
      <c r="AB151" s="22" t="str">
        <f>IFERROR(('Activity data'!AB93*(1/Constants!$H$112))*ttokg*FracLEACH*MSLeachEF*NtoN2O*kgtoGg,"NO")</f>
        <v>NO</v>
      </c>
      <c r="AC151" s="22" t="str">
        <f>IFERROR(('Activity data'!AC93*(1/Constants!$H$112))*ttokg*FracLEACH*MSLeachEF*NtoN2O*kgtoGg,"NO")</f>
        <v>NO</v>
      </c>
      <c r="AD151" s="22" t="str">
        <f>IFERROR(('Activity data'!AD93*(1/Constants!$H$112))*ttokg*FracLEACH*MSLeachEF*NtoN2O*kgtoGg,"NO")</f>
        <v>NO</v>
      </c>
      <c r="AE151" s="22" t="str">
        <f>IFERROR(('Activity data'!AE93*(1/Constants!$H$112))*ttokg*FracLEACH*MSLeachEF*NtoN2O*kgtoGg,"NO")</f>
        <v>NO</v>
      </c>
      <c r="AF151" s="22" t="str">
        <f>IFERROR(('Activity data'!AF93*(1/Constants!$H$112))*ttokg*FracLEACH*MSLeachEF*NtoN2O*kgtoGg,"NO")</f>
        <v>NO</v>
      </c>
      <c r="AG151" s="22" t="str">
        <f>IFERROR(('Activity data'!AG93*(1/Constants!$H$112))*ttokg*FracLEACH*MSLeachEF*NtoN2O*kgtoGg,"NO")</f>
        <v>NO</v>
      </c>
      <c r="AH151" s="22" t="str">
        <f>IFERROR(('Activity data'!AH93*(1/Constants!$H$112))*ttokg*FracLEACH*MSLeachEF*NtoN2O*kgtoGg,"NO")</f>
        <v>NO</v>
      </c>
      <c r="AI151" s="22" t="str">
        <f>IFERROR(('Activity data'!AI93*(1/Constants!$H$112))*ttokg*FracLEACH*MSLeachEF*NtoN2O*kgtoGg,"NO")</f>
        <v>NO</v>
      </c>
      <c r="AJ151" s="22" t="str">
        <f>IFERROR(('Activity data'!AJ93*(1/Constants!$H$112))*ttokg*FracLEACH*MSLeachEF*NtoN2O*kgtoGg,"NO")</f>
        <v>NO</v>
      </c>
      <c r="AK151" s="22" t="str">
        <f>IFERROR(('Activity data'!AK93*(1/Constants!$H$112))*ttokg*FracLEACH*MSLeachEF*NtoN2O*kgtoGg,"NO")</f>
        <v>NO</v>
      </c>
      <c r="AL151" s="22" t="str">
        <f>IFERROR(('Activity data'!AL93*(1/Constants!$H$112))*ttokg*FracLEACH*MSLeachEF*NtoN2O*kgtoGg,"NO")</f>
        <v>NO</v>
      </c>
      <c r="AM151" s="22" t="str">
        <f>IFERROR(('Activity data'!AM93*(1/Constants!$H$112))*ttokg*FracLEACH*MSLeachEF*NtoN2O*kgtoGg,"NO")</f>
        <v>NO</v>
      </c>
      <c r="AN151" s="22" t="str">
        <f>IFERROR(('Activity data'!AN93*(1/Constants!$H$112))*ttokg*FracLEACH*MSLeachEF*NtoN2O*kgtoGg,"NO")</f>
        <v>NO</v>
      </c>
      <c r="AO151" s="22" t="str">
        <f>IFERROR(('Activity data'!AO93*(1/Constants!$H$112))*ttokg*FracLEACH*MSLeachEF*NtoN2O*kgtoGg,"NO")</f>
        <v>NO</v>
      </c>
      <c r="AP151" s="22" t="str">
        <f>IFERROR(('Activity data'!AP93*(1/Constants!$H$112))*ttokg*FracLEACH*MSLeachEF*NtoN2O*kgtoGg,"NO")</f>
        <v>NO</v>
      </c>
      <c r="AQ151" s="22" t="str">
        <f>IFERROR(('Activity data'!AQ93*(1/Constants!$H$112))*ttokg*FracLEACH*MSLeachEF*NtoN2O*kgtoGg,"NO")</f>
        <v>NO</v>
      </c>
      <c r="AR151" s="22" t="str">
        <f>IFERROR(('Activity data'!AR93*(1/Constants!$H$112))*ttokg*FracLEACH*MSLeachEF*NtoN2O*kgtoGg,"NO")</f>
        <v>NO</v>
      </c>
      <c r="AS151" s="22" t="str">
        <f>IFERROR(('Activity data'!AS93*(1/Constants!$H$112))*ttokg*FracLEACH*MSLeachEF*NtoN2O*kgtoGg,"NO")</f>
        <v>NO</v>
      </c>
      <c r="AT151" s="22" t="str">
        <f>IFERROR(('Activity data'!AT93*(1/Constants!$H$112))*ttokg*FracLEACH*MSLeachEF*NtoN2O*kgtoGg,"NO")</f>
        <v>NO</v>
      </c>
      <c r="AU151" s="22" t="str">
        <f>IFERROR(('Activity data'!AU93*(1/Constants!$H$112))*ttokg*FracLEACH*MSLeachEF*NtoN2O*kgtoGg,"NO")</f>
        <v>NO</v>
      </c>
      <c r="AV151" s="22" t="str">
        <f>IFERROR(('Activity data'!AV93*(1/Constants!$H$112))*ttokg*FracLEACH*MSLeachEF*NtoN2O*kgtoGg,"NO")</f>
        <v>NO</v>
      </c>
      <c r="AW151" s="22" t="str">
        <f>IFERROR(('Activity data'!AW93*(1/Constants!$H$112))*ttokg*FracLEACH*MSLeachEF*NtoN2O*kgtoGg,"NO")</f>
        <v>NO</v>
      </c>
      <c r="AX151" s="22" t="str">
        <f>IFERROR(('Activity data'!AX93*(1/Constants!$H$112))*ttokg*FracLEACH*MSLeachEF*NtoN2O*kgtoGg,"NO")</f>
        <v>NO</v>
      </c>
      <c r="AY151" s="22" t="str">
        <f>IFERROR(('Activity data'!AY93*(1/Constants!$H$112))*ttokg*FracLEACH*MSLeachEF*NtoN2O*kgtoGg,"NO")</f>
        <v>NO</v>
      </c>
      <c r="AZ151" s="22" t="str">
        <f>IFERROR(('Activity data'!AZ93*(1/Constants!$H$112))*ttokg*FracLEACH*MSLeachEF*NtoN2O*kgtoGg,"NO")</f>
        <v>NO</v>
      </c>
      <c r="BA151" s="22" t="str">
        <f>IFERROR(('Activity data'!BA93*(1/Constants!$H$112))*ttokg*FracLEACH*MSLeachEF*NtoN2O*kgtoGg,"NO")</f>
        <v>NO</v>
      </c>
      <c r="BB151" s="22" t="str">
        <f>IFERROR(('Activity data'!BB93*(1/Constants!$H$112))*ttokg*FracLEACH*MSLeachEF*NtoN2O*kgtoGg,"NO")</f>
        <v>NO</v>
      </c>
      <c r="BC151" s="22" t="str">
        <f>IFERROR(('Activity data'!BC93*(1/Constants!$H$112))*ttokg*FracLEACH*MSLeachEF*NtoN2O*kgtoGg,"NO")</f>
        <v>NO</v>
      </c>
      <c r="BD151" s="22" t="str">
        <f>IFERROR(('Activity data'!BD93*(1/Constants!$H$112))*ttokg*FracLEACH*MSLeachEF*NtoN2O*kgtoGg,"NO")</f>
        <v>NO</v>
      </c>
      <c r="BE151" s="22" t="str">
        <f>IFERROR(('Activity data'!BE93*(1/Constants!$H$112))*ttokg*FracLEACH*MSLeachEF*NtoN2O*kgtoGg,"NO")</f>
        <v>NO</v>
      </c>
      <c r="BF151" s="22" t="str">
        <f>IFERROR(('Activity data'!BF93*(1/Constants!$H$112))*ttokg*FracLEACH*MSLeachEF*NtoN2O*kgtoGg,"NO")</f>
        <v>NO</v>
      </c>
      <c r="BG151" s="22" t="str">
        <f>IFERROR(('Activity data'!BG93*(1/Constants!$H$112))*ttokg*FracLEACH*MSLeachEF*NtoN2O*kgtoGg,"NO")</f>
        <v>NO</v>
      </c>
      <c r="BH151" s="22" t="str">
        <f>IFERROR(('Activity data'!BH93*(1/Constants!$H$112))*ttokg*FracLEACH*MSLeachEF*NtoN2O*kgtoGg,"NO")</f>
        <v>NO</v>
      </c>
      <c r="BI151" s="22" t="str">
        <f>IFERROR(('Activity data'!BI93*(1/Constants!$H$112))*ttokg*FracLEACH*MSLeachEF*NtoN2O*kgtoGg,"NO")</f>
        <v>NO</v>
      </c>
      <c r="BJ151" s="22" t="str">
        <f>IFERROR(('Activity data'!BJ93*(1/Constants!$H$112))*ttokg*FracLEACH*MSLeachEF*NtoN2O*kgtoGg,"NO")</f>
        <v>NO</v>
      </c>
      <c r="BK151" s="22" t="str">
        <f>IFERROR(('Activity data'!BK93*(1/Constants!$H$112))*ttokg*FracLEACH*MSLeachEF*NtoN2O*kgtoGg,"NO")</f>
        <v>NO</v>
      </c>
      <c r="BL151" s="22" t="str">
        <f>IFERROR(('Activity data'!BL93*(1/Constants!$H$112))*ttokg*FracLEACH*MSLeachEF*NtoN2O*kgtoGg,"NO")</f>
        <v>NO</v>
      </c>
      <c r="BM151" s="22" t="str">
        <f>IFERROR(('Activity data'!BM93*(1/Constants!$H$112))*ttokg*FracLEACH*MSLeachEF*NtoN2O*kgtoGg,"NO")</f>
        <v>NO</v>
      </c>
      <c r="BN151" s="22" t="str">
        <f>IFERROR(('Activity data'!BN93*(1/Constants!$H$112))*ttokg*FracLEACH*MSLeachEF*NtoN2O*kgtoGg,"NO")</f>
        <v>NO</v>
      </c>
      <c r="BO151" s="22" t="str">
        <f>IFERROR(('Activity data'!BO93*(1/Constants!$H$112))*ttokg*FracLEACH*MSLeachEF*NtoN2O*kgtoGg,"NO")</f>
        <v>NO</v>
      </c>
      <c r="BP151" s="22" t="str">
        <f>IFERROR(('Activity data'!BP93*(1/Constants!$H$112))*ttokg*FracLEACH*MSLeachEF*NtoN2O*kgtoGg,"NO")</f>
        <v>NO</v>
      </c>
    </row>
    <row r="152" spans="1:68" x14ac:dyDescent="0.25">
      <c r="A152" t="str">
        <f t="shared" si="58"/>
        <v>3C Aggregated and non-CO2 emissions on land</v>
      </c>
      <c r="B152" t="str">
        <f t="shared" si="59"/>
        <v>3C5 Indirect N2O from managed soils (N2O)</v>
      </c>
      <c r="C152" t="str">
        <f t="shared" si="54"/>
        <v>Leaching/runoff</v>
      </c>
      <c r="D152" t="str">
        <f>" - FSOM - "&amp;'Activity data'!D94</f>
        <v xml:space="preserve"> - FSOM - Land converted to wetland</v>
      </c>
      <c r="E152" t="str">
        <f t="shared" si="60"/>
        <v>Leaching/runoff - FSOM - Land converted to wetland</v>
      </c>
      <c r="F152" t="str">
        <f t="shared" si="47"/>
        <v>N2O</v>
      </c>
      <c r="G152" t="str">
        <f t="shared" si="48"/>
        <v>Gg N2O</v>
      </c>
      <c r="H152" s="22" t="str">
        <f>IFERROR(('Activity data'!H94*(1/Constants!$H$112))*ttokg*FracLEACH*MSLeachEF*NtoN2O*kgtoGg,"NO")</f>
        <v>NO</v>
      </c>
      <c r="I152" s="22" t="str">
        <f>IFERROR(('Activity data'!I94*(1/Constants!$H$112))*ttokg*FracLEACH*MSLeachEF*NtoN2O*kgtoGg,"NO")</f>
        <v>NO</v>
      </c>
      <c r="J152" s="22" t="str">
        <f>IFERROR(('Activity data'!J94*(1/Constants!$H$112))*ttokg*FracLEACH*MSLeachEF*NtoN2O*kgtoGg,"NO")</f>
        <v>NO</v>
      </c>
      <c r="K152" s="22" t="str">
        <f>IFERROR(('Activity data'!K94*(1/Constants!$H$112))*ttokg*FracLEACH*MSLeachEF*NtoN2O*kgtoGg,"NO")</f>
        <v>NO</v>
      </c>
      <c r="L152" s="22" t="str">
        <f>IFERROR(('Activity data'!L94*(1/Constants!$H$112))*ttokg*FracLEACH*MSLeachEF*NtoN2O*kgtoGg,"NO")</f>
        <v>NO</v>
      </c>
      <c r="M152" s="22" t="str">
        <f>IFERROR(('Activity data'!M94*(1/Constants!$H$112))*ttokg*FracLEACH*MSLeachEF*NtoN2O*kgtoGg,"NO")</f>
        <v>NO</v>
      </c>
      <c r="N152" s="22" t="str">
        <f>IFERROR(('Activity data'!N94*(1/Constants!$H$112))*ttokg*FracLEACH*MSLeachEF*NtoN2O*kgtoGg,"NO")</f>
        <v>NO</v>
      </c>
      <c r="O152" s="22" t="str">
        <f>IFERROR(('Activity data'!O94*(1/Constants!$H$112))*ttokg*FracLEACH*MSLeachEF*NtoN2O*kgtoGg,"NO")</f>
        <v>NO</v>
      </c>
      <c r="P152" s="22" t="str">
        <f>IFERROR(('Activity data'!P94*(1/Constants!$H$112))*ttokg*FracLEACH*MSLeachEF*NtoN2O*kgtoGg,"NO")</f>
        <v>NO</v>
      </c>
      <c r="Q152" s="22" t="str">
        <f>IFERROR(('Activity data'!Q94*(1/Constants!$H$112))*ttokg*FracLEACH*MSLeachEF*NtoN2O*kgtoGg,"NO")</f>
        <v>NO</v>
      </c>
      <c r="R152" s="22" t="str">
        <f>IFERROR(('Activity data'!R94*(1/Constants!$H$112))*ttokg*FracLEACH*MSLeachEF*NtoN2O*kgtoGg,"NO")</f>
        <v>NO</v>
      </c>
      <c r="S152" s="22" t="str">
        <f>IFERROR(('Activity data'!S94*(1/Constants!$H$112))*ttokg*FracLEACH*MSLeachEF*NtoN2O*kgtoGg,"NO")</f>
        <v>NO</v>
      </c>
      <c r="T152" s="22" t="str">
        <f>IFERROR(('Activity data'!T94*(1/Constants!$H$112))*ttokg*FracLEACH*MSLeachEF*NtoN2O*kgtoGg,"NO")</f>
        <v>NO</v>
      </c>
      <c r="U152" s="22" t="str">
        <f>IFERROR(('Activity data'!U94*(1/Constants!$H$112))*ttokg*FracLEACH*MSLeachEF*NtoN2O*kgtoGg,"NO")</f>
        <v>NO</v>
      </c>
      <c r="V152" s="22" t="str">
        <f>IFERROR(('Activity data'!V94*(1/Constants!$H$112))*ttokg*FracLEACH*MSLeachEF*NtoN2O*kgtoGg,"NO")</f>
        <v>NO</v>
      </c>
      <c r="W152" s="22" t="str">
        <f>IFERROR(('Activity data'!W94*(1/Constants!$H$112))*ttokg*FracLEACH*MSLeachEF*NtoN2O*kgtoGg,"NO")</f>
        <v>NO</v>
      </c>
      <c r="X152" s="22" t="str">
        <f>IFERROR(('Activity data'!X94*(1/Constants!$H$112))*ttokg*FracLEACH*MSLeachEF*NtoN2O*kgtoGg,"NO")</f>
        <v>NO</v>
      </c>
      <c r="Y152" s="22" t="str">
        <f>IFERROR(('Activity data'!Y94*(1/Constants!$H$112))*ttokg*FracLEACH*MSLeachEF*NtoN2O*kgtoGg,"NO")</f>
        <v>NO</v>
      </c>
      <c r="Z152" s="22" t="str">
        <f>IFERROR(('Activity data'!Z94*(1/Constants!$H$112))*ttokg*FracLEACH*MSLeachEF*NtoN2O*kgtoGg,"NO")</f>
        <v>NO</v>
      </c>
      <c r="AA152" s="22" t="str">
        <f>IFERROR(('Activity data'!AA94*(1/Constants!$H$112))*ttokg*FracLEACH*MSLeachEF*NtoN2O*kgtoGg,"NO")</f>
        <v>NO</v>
      </c>
      <c r="AB152" s="22" t="str">
        <f>IFERROR(('Activity data'!AB94*(1/Constants!$H$112))*ttokg*FracLEACH*MSLeachEF*NtoN2O*kgtoGg,"NO")</f>
        <v>NO</v>
      </c>
      <c r="AC152" s="22" t="str">
        <f>IFERROR(('Activity data'!AC94*(1/Constants!$H$112))*ttokg*FracLEACH*MSLeachEF*NtoN2O*kgtoGg,"NO")</f>
        <v>NO</v>
      </c>
      <c r="AD152" s="22" t="str">
        <f>IFERROR(('Activity data'!AD94*(1/Constants!$H$112))*ttokg*FracLEACH*MSLeachEF*NtoN2O*kgtoGg,"NO")</f>
        <v>NO</v>
      </c>
      <c r="AE152" s="22" t="str">
        <f>IFERROR(('Activity data'!AE94*(1/Constants!$H$112))*ttokg*FracLEACH*MSLeachEF*NtoN2O*kgtoGg,"NO")</f>
        <v>NO</v>
      </c>
      <c r="AF152" s="22" t="str">
        <f>IFERROR(('Activity data'!AF94*(1/Constants!$H$112))*ttokg*FracLEACH*MSLeachEF*NtoN2O*kgtoGg,"NO")</f>
        <v>NO</v>
      </c>
      <c r="AG152" s="22" t="str">
        <f>IFERROR(('Activity data'!AG94*(1/Constants!$H$112))*ttokg*FracLEACH*MSLeachEF*NtoN2O*kgtoGg,"NO")</f>
        <v>NO</v>
      </c>
      <c r="AH152" s="22" t="str">
        <f>IFERROR(('Activity data'!AH94*(1/Constants!$H$112))*ttokg*FracLEACH*MSLeachEF*NtoN2O*kgtoGg,"NO")</f>
        <v>NO</v>
      </c>
      <c r="AI152" s="22" t="str">
        <f>IFERROR(('Activity data'!AI94*(1/Constants!$H$112))*ttokg*FracLEACH*MSLeachEF*NtoN2O*kgtoGg,"NO")</f>
        <v>NO</v>
      </c>
      <c r="AJ152" s="22" t="str">
        <f>IFERROR(('Activity data'!AJ94*(1/Constants!$H$112))*ttokg*FracLEACH*MSLeachEF*NtoN2O*kgtoGg,"NO")</f>
        <v>NO</v>
      </c>
      <c r="AK152" s="22" t="str">
        <f>IFERROR(('Activity data'!AK94*(1/Constants!$H$112))*ttokg*FracLEACH*MSLeachEF*NtoN2O*kgtoGg,"NO")</f>
        <v>NO</v>
      </c>
      <c r="AL152" s="22" t="str">
        <f>IFERROR(('Activity data'!AL94*(1/Constants!$H$112))*ttokg*FracLEACH*MSLeachEF*NtoN2O*kgtoGg,"NO")</f>
        <v>NO</v>
      </c>
      <c r="AM152" s="22" t="str">
        <f>IFERROR(('Activity data'!AM94*(1/Constants!$H$112))*ttokg*FracLEACH*MSLeachEF*NtoN2O*kgtoGg,"NO")</f>
        <v>NO</v>
      </c>
      <c r="AN152" s="22" t="str">
        <f>IFERROR(('Activity data'!AN94*(1/Constants!$H$112))*ttokg*FracLEACH*MSLeachEF*NtoN2O*kgtoGg,"NO")</f>
        <v>NO</v>
      </c>
      <c r="AO152" s="22" t="str">
        <f>IFERROR(('Activity data'!AO94*(1/Constants!$H$112))*ttokg*FracLEACH*MSLeachEF*NtoN2O*kgtoGg,"NO")</f>
        <v>NO</v>
      </c>
      <c r="AP152" s="22" t="str">
        <f>IFERROR(('Activity data'!AP94*(1/Constants!$H$112))*ttokg*FracLEACH*MSLeachEF*NtoN2O*kgtoGg,"NO")</f>
        <v>NO</v>
      </c>
      <c r="AQ152" s="22" t="str">
        <f>IFERROR(('Activity data'!AQ94*(1/Constants!$H$112))*ttokg*FracLEACH*MSLeachEF*NtoN2O*kgtoGg,"NO")</f>
        <v>NO</v>
      </c>
      <c r="AR152" s="22" t="str">
        <f>IFERROR(('Activity data'!AR94*(1/Constants!$H$112))*ttokg*FracLEACH*MSLeachEF*NtoN2O*kgtoGg,"NO")</f>
        <v>NO</v>
      </c>
      <c r="AS152" s="22" t="str">
        <f>IFERROR(('Activity data'!AS94*(1/Constants!$H$112))*ttokg*FracLEACH*MSLeachEF*NtoN2O*kgtoGg,"NO")</f>
        <v>NO</v>
      </c>
      <c r="AT152" s="22" t="str">
        <f>IFERROR(('Activity data'!AT94*(1/Constants!$H$112))*ttokg*FracLEACH*MSLeachEF*NtoN2O*kgtoGg,"NO")</f>
        <v>NO</v>
      </c>
      <c r="AU152" s="22" t="str">
        <f>IFERROR(('Activity data'!AU94*(1/Constants!$H$112))*ttokg*FracLEACH*MSLeachEF*NtoN2O*kgtoGg,"NO")</f>
        <v>NO</v>
      </c>
      <c r="AV152" s="22" t="str">
        <f>IFERROR(('Activity data'!AV94*(1/Constants!$H$112))*ttokg*FracLEACH*MSLeachEF*NtoN2O*kgtoGg,"NO")</f>
        <v>NO</v>
      </c>
      <c r="AW152" s="22" t="str">
        <f>IFERROR(('Activity data'!AW94*(1/Constants!$H$112))*ttokg*FracLEACH*MSLeachEF*NtoN2O*kgtoGg,"NO")</f>
        <v>NO</v>
      </c>
      <c r="AX152" s="22" t="str">
        <f>IFERROR(('Activity data'!AX94*(1/Constants!$H$112))*ttokg*FracLEACH*MSLeachEF*NtoN2O*kgtoGg,"NO")</f>
        <v>NO</v>
      </c>
      <c r="AY152" s="22" t="str">
        <f>IFERROR(('Activity data'!AY94*(1/Constants!$H$112))*ttokg*FracLEACH*MSLeachEF*NtoN2O*kgtoGg,"NO")</f>
        <v>NO</v>
      </c>
      <c r="AZ152" s="22" t="str">
        <f>IFERROR(('Activity data'!AZ94*(1/Constants!$H$112))*ttokg*FracLEACH*MSLeachEF*NtoN2O*kgtoGg,"NO")</f>
        <v>NO</v>
      </c>
      <c r="BA152" s="22" t="str">
        <f>IFERROR(('Activity data'!BA94*(1/Constants!$H$112))*ttokg*FracLEACH*MSLeachEF*NtoN2O*kgtoGg,"NO")</f>
        <v>NO</v>
      </c>
      <c r="BB152" s="22" t="str">
        <f>IFERROR(('Activity data'!BB94*(1/Constants!$H$112))*ttokg*FracLEACH*MSLeachEF*NtoN2O*kgtoGg,"NO")</f>
        <v>NO</v>
      </c>
      <c r="BC152" s="22" t="str">
        <f>IFERROR(('Activity data'!BC94*(1/Constants!$H$112))*ttokg*FracLEACH*MSLeachEF*NtoN2O*kgtoGg,"NO")</f>
        <v>NO</v>
      </c>
      <c r="BD152" s="22" t="str">
        <f>IFERROR(('Activity data'!BD94*(1/Constants!$H$112))*ttokg*FracLEACH*MSLeachEF*NtoN2O*kgtoGg,"NO")</f>
        <v>NO</v>
      </c>
      <c r="BE152" s="22" t="str">
        <f>IFERROR(('Activity data'!BE94*(1/Constants!$H$112))*ttokg*FracLEACH*MSLeachEF*NtoN2O*kgtoGg,"NO")</f>
        <v>NO</v>
      </c>
      <c r="BF152" s="22" t="str">
        <f>IFERROR(('Activity data'!BF94*(1/Constants!$H$112))*ttokg*FracLEACH*MSLeachEF*NtoN2O*kgtoGg,"NO")</f>
        <v>NO</v>
      </c>
      <c r="BG152" s="22" t="str">
        <f>IFERROR(('Activity data'!BG94*(1/Constants!$H$112))*ttokg*FracLEACH*MSLeachEF*NtoN2O*kgtoGg,"NO")</f>
        <v>NO</v>
      </c>
      <c r="BH152" s="22" t="str">
        <f>IFERROR(('Activity data'!BH94*(1/Constants!$H$112))*ttokg*FracLEACH*MSLeachEF*NtoN2O*kgtoGg,"NO")</f>
        <v>NO</v>
      </c>
      <c r="BI152" s="22" t="str">
        <f>IFERROR(('Activity data'!BI94*(1/Constants!$H$112))*ttokg*FracLEACH*MSLeachEF*NtoN2O*kgtoGg,"NO")</f>
        <v>NO</v>
      </c>
      <c r="BJ152" s="22" t="str">
        <f>IFERROR(('Activity data'!BJ94*(1/Constants!$H$112))*ttokg*FracLEACH*MSLeachEF*NtoN2O*kgtoGg,"NO")</f>
        <v>NO</v>
      </c>
      <c r="BK152" s="22" t="str">
        <f>IFERROR(('Activity data'!BK94*(1/Constants!$H$112))*ttokg*FracLEACH*MSLeachEF*NtoN2O*kgtoGg,"NO")</f>
        <v>NO</v>
      </c>
      <c r="BL152" s="22" t="str">
        <f>IFERROR(('Activity data'!BL94*(1/Constants!$H$112))*ttokg*FracLEACH*MSLeachEF*NtoN2O*kgtoGg,"NO")</f>
        <v>NO</v>
      </c>
      <c r="BM152" s="22" t="str">
        <f>IFERROR(('Activity data'!BM94*(1/Constants!$H$112))*ttokg*FracLEACH*MSLeachEF*NtoN2O*kgtoGg,"NO")</f>
        <v>NO</v>
      </c>
      <c r="BN152" s="22" t="str">
        <f>IFERROR(('Activity data'!BN94*(1/Constants!$H$112))*ttokg*FracLEACH*MSLeachEF*NtoN2O*kgtoGg,"NO")</f>
        <v>NO</v>
      </c>
      <c r="BO152" s="22" t="str">
        <f>IFERROR(('Activity data'!BO94*(1/Constants!$H$112))*ttokg*FracLEACH*MSLeachEF*NtoN2O*kgtoGg,"NO")</f>
        <v>NO</v>
      </c>
      <c r="BP152" s="22" t="str">
        <f>IFERROR(('Activity data'!BP94*(1/Constants!$H$112))*ttokg*FracLEACH*MSLeachEF*NtoN2O*kgtoGg,"NO")</f>
        <v>NO</v>
      </c>
    </row>
    <row r="153" spans="1:68" x14ac:dyDescent="0.25">
      <c r="A153" t="str">
        <f t="shared" si="58"/>
        <v>3C Aggregated and non-CO2 emissions on land</v>
      </c>
      <c r="B153" t="str">
        <f t="shared" si="59"/>
        <v>3C5 Indirect N2O from managed soils (N2O)</v>
      </c>
      <c r="C153" t="str">
        <f t="shared" si="54"/>
        <v>Leaching/runoff</v>
      </c>
      <c r="D153" t="str">
        <f>" - FSOM - "&amp;'Activity data'!D95</f>
        <v xml:space="preserve"> - FSOM - Settlements remaining settlements</v>
      </c>
      <c r="E153" t="str">
        <f t="shared" si="60"/>
        <v>Leaching/runoff - FSOM - Settlements remaining settlements</v>
      </c>
      <c r="F153" t="str">
        <f t="shared" si="47"/>
        <v>N2O</v>
      </c>
      <c r="G153" t="str">
        <f t="shared" si="48"/>
        <v>Gg N2O</v>
      </c>
      <c r="H153" s="22" t="str">
        <f>IFERROR(('Activity data'!H95*(1/Constants!$H$112))*ttokg*FracLEACH*MSLeachEF*NtoN2O*kgtoGg,"NO")</f>
        <v>NO</v>
      </c>
      <c r="I153" s="22">
        <f>IFERROR(('Activity data'!I95*(1/Constants!$H$112))*ttokg*FracLEACH*MSLeachEF*NtoN2O*kgtoGg,"NO")</f>
        <v>1.4734408870976798E-5</v>
      </c>
      <c r="J153" s="22">
        <f>IFERROR(('Activity data'!J95*(1/Constants!$H$112))*ttokg*FracLEACH*MSLeachEF*NtoN2O*kgtoGg,"NO")</f>
        <v>1.4734408870976798E-5</v>
      </c>
      <c r="K153" s="22">
        <f>IFERROR(('Activity data'!K95*(1/Constants!$H$112))*ttokg*FracLEACH*MSLeachEF*NtoN2O*kgtoGg,"NO")</f>
        <v>1.4734408870976798E-5</v>
      </c>
      <c r="L153" s="22">
        <f>IFERROR(('Activity data'!L95*(1/Constants!$H$112))*ttokg*FracLEACH*MSLeachEF*NtoN2O*kgtoGg,"NO")</f>
        <v>1.4734408870976798E-5</v>
      </c>
      <c r="M153" s="22">
        <f>IFERROR(('Activity data'!M95*(1/Constants!$H$112))*ttokg*FracLEACH*MSLeachEF*NtoN2O*kgtoGg,"NO")</f>
        <v>1.4734408870976798E-5</v>
      </c>
      <c r="N153" s="22">
        <f>IFERROR(('Activity data'!N95*(1/Constants!$H$112))*ttokg*FracLEACH*MSLeachEF*NtoN2O*kgtoGg,"NO")</f>
        <v>1.4734408870976798E-5</v>
      </c>
      <c r="O153" s="22">
        <f>IFERROR(('Activity data'!O95*(1/Constants!$H$112))*ttokg*FracLEACH*MSLeachEF*NtoN2O*kgtoGg,"NO")</f>
        <v>1.4734408870976798E-5</v>
      </c>
      <c r="P153" s="22">
        <f>IFERROR(('Activity data'!P95*(1/Constants!$H$112))*ttokg*FracLEACH*MSLeachEF*NtoN2O*kgtoGg,"NO")</f>
        <v>1.4734408870976798E-5</v>
      </c>
      <c r="Q153" s="22">
        <f>IFERROR(('Activity data'!Q95*(1/Constants!$H$112))*ttokg*FracLEACH*MSLeachEF*NtoN2O*kgtoGg,"NO")</f>
        <v>1.4734408870976798E-5</v>
      </c>
      <c r="R153" s="22">
        <f>IFERROR(('Activity data'!R95*(1/Constants!$H$112))*ttokg*FracLEACH*MSLeachEF*NtoN2O*kgtoGg,"NO")</f>
        <v>1.4734408870976798E-5</v>
      </c>
      <c r="S153" s="22">
        <f>IFERROR(('Activity data'!S95*(1/Constants!$H$112))*ttokg*FracLEACH*MSLeachEF*NtoN2O*kgtoGg,"NO")</f>
        <v>1.4734408870976798E-5</v>
      </c>
      <c r="T153" s="22">
        <f>IFERROR(('Activity data'!T95*(1/Constants!$H$112))*ttokg*FracLEACH*MSLeachEF*NtoN2O*kgtoGg,"NO")</f>
        <v>1.4734408870976798E-5</v>
      </c>
      <c r="U153" s="22">
        <f>IFERROR(('Activity data'!U95*(1/Constants!$H$112))*ttokg*FracLEACH*MSLeachEF*NtoN2O*kgtoGg,"NO")</f>
        <v>1.4734408870976798E-5</v>
      </c>
      <c r="V153" s="22">
        <f>IFERROR(('Activity data'!V95*(1/Constants!$H$112))*ttokg*FracLEACH*MSLeachEF*NtoN2O*kgtoGg,"NO")</f>
        <v>1.4734408870976798E-5</v>
      </c>
      <c r="W153" s="22">
        <f>IFERROR(('Activity data'!W95*(1/Constants!$H$112))*ttokg*FracLEACH*MSLeachEF*NtoN2O*kgtoGg,"NO")</f>
        <v>1.4734408870976798E-5</v>
      </c>
      <c r="X153" s="22">
        <f>IFERROR(('Activity data'!X95*(1/Constants!$H$112))*ttokg*FracLEACH*MSLeachEF*NtoN2O*kgtoGg,"NO")</f>
        <v>1.4734408870976798E-5</v>
      </c>
      <c r="Y153" s="22">
        <f>IFERROR(('Activity data'!Y95*(1/Constants!$H$112))*ttokg*FracLEACH*MSLeachEF*NtoN2O*kgtoGg,"NO")</f>
        <v>1.4734408870976798E-5</v>
      </c>
      <c r="Z153" s="22">
        <f>IFERROR(('Activity data'!Z95*(1/Constants!$H$112))*ttokg*FracLEACH*MSLeachEF*NtoN2O*kgtoGg,"NO")</f>
        <v>1.4734408870976798E-5</v>
      </c>
      <c r="AA153" s="22">
        <f>IFERROR(('Activity data'!AA95*(1/Constants!$H$112))*ttokg*FracLEACH*MSLeachEF*NtoN2O*kgtoGg,"NO")</f>
        <v>1.4734408870976798E-5</v>
      </c>
      <c r="AB153" s="22">
        <f>IFERROR(('Activity data'!AB95*(1/Constants!$H$112))*ttokg*FracLEACH*MSLeachEF*NtoN2O*kgtoGg,"NO")</f>
        <v>1.4734408870976798E-5</v>
      </c>
      <c r="AC153" s="22">
        <f>IFERROR(('Activity data'!AC95*(1/Constants!$H$112))*ttokg*FracLEACH*MSLeachEF*NtoN2O*kgtoGg,"NO")</f>
        <v>1.4734408870976798E-5</v>
      </c>
      <c r="AD153" s="22">
        <f>IFERROR(('Activity data'!AD95*(1/Constants!$H$112))*ttokg*FracLEACH*MSLeachEF*NtoN2O*kgtoGg,"NO")</f>
        <v>2.7260381750280425E-5</v>
      </c>
      <c r="AE153" s="22">
        <f>IFERROR(('Activity data'!AE95*(1/Constants!$H$112))*ttokg*FracLEACH*MSLeachEF*NtoN2O*kgtoGg,"NO")</f>
        <v>2.7260381750280425E-5</v>
      </c>
      <c r="AF153" s="22">
        <f>IFERROR(('Activity data'!AF95*(1/Constants!$H$112))*ttokg*FracLEACH*MSLeachEF*NtoN2O*kgtoGg,"NO")</f>
        <v>2.7260381750280425E-5</v>
      </c>
      <c r="AG153" s="22">
        <f>IFERROR(('Activity data'!AG95*(1/Constants!$H$112))*ttokg*FracLEACH*MSLeachEF*NtoN2O*kgtoGg,"NO")</f>
        <v>2.7260381750280425E-5</v>
      </c>
      <c r="AH153" s="22">
        <f>IFERROR(('Activity data'!AH95*(1/Constants!$H$112))*ttokg*FracLEACH*MSLeachEF*NtoN2O*kgtoGg,"NO")</f>
        <v>2.7260381750280425E-5</v>
      </c>
      <c r="AI153" s="22">
        <f>IFERROR(('Activity data'!AI95*(1/Constants!$H$112))*ttokg*FracLEACH*MSLeachEF*NtoN2O*kgtoGg,"NO")</f>
        <v>2.7260381750280425E-5</v>
      </c>
      <c r="AJ153" s="22">
        <f>IFERROR(('Activity data'!AJ95*(1/Constants!$H$112))*ttokg*FracLEACH*MSLeachEF*NtoN2O*kgtoGg,"NO")</f>
        <v>2.7260381750280425E-5</v>
      </c>
      <c r="AK153" s="22">
        <f>IFERROR(('Activity data'!AK95*(1/Constants!$H$112))*ttokg*FracLEACH*MSLeachEF*NtoN2O*kgtoGg,"NO")</f>
        <v>2.7260381750280425E-5</v>
      </c>
      <c r="AL153" s="22">
        <f>IFERROR(('Activity data'!AL95*(1/Constants!$H$112))*ttokg*FracLEACH*MSLeachEF*NtoN2O*kgtoGg,"NO")</f>
        <v>2.7260381750280425E-5</v>
      </c>
      <c r="AM153" s="22">
        <f>IFERROR(('Activity data'!AM95*(1/Constants!$H$112))*ttokg*FracLEACH*MSLeachEF*NtoN2O*kgtoGg,"NO")</f>
        <v>2.7260381750280425E-5</v>
      </c>
      <c r="AN153" s="22">
        <f>IFERROR(('Activity data'!AN95*(1/Constants!$H$112))*ttokg*FracLEACH*MSLeachEF*NtoN2O*kgtoGg,"NO")</f>
        <v>2.7260381750280425E-5</v>
      </c>
      <c r="AO153" s="22">
        <f>IFERROR(('Activity data'!AO95*(1/Constants!$H$112))*ttokg*FracLEACH*MSLeachEF*NtoN2O*kgtoGg,"NO")</f>
        <v>2.7260381750280425E-5</v>
      </c>
      <c r="AP153" s="22">
        <f>IFERROR(('Activity data'!AP95*(1/Constants!$H$112))*ttokg*FracLEACH*MSLeachEF*NtoN2O*kgtoGg,"NO")</f>
        <v>2.7260381750280425E-5</v>
      </c>
      <c r="AQ153" s="22">
        <f>IFERROR(('Activity data'!AQ95*(1/Constants!$H$112))*ttokg*FracLEACH*MSLeachEF*NtoN2O*kgtoGg,"NO")</f>
        <v>2.7260381750280425E-5</v>
      </c>
      <c r="AR153" s="22">
        <f>IFERROR(('Activity data'!AR95*(1/Constants!$H$112))*ttokg*FracLEACH*MSLeachEF*NtoN2O*kgtoGg,"NO")</f>
        <v>2.7260381750280425E-5</v>
      </c>
      <c r="AS153" s="22">
        <f>IFERROR(('Activity data'!AS95*(1/Constants!$H$112))*ttokg*FracLEACH*MSLeachEF*NtoN2O*kgtoGg,"NO")</f>
        <v>2.7260381750280425E-5</v>
      </c>
      <c r="AT153" s="22">
        <f>IFERROR(('Activity data'!AT95*(1/Constants!$H$112))*ttokg*FracLEACH*MSLeachEF*NtoN2O*kgtoGg,"NO")</f>
        <v>2.7260381750280425E-5</v>
      </c>
      <c r="AU153" s="22">
        <f>IFERROR(('Activity data'!AU95*(1/Constants!$H$112))*ttokg*FracLEACH*MSLeachEF*NtoN2O*kgtoGg,"NO")</f>
        <v>2.7260381750280425E-5</v>
      </c>
      <c r="AV153" s="22">
        <f>IFERROR(('Activity data'!AV95*(1/Constants!$H$112))*ttokg*FracLEACH*MSLeachEF*NtoN2O*kgtoGg,"NO")</f>
        <v>2.7260381750280425E-5</v>
      </c>
      <c r="AW153" s="22">
        <f>IFERROR(('Activity data'!AW95*(1/Constants!$H$112))*ttokg*FracLEACH*MSLeachEF*NtoN2O*kgtoGg,"NO")</f>
        <v>2.7260381750280425E-5</v>
      </c>
      <c r="AX153" s="22">
        <f>IFERROR(('Activity data'!AX95*(1/Constants!$H$112))*ttokg*FracLEACH*MSLeachEF*NtoN2O*kgtoGg,"NO")</f>
        <v>2.7260381750280425E-5</v>
      </c>
      <c r="AY153" s="22">
        <f>IFERROR(('Activity data'!AY95*(1/Constants!$H$112))*ttokg*FracLEACH*MSLeachEF*NtoN2O*kgtoGg,"NO")</f>
        <v>2.7260381750280425E-5</v>
      </c>
      <c r="AZ153" s="22">
        <f>IFERROR(('Activity data'!AZ95*(1/Constants!$H$112))*ttokg*FracLEACH*MSLeachEF*NtoN2O*kgtoGg,"NO")</f>
        <v>2.7260381750280425E-5</v>
      </c>
      <c r="BA153" s="22">
        <f>IFERROR(('Activity data'!BA95*(1/Constants!$H$112))*ttokg*FracLEACH*MSLeachEF*NtoN2O*kgtoGg,"NO")</f>
        <v>2.7260381750280425E-5</v>
      </c>
      <c r="BB153" s="22">
        <f>IFERROR(('Activity data'!BB95*(1/Constants!$H$112))*ttokg*FracLEACH*MSLeachEF*NtoN2O*kgtoGg,"NO")</f>
        <v>2.7260381750280425E-5</v>
      </c>
      <c r="BC153" s="22">
        <f>IFERROR(('Activity data'!BC95*(1/Constants!$H$112))*ttokg*FracLEACH*MSLeachEF*NtoN2O*kgtoGg,"NO")</f>
        <v>2.7260381750280425E-5</v>
      </c>
      <c r="BD153" s="22">
        <f>IFERROR(('Activity data'!BD95*(1/Constants!$H$112))*ttokg*FracLEACH*MSLeachEF*NtoN2O*kgtoGg,"NO")</f>
        <v>2.7260381750280425E-5</v>
      </c>
      <c r="BE153" s="22">
        <f>IFERROR(('Activity data'!BE95*(1/Constants!$H$112))*ttokg*FracLEACH*MSLeachEF*NtoN2O*kgtoGg,"NO")</f>
        <v>2.7260381750280425E-5</v>
      </c>
      <c r="BF153" s="22">
        <f>IFERROR(('Activity data'!BF95*(1/Constants!$H$112))*ttokg*FracLEACH*MSLeachEF*NtoN2O*kgtoGg,"NO")</f>
        <v>2.7260381750280425E-5</v>
      </c>
      <c r="BG153" s="22">
        <f>IFERROR(('Activity data'!BG95*(1/Constants!$H$112))*ttokg*FracLEACH*MSLeachEF*NtoN2O*kgtoGg,"NO")</f>
        <v>2.7260381750280425E-5</v>
      </c>
      <c r="BH153" s="22">
        <f>IFERROR(('Activity data'!BH95*(1/Constants!$H$112))*ttokg*FracLEACH*MSLeachEF*NtoN2O*kgtoGg,"NO")</f>
        <v>2.7260381750280425E-5</v>
      </c>
      <c r="BI153" s="22">
        <f>IFERROR(('Activity data'!BI95*(1/Constants!$H$112))*ttokg*FracLEACH*MSLeachEF*NtoN2O*kgtoGg,"NO")</f>
        <v>2.7260381750280425E-5</v>
      </c>
      <c r="BJ153" s="22">
        <f>IFERROR(('Activity data'!BJ95*(1/Constants!$H$112))*ttokg*FracLEACH*MSLeachEF*NtoN2O*kgtoGg,"NO")</f>
        <v>2.7260381750280425E-5</v>
      </c>
      <c r="BK153" s="22">
        <f>IFERROR(('Activity data'!BK95*(1/Constants!$H$112))*ttokg*FracLEACH*MSLeachEF*NtoN2O*kgtoGg,"NO")</f>
        <v>2.7260381750280425E-5</v>
      </c>
      <c r="BL153" s="22">
        <f>IFERROR(('Activity data'!BL95*(1/Constants!$H$112))*ttokg*FracLEACH*MSLeachEF*NtoN2O*kgtoGg,"NO")</f>
        <v>2.7260381750280425E-5</v>
      </c>
      <c r="BM153" s="22">
        <f>IFERROR(('Activity data'!BM95*(1/Constants!$H$112))*ttokg*FracLEACH*MSLeachEF*NtoN2O*kgtoGg,"NO")</f>
        <v>2.7260381750280425E-5</v>
      </c>
      <c r="BN153" s="22">
        <f>IFERROR(('Activity data'!BN95*(1/Constants!$H$112))*ttokg*FracLEACH*MSLeachEF*NtoN2O*kgtoGg,"NO")</f>
        <v>2.7260381750280425E-5</v>
      </c>
      <c r="BO153" s="22">
        <f>IFERROR(('Activity data'!BO95*(1/Constants!$H$112))*ttokg*FracLEACH*MSLeachEF*NtoN2O*kgtoGg,"NO")</f>
        <v>2.7260381750280425E-5</v>
      </c>
      <c r="BP153" s="22">
        <f>IFERROR(('Activity data'!BP95*(1/Constants!$H$112))*ttokg*FracLEACH*MSLeachEF*NtoN2O*kgtoGg,"NO")</f>
        <v>2.7260381750280425E-5</v>
      </c>
    </row>
    <row r="154" spans="1:68" x14ac:dyDescent="0.25">
      <c r="A154" t="str">
        <f t="shared" si="58"/>
        <v>3C Aggregated and non-CO2 emissions on land</v>
      </c>
      <c r="B154" t="str">
        <f t="shared" si="59"/>
        <v>3C5 Indirect N2O from managed soils (N2O)</v>
      </c>
      <c r="C154" t="str">
        <f t="shared" si="54"/>
        <v>Leaching/runoff</v>
      </c>
      <c r="D154" t="str">
        <f>" - FSOM - "&amp;'Activity data'!D96</f>
        <v xml:space="preserve"> - FSOM - Land converted to settlements</v>
      </c>
      <c r="E154" t="str">
        <f t="shared" si="60"/>
        <v>Leaching/runoff - FSOM - Land converted to settlements</v>
      </c>
      <c r="F154" t="str">
        <f t="shared" si="47"/>
        <v>N2O</v>
      </c>
      <c r="G154" t="str">
        <f t="shared" si="48"/>
        <v>Gg N2O</v>
      </c>
      <c r="H154" s="22">
        <f>IFERROR(('Activity data'!H96*(1/Constants!$H$112))*ttokg*FracLEACH*MSLeachEF*NtoN2O*kgtoGg,"NO")</f>
        <v>0</v>
      </c>
      <c r="I154" s="22">
        <f>IFERROR(('Activity data'!I96*(1/Constants!$H$112))*ttokg*FracLEACH*MSLeachEF*NtoN2O*kgtoGg,"NO")</f>
        <v>8.2952824923361885E-3</v>
      </c>
      <c r="J154" s="22">
        <f>IFERROR(('Activity data'!J96*(1/Constants!$H$112))*ttokg*FracLEACH*MSLeachEF*NtoN2O*kgtoGg,"NO")</f>
        <v>8.2952824923361885E-3</v>
      </c>
      <c r="K154" s="22">
        <f>IFERROR(('Activity data'!K96*(1/Constants!$H$112))*ttokg*FracLEACH*MSLeachEF*NtoN2O*kgtoGg,"NO")</f>
        <v>8.2952824923361885E-3</v>
      </c>
      <c r="L154" s="22">
        <f>IFERROR(('Activity data'!L96*(1/Constants!$H$112))*ttokg*FracLEACH*MSLeachEF*NtoN2O*kgtoGg,"NO")</f>
        <v>8.2952824923361885E-3</v>
      </c>
      <c r="M154" s="22">
        <f>IFERROR(('Activity data'!M96*(1/Constants!$H$112))*ttokg*FracLEACH*MSLeachEF*NtoN2O*kgtoGg,"NO")</f>
        <v>8.2952824923361885E-3</v>
      </c>
      <c r="N154" s="22">
        <f>IFERROR(('Activity data'!N96*(1/Constants!$H$112))*ttokg*FracLEACH*MSLeachEF*NtoN2O*kgtoGg,"NO")</f>
        <v>8.2952824923361885E-3</v>
      </c>
      <c r="O154" s="22">
        <f>IFERROR(('Activity data'!O96*(1/Constants!$H$112))*ttokg*FracLEACH*MSLeachEF*NtoN2O*kgtoGg,"NO")</f>
        <v>8.2952824923361885E-3</v>
      </c>
      <c r="P154" s="22">
        <f>IFERROR(('Activity data'!P96*(1/Constants!$H$112))*ttokg*FracLEACH*MSLeachEF*NtoN2O*kgtoGg,"NO")</f>
        <v>8.2952824923361885E-3</v>
      </c>
      <c r="Q154" s="22">
        <f>IFERROR(('Activity data'!Q96*(1/Constants!$H$112))*ttokg*FracLEACH*MSLeachEF*NtoN2O*kgtoGg,"NO")</f>
        <v>8.2952824923361885E-3</v>
      </c>
      <c r="R154" s="22">
        <f>IFERROR(('Activity data'!R96*(1/Constants!$H$112))*ttokg*FracLEACH*MSLeachEF*NtoN2O*kgtoGg,"NO")</f>
        <v>8.2952824923361885E-3</v>
      </c>
      <c r="S154" s="22">
        <f>IFERROR(('Activity data'!S96*(1/Constants!$H$112))*ttokg*FracLEACH*MSLeachEF*NtoN2O*kgtoGg,"NO")</f>
        <v>8.2952824923361885E-3</v>
      </c>
      <c r="T154" s="22">
        <f>IFERROR(('Activity data'!T96*(1/Constants!$H$112))*ttokg*FracLEACH*MSLeachEF*NtoN2O*kgtoGg,"NO")</f>
        <v>8.2952824923361885E-3</v>
      </c>
      <c r="U154" s="22">
        <f>IFERROR(('Activity data'!U96*(1/Constants!$H$112))*ttokg*FracLEACH*MSLeachEF*NtoN2O*kgtoGg,"NO")</f>
        <v>8.2952824923361885E-3</v>
      </c>
      <c r="V154" s="22">
        <f>IFERROR(('Activity data'!V96*(1/Constants!$H$112))*ttokg*FracLEACH*MSLeachEF*NtoN2O*kgtoGg,"NO")</f>
        <v>8.2952824923361885E-3</v>
      </c>
      <c r="W154" s="22">
        <f>IFERROR(('Activity data'!W96*(1/Constants!$H$112))*ttokg*FracLEACH*MSLeachEF*NtoN2O*kgtoGg,"NO")</f>
        <v>8.2952824923361885E-3</v>
      </c>
      <c r="X154" s="22">
        <f>IFERROR(('Activity data'!X96*(1/Constants!$H$112))*ttokg*FracLEACH*MSLeachEF*NtoN2O*kgtoGg,"NO")</f>
        <v>8.2952824923361885E-3</v>
      </c>
      <c r="Y154" s="22">
        <f>IFERROR(('Activity data'!Y96*(1/Constants!$H$112))*ttokg*FracLEACH*MSLeachEF*NtoN2O*kgtoGg,"NO")</f>
        <v>8.2952824923361885E-3</v>
      </c>
      <c r="Z154" s="22">
        <f>IFERROR(('Activity data'!Z96*(1/Constants!$H$112))*ttokg*FracLEACH*MSLeachEF*NtoN2O*kgtoGg,"NO")</f>
        <v>8.2952824923361885E-3</v>
      </c>
      <c r="AA154" s="22">
        <f>IFERROR(('Activity data'!AA96*(1/Constants!$H$112))*ttokg*FracLEACH*MSLeachEF*NtoN2O*kgtoGg,"NO")</f>
        <v>8.2952824923361885E-3</v>
      </c>
      <c r="AB154" s="22">
        <f>IFERROR(('Activity data'!AB96*(1/Constants!$H$112))*ttokg*FracLEACH*MSLeachEF*NtoN2O*kgtoGg,"NO")</f>
        <v>8.2952824923361885E-3</v>
      </c>
      <c r="AC154" s="22">
        <f>IFERROR(('Activity data'!AC96*(1/Constants!$H$112))*ttokg*FracLEACH*MSLeachEF*NtoN2O*kgtoGg,"NO")</f>
        <v>8.2952824923361885E-3</v>
      </c>
      <c r="AD154" s="22">
        <f>IFERROR(('Activity data'!AD96*(1/Constants!$H$112))*ttokg*FracLEACH*MSLeachEF*NtoN2O*kgtoGg,"NO")</f>
        <v>2.4770655550591862E-3</v>
      </c>
      <c r="AE154" s="22">
        <f>IFERROR(('Activity data'!AE96*(1/Constants!$H$112))*ttokg*FracLEACH*MSLeachEF*NtoN2O*kgtoGg,"NO")</f>
        <v>2.4770655550591862E-3</v>
      </c>
      <c r="AF154" s="22">
        <f>IFERROR(('Activity data'!AF96*(1/Constants!$H$112))*ttokg*FracLEACH*MSLeachEF*NtoN2O*kgtoGg,"NO")</f>
        <v>2.4770655550591862E-3</v>
      </c>
      <c r="AG154" s="22">
        <f>IFERROR(('Activity data'!AG96*(1/Constants!$H$112))*ttokg*FracLEACH*MSLeachEF*NtoN2O*kgtoGg,"NO")</f>
        <v>2.4770655550591862E-3</v>
      </c>
      <c r="AH154" s="22">
        <f>IFERROR(('Activity data'!AH96*(1/Constants!$H$112))*ttokg*FracLEACH*MSLeachEF*NtoN2O*kgtoGg,"NO")</f>
        <v>2.4770655550591862E-3</v>
      </c>
      <c r="AI154" s="22">
        <f>IFERROR(('Activity data'!AI96*(1/Constants!$H$112))*ttokg*FracLEACH*MSLeachEF*NtoN2O*kgtoGg,"NO")</f>
        <v>2.4770655550591862E-3</v>
      </c>
      <c r="AJ154" s="22">
        <f>IFERROR(('Activity data'!AJ96*(1/Constants!$H$112))*ttokg*FracLEACH*MSLeachEF*NtoN2O*kgtoGg,"NO")</f>
        <v>2.4770655550591862E-3</v>
      </c>
      <c r="AK154" s="22">
        <f>IFERROR(('Activity data'!AK96*(1/Constants!$H$112))*ttokg*FracLEACH*MSLeachEF*NtoN2O*kgtoGg,"NO")</f>
        <v>2.4770655550591862E-3</v>
      </c>
      <c r="AL154" s="22">
        <f>IFERROR(('Activity data'!AL96*(1/Constants!$H$112))*ttokg*FracLEACH*MSLeachEF*NtoN2O*kgtoGg,"NO")</f>
        <v>2.4770655550591862E-3</v>
      </c>
      <c r="AM154" s="22">
        <f>IFERROR(('Activity data'!AM96*(1/Constants!$H$112))*ttokg*FracLEACH*MSLeachEF*NtoN2O*kgtoGg,"NO")</f>
        <v>2.4770655550591862E-3</v>
      </c>
      <c r="AN154" s="22">
        <f>IFERROR(('Activity data'!AN96*(1/Constants!$H$112))*ttokg*FracLEACH*MSLeachEF*NtoN2O*kgtoGg,"NO")</f>
        <v>2.4770655550591862E-3</v>
      </c>
      <c r="AO154" s="22">
        <f>IFERROR(('Activity data'!AO96*(1/Constants!$H$112))*ttokg*FracLEACH*MSLeachEF*NtoN2O*kgtoGg,"NO")</f>
        <v>2.4770655550591862E-3</v>
      </c>
      <c r="AP154" s="22">
        <f>IFERROR(('Activity data'!AP96*(1/Constants!$H$112))*ttokg*FracLEACH*MSLeachEF*NtoN2O*kgtoGg,"NO")</f>
        <v>2.4770655550591862E-3</v>
      </c>
      <c r="AQ154" s="22">
        <f>IFERROR(('Activity data'!AQ96*(1/Constants!$H$112))*ttokg*FracLEACH*MSLeachEF*NtoN2O*kgtoGg,"NO")</f>
        <v>2.4770655550591862E-3</v>
      </c>
      <c r="AR154" s="22">
        <f>IFERROR(('Activity data'!AR96*(1/Constants!$H$112))*ttokg*FracLEACH*MSLeachEF*NtoN2O*kgtoGg,"NO")</f>
        <v>2.4770655550591862E-3</v>
      </c>
      <c r="AS154" s="22">
        <f>IFERROR(('Activity data'!AS96*(1/Constants!$H$112))*ttokg*FracLEACH*MSLeachEF*NtoN2O*kgtoGg,"NO")</f>
        <v>2.4770655550591862E-3</v>
      </c>
      <c r="AT154" s="22">
        <f>IFERROR(('Activity data'!AT96*(1/Constants!$H$112))*ttokg*FracLEACH*MSLeachEF*NtoN2O*kgtoGg,"NO")</f>
        <v>2.4770655550591862E-3</v>
      </c>
      <c r="AU154" s="22">
        <f>IFERROR(('Activity data'!AU96*(1/Constants!$H$112))*ttokg*FracLEACH*MSLeachEF*NtoN2O*kgtoGg,"NO")</f>
        <v>2.4770655550591862E-3</v>
      </c>
      <c r="AV154" s="22">
        <f>IFERROR(('Activity data'!AV96*(1/Constants!$H$112))*ttokg*FracLEACH*MSLeachEF*NtoN2O*kgtoGg,"NO")</f>
        <v>2.4770655550591862E-3</v>
      </c>
      <c r="AW154" s="22">
        <f>IFERROR(('Activity data'!AW96*(1/Constants!$H$112))*ttokg*FracLEACH*MSLeachEF*NtoN2O*kgtoGg,"NO")</f>
        <v>2.4770655550591862E-3</v>
      </c>
      <c r="AX154" s="22">
        <f>IFERROR(('Activity data'!AX96*(1/Constants!$H$112))*ttokg*FracLEACH*MSLeachEF*NtoN2O*kgtoGg,"NO")</f>
        <v>2.4770655550591862E-3</v>
      </c>
      <c r="AY154" s="22">
        <f>IFERROR(('Activity data'!AY96*(1/Constants!$H$112))*ttokg*FracLEACH*MSLeachEF*NtoN2O*kgtoGg,"NO")</f>
        <v>2.4770655550591862E-3</v>
      </c>
      <c r="AZ154" s="22">
        <f>IFERROR(('Activity data'!AZ96*(1/Constants!$H$112))*ttokg*FracLEACH*MSLeachEF*NtoN2O*kgtoGg,"NO")</f>
        <v>2.4770655550591862E-3</v>
      </c>
      <c r="BA154" s="22">
        <f>IFERROR(('Activity data'!BA96*(1/Constants!$H$112))*ttokg*FracLEACH*MSLeachEF*NtoN2O*kgtoGg,"NO")</f>
        <v>2.4770655550591862E-3</v>
      </c>
      <c r="BB154" s="22">
        <f>IFERROR(('Activity data'!BB96*(1/Constants!$H$112))*ttokg*FracLEACH*MSLeachEF*NtoN2O*kgtoGg,"NO")</f>
        <v>2.4770655550591862E-3</v>
      </c>
      <c r="BC154" s="22">
        <f>IFERROR(('Activity data'!BC96*(1/Constants!$H$112))*ttokg*FracLEACH*MSLeachEF*NtoN2O*kgtoGg,"NO")</f>
        <v>2.4770655550591862E-3</v>
      </c>
      <c r="BD154" s="22">
        <f>IFERROR(('Activity data'!BD96*(1/Constants!$H$112))*ttokg*FracLEACH*MSLeachEF*NtoN2O*kgtoGg,"NO")</f>
        <v>2.4770655550591862E-3</v>
      </c>
      <c r="BE154" s="22">
        <f>IFERROR(('Activity data'!BE96*(1/Constants!$H$112))*ttokg*FracLEACH*MSLeachEF*NtoN2O*kgtoGg,"NO")</f>
        <v>2.4770655550591862E-3</v>
      </c>
      <c r="BF154" s="22">
        <f>IFERROR(('Activity data'!BF96*(1/Constants!$H$112))*ttokg*FracLEACH*MSLeachEF*NtoN2O*kgtoGg,"NO")</f>
        <v>2.4770655550591862E-3</v>
      </c>
      <c r="BG154" s="22">
        <f>IFERROR(('Activity data'!BG96*(1/Constants!$H$112))*ttokg*FracLEACH*MSLeachEF*NtoN2O*kgtoGg,"NO")</f>
        <v>2.4770655550591862E-3</v>
      </c>
      <c r="BH154" s="22">
        <f>IFERROR(('Activity data'!BH96*(1/Constants!$H$112))*ttokg*FracLEACH*MSLeachEF*NtoN2O*kgtoGg,"NO")</f>
        <v>2.4770655550591862E-3</v>
      </c>
      <c r="BI154" s="22">
        <f>IFERROR(('Activity data'!BI96*(1/Constants!$H$112))*ttokg*FracLEACH*MSLeachEF*NtoN2O*kgtoGg,"NO")</f>
        <v>2.4770655550591862E-3</v>
      </c>
      <c r="BJ154" s="22">
        <f>IFERROR(('Activity data'!BJ96*(1/Constants!$H$112))*ttokg*FracLEACH*MSLeachEF*NtoN2O*kgtoGg,"NO")</f>
        <v>2.4770655550591862E-3</v>
      </c>
      <c r="BK154" s="22">
        <f>IFERROR(('Activity data'!BK96*(1/Constants!$H$112))*ttokg*FracLEACH*MSLeachEF*NtoN2O*kgtoGg,"NO")</f>
        <v>2.4770655550591862E-3</v>
      </c>
      <c r="BL154" s="22">
        <f>IFERROR(('Activity data'!BL96*(1/Constants!$H$112))*ttokg*FracLEACH*MSLeachEF*NtoN2O*kgtoGg,"NO")</f>
        <v>2.4770655550591862E-3</v>
      </c>
      <c r="BM154" s="22">
        <f>IFERROR(('Activity data'!BM96*(1/Constants!$H$112))*ttokg*FracLEACH*MSLeachEF*NtoN2O*kgtoGg,"NO")</f>
        <v>2.4770655550591862E-3</v>
      </c>
      <c r="BN154" s="22">
        <f>IFERROR(('Activity data'!BN96*(1/Constants!$H$112))*ttokg*FracLEACH*MSLeachEF*NtoN2O*kgtoGg,"NO")</f>
        <v>2.4770655550591862E-3</v>
      </c>
      <c r="BO154" s="22">
        <f>IFERROR(('Activity data'!BO96*(1/Constants!$H$112))*ttokg*FracLEACH*MSLeachEF*NtoN2O*kgtoGg,"NO")</f>
        <v>2.4770655550591862E-3</v>
      </c>
      <c r="BP154" s="22">
        <f>IFERROR(('Activity data'!BP96*(1/Constants!$H$112))*ttokg*FracLEACH*MSLeachEF*NtoN2O*kgtoGg,"NO")</f>
        <v>2.4770655550591862E-3</v>
      </c>
    </row>
    <row r="155" spans="1:68" x14ac:dyDescent="0.25">
      <c r="A155" t="str">
        <f t="shared" si="58"/>
        <v>3C Aggregated and non-CO2 emissions on land</v>
      </c>
      <c r="B155" t="str">
        <f t="shared" si="59"/>
        <v>3C5 Indirect N2O from managed soils (N2O)</v>
      </c>
      <c r="C155" t="str">
        <f t="shared" si="54"/>
        <v>Leaching/runoff</v>
      </c>
      <c r="D155" t="str">
        <f>" - FSOM - "&amp;'Activity data'!D97</f>
        <v xml:space="preserve"> - FSOM - Other land remaining other land</v>
      </c>
      <c r="E155" t="str">
        <f t="shared" si="60"/>
        <v>Leaching/runoff - FSOM - Other land remaining other land</v>
      </c>
      <c r="F155" t="str">
        <f t="shared" si="47"/>
        <v>N2O</v>
      </c>
      <c r="G155" t="str">
        <f t="shared" si="48"/>
        <v>Gg N2O</v>
      </c>
      <c r="H155" s="22" t="str">
        <f>IFERROR(('Activity data'!H97*(1/Constants!$H$112))*ttokg*FracLEACH*MSLeachEF*NtoN2O*kgtoGg,"NO")</f>
        <v>NO</v>
      </c>
      <c r="I155" s="22" t="str">
        <f>IFERROR(('Activity data'!I97*(1/Constants!$H$112))*ttokg*FracLEACH*MSLeachEF*NtoN2O*kgtoGg,"NO")</f>
        <v>NO</v>
      </c>
      <c r="J155" s="22" t="str">
        <f>IFERROR(('Activity data'!J97*(1/Constants!$H$112))*ttokg*FracLEACH*MSLeachEF*NtoN2O*kgtoGg,"NO")</f>
        <v>NO</v>
      </c>
      <c r="K155" s="22" t="str">
        <f>IFERROR(('Activity data'!K97*(1/Constants!$H$112))*ttokg*FracLEACH*MSLeachEF*NtoN2O*kgtoGg,"NO")</f>
        <v>NO</v>
      </c>
      <c r="L155" s="22" t="str">
        <f>IFERROR(('Activity data'!L97*(1/Constants!$H$112))*ttokg*FracLEACH*MSLeachEF*NtoN2O*kgtoGg,"NO")</f>
        <v>NO</v>
      </c>
      <c r="M155" s="22" t="str">
        <f>IFERROR(('Activity data'!M97*(1/Constants!$H$112))*ttokg*FracLEACH*MSLeachEF*NtoN2O*kgtoGg,"NO")</f>
        <v>NO</v>
      </c>
      <c r="N155" s="22" t="str">
        <f>IFERROR(('Activity data'!N97*(1/Constants!$H$112))*ttokg*FracLEACH*MSLeachEF*NtoN2O*kgtoGg,"NO")</f>
        <v>NO</v>
      </c>
      <c r="O155" s="22" t="str">
        <f>IFERROR(('Activity data'!O97*(1/Constants!$H$112))*ttokg*FracLEACH*MSLeachEF*NtoN2O*kgtoGg,"NO")</f>
        <v>NO</v>
      </c>
      <c r="P155" s="22" t="str">
        <f>IFERROR(('Activity data'!P97*(1/Constants!$H$112))*ttokg*FracLEACH*MSLeachEF*NtoN2O*kgtoGg,"NO")</f>
        <v>NO</v>
      </c>
      <c r="Q155" s="22" t="str">
        <f>IFERROR(('Activity data'!Q97*(1/Constants!$H$112))*ttokg*FracLEACH*MSLeachEF*NtoN2O*kgtoGg,"NO")</f>
        <v>NO</v>
      </c>
      <c r="R155" s="22" t="str">
        <f>IFERROR(('Activity data'!R97*(1/Constants!$H$112))*ttokg*FracLEACH*MSLeachEF*NtoN2O*kgtoGg,"NO")</f>
        <v>NO</v>
      </c>
      <c r="S155" s="22" t="str">
        <f>IFERROR(('Activity data'!S97*(1/Constants!$H$112))*ttokg*FracLEACH*MSLeachEF*NtoN2O*kgtoGg,"NO")</f>
        <v>NO</v>
      </c>
      <c r="T155" s="22" t="str">
        <f>IFERROR(('Activity data'!T97*(1/Constants!$H$112))*ttokg*FracLEACH*MSLeachEF*NtoN2O*kgtoGg,"NO")</f>
        <v>NO</v>
      </c>
      <c r="U155" s="22" t="str">
        <f>IFERROR(('Activity data'!U97*(1/Constants!$H$112))*ttokg*FracLEACH*MSLeachEF*NtoN2O*kgtoGg,"NO")</f>
        <v>NO</v>
      </c>
      <c r="V155" s="22" t="str">
        <f>IFERROR(('Activity data'!V97*(1/Constants!$H$112))*ttokg*FracLEACH*MSLeachEF*NtoN2O*kgtoGg,"NO")</f>
        <v>NO</v>
      </c>
      <c r="W155" s="22" t="str">
        <f>IFERROR(('Activity data'!W97*(1/Constants!$H$112))*ttokg*FracLEACH*MSLeachEF*NtoN2O*kgtoGg,"NO")</f>
        <v>NO</v>
      </c>
      <c r="X155" s="22" t="str">
        <f>IFERROR(('Activity data'!X97*(1/Constants!$H$112))*ttokg*FracLEACH*MSLeachEF*NtoN2O*kgtoGg,"NO")</f>
        <v>NO</v>
      </c>
      <c r="Y155" s="22" t="str">
        <f>IFERROR(('Activity data'!Y97*(1/Constants!$H$112))*ttokg*FracLEACH*MSLeachEF*NtoN2O*kgtoGg,"NO")</f>
        <v>NO</v>
      </c>
      <c r="Z155" s="22" t="str">
        <f>IFERROR(('Activity data'!Z97*(1/Constants!$H$112))*ttokg*FracLEACH*MSLeachEF*NtoN2O*kgtoGg,"NO")</f>
        <v>NO</v>
      </c>
      <c r="AA155" s="22" t="str">
        <f>IFERROR(('Activity data'!AA97*(1/Constants!$H$112))*ttokg*FracLEACH*MSLeachEF*NtoN2O*kgtoGg,"NO")</f>
        <v>NO</v>
      </c>
      <c r="AB155" s="22" t="str">
        <f>IFERROR(('Activity data'!AB97*(1/Constants!$H$112))*ttokg*FracLEACH*MSLeachEF*NtoN2O*kgtoGg,"NO")</f>
        <v>NO</v>
      </c>
      <c r="AC155" s="22" t="str">
        <f>IFERROR(('Activity data'!AC97*(1/Constants!$H$112))*ttokg*FracLEACH*MSLeachEF*NtoN2O*kgtoGg,"NO")</f>
        <v>NO</v>
      </c>
      <c r="AD155" s="22" t="str">
        <f>IFERROR(('Activity data'!AD97*(1/Constants!$H$112))*ttokg*FracLEACH*MSLeachEF*NtoN2O*kgtoGg,"NO")</f>
        <v>NO</v>
      </c>
      <c r="AE155" s="22" t="str">
        <f>IFERROR(('Activity data'!AE97*(1/Constants!$H$112))*ttokg*FracLEACH*MSLeachEF*NtoN2O*kgtoGg,"NO")</f>
        <v>NO</v>
      </c>
      <c r="AF155" s="22" t="str">
        <f>IFERROR(('Activity data'!AF97*(1/Constants!$H$112))*ttokg*FracLEACH*MSLeachEF*NtoN2O*kgtoGg,"NO")</f>
        <v>NO</v>
      </c>
      <c r="AG155" s="22" t="str">
        <f>IFERROR(('Activity data'!AG97*(1/Constants!$H$112))*ttokg*FracLEACH*MSLeachEF*NtoN2O*kgtoGg,"NO")</f>
        <v>NO</v>
      </c>
      <c r="AH155" s="22" t="str">
        <f>IFERROR(('Activity data'!AH97*(1/Constants!$H$112))*ttokg*FracLEACH*MSLeachEF*NtoN2O*kgtoGg,"NO")</f>
        <v>NO</v>
      </c>
      <c r="AI155" s="22" t="str">
        <f>IFERROR(('Activity data'!AI97*(1/Constants!$H$112))*ttokg*FracLEACH*MSLeachEF*NtoN2O*kgtoGg,"NO")</f>
        <v>NO</v>
      </c>
      <c r="AJ155" s="22" t="str">
        <f>IFERROR(('Activity data'!AJ97*(1/Constants!$H$112))*ttokg*FracLEACH*MSLeachEF*NtoN2O*kgtoGg,"NO")</f>
        <v>NO</v>
      </c>
      <c r="AK155" s="22" t="str">
        <f>IFERROR(('Activity data'!AK97*(1/Constants!$H$112))*ttokg*FracLEACH*MSLeachEF*NtoN2O*kgtoGg,"NO")</f>
        <v>NO</v>
      </c>
      <c r="AL155" s="22" t="str">
        <f>IFERROR(('Activity data'!AL97*(1/Constants!$H$112))*ttokg*FracLEACH*MSLeachEF*NtoN2O*kgtoGg,"NO")</f>
        <v>NO</v>
      </c>
      <c r="AM155" s="22" t="str">
        <f>IFERROR(('Activity data'!AM97*(1/Constants!$H$112))*ttokg*FracLEACH*MSLeachEF*NtoN2O*kgtoGg,"NO")</f>
        <v>NO</v>
      </c>
      <c r="AN155" s="22" t="str">
        <f>IFERROR(('Activity data'!AN97*(1/Constants!$H$112))*ttokg*FracLEACH*MSLeachEF*NtoN2O*kgtoGg,"NO")</f>
        <v>NO</v>
      </c>
      <c r="AO155" s="22" t="str">
        <f>IFERROR(('Activity data'!AO97*(1/Constants!$H$112))*ttokg*FracLEACH*MSLeachEF*NtoN2O*kgtoGg,"NO")</f>
        <v>NO</v>
      </c>
      <c r="AP155" s="22" t="str">
        <f>IFERROR(('Activity data'!AP97*(1/Constants!$H$112))*ttokg*FracLEACH*MSLeachEF*NtoN2O*kgtoGg,"NO")</f>
        <v>NO</v>
      </c>
      <c r="AQ155" s="22" t="str">
        <f>IFERROR(('Activity data'!AQ97*(1/Constants!$H$112))*ttokg*FracLEACH*MSLeachEF*NtoN2O*kgtoGg,"NO")</f>
        <v>NO</v>
      </c>
      <c r="AR155" s="22" t="str">
        <f>IFERROR(('Activity data'!AR97*(1/Constants!$H$112))*ttokg*FracLEACH*MSLeachEF*NtoN2O*kgtoGg,"NO")</f>
        <v>NO</v>
      </c>
      <c r="AS155" s="22" t="str">
        <f>IFERROR(('Activity data'!AS97*(1/Constants!$H$112))*ttokg*FracLEACH*MSLeachEF*NtoN2O*kgtoGg,"NO")</f>
        <v>NO</v>
      </c>
      <c r="AT155" s="22" t="str">
        <f>IFERROR(('Activity data'!AT97*(1/Constants!$H$112))*ttokg*FracLEACH*MSLeachEF*NtoN2O*kgtoGg,"NO")</f>
        <v>NO</v>
      </c>
      <c r="AU155" s="22" t="str">
        <f>IFERROR(('Activity data'!AU97*(1/Constants!$H$112))*ttokg*FracLEACH*MSLeachEF*NtoN2O*kgtoGg,"NO")</f>
        <v>NO</v>
      </c>
      <c r="AV155" s="22" t="str">
        <f>IFERROR(('Activity data'!AV97*(1/Constants!$H$112))*ttokg*FracLEACH*MSLeachEF*NtoN2O*kgtoGg,"NO")</f>
        <v>NO</v>
      </c>
      <c r="AW155" s="22" t="str">
        <f>IFERROR(('Activity data'!AW97*(1/Constants!$H$112))*ttokg*FracLEACH*MSLeachEF*NtoN2O*kgtoGg,"NO")</f>
        <v>NO</v>
      </c>
      <c r="AX155" s="22" t="str">
        <f>IFERROR(('Activity data'!AX97*(1/Constants!$H$112))*ttokg*FracLEACH*MSLeachEF*NtoN2O*kgtoGg,"NO")</f>
        <v>NO</v>
      </c>
      <c r="AY155" s="22" t="str">
        <f>IFERROR(('Activity data'!AY97*(1/Constants!$H$112))*ttokg*FracLEACH*MSLeachEF*NtoN2O*kgtoGg,"NO")</f>
        <v>NO</v>
      </c>
      <c r="AZ155" s="22" t="str">
        <f>IFERROR(('Activity data'!AZ97*(1/Constants!$H$112))*ttokg*FracLEACH*MSLeachEF*NtoN2O*kgtoGg,"NO")</f>
        <v>NO</v>
      </c>
      <c r="BA155" s="22" t="str">
        <f>IFERROR(('Activity data'!BA97*(1/Constants!$H$112))*ttokg*FracLEACH*MSLeachEF*NtoN2O*kgtoGg,"NO")</f>
        <v>NO</v>
      </c>
      <c r="BB155" s="22" t="str">
        <f>IFERROR(('Activity data'!BB97*(1/Constants!$H$112))*ttokg*FracLEACH*MSLeachEF*NtoN2O*kgtoGg,"NO")</f>
        <v>NO</v>
      </c>
      <c r="BC155" s="22" t="str">
        <f>IFERROR(('Activity data'!BC97*(1/Constants!$H$112))*ttokg*FracLEACH*MSLeachEF*NtoN2O*kgtoGg,"NO")</f>
        <v>NO</v>
      </c>
      <c r="BD155" s="22" t="str">
        <f>IFERROR(('Activity data'!BD97*(1/Constants!$H$112))*ttokg*FracLEACH*MSLeachEF*NtoN2O*kgtoGg,"NO")</f>
        <v>NO</v>
      </c>
      <c r="BE155" s="22" t="str">
        <f>IFERROR(('Activity data'!BE97*(1/Constants!$H$112))*ttokg*FracLEACH*MSLeachEF*NtoN2O*kgtoGg,"NO")</f>
        <v>NO</v>
      </c>
      <c r="BF155" s="22" t="str">
        <f>IFERROR(('Activity data'!BF97*(1/Constants!$H$112))*ttokg*FracLEACH*MSLeachEF*NtoN2O*kgtoGg,"NO")</f>
        <v>NO</v>
      </c>
      <c r="BG155" s="22" t="str">
        <f>IFERROR(('Activity data'!BG97*(1/Constants!$H$112))*ttokg*FracLEACH*MSLeachEF*NtoN2O*kgtoGg,"NO")</f>
        <v>NO</v>
      </c>
      <c r="BH155" s="22" t="str">
        <f>IFERROR(('Activity data'!BH97*(1/Constants!$H$112))*ttokg*FracLEACH*MSLeachEF*NtoN2O*kgtoGg,"NO")</f>
        <v>NO</v>
      </c>
      <c r="BI155" s="22" t="str">
        <f>IFERROR(('Activity data'!BI97*(1/Constants!$H$112))*ttokg*FracLEACH*MSLeachEF*NtoN2O*kgtoGg,"NO")</f>
        <v>NO</v>
      </c>
      <c r="BJ155" s="22" t="str">
        <f>IFERROR(('Activity data'!BJ97*(1/Constants!$H$112))*ttokg*FracLEACH*MSLeachEF*NtoN2O*kgtoGg,"NO")</f>
        <v>NO</v>
      </c>
      <c r="BK155" s="22" t="str">
        <f>IFERROR(('Activity data'!BK97*(1/Constants!$H$112))*ttokg*FracLEACH*MSLeachEF*NtoN2O*kgtoGg,"NO")</f>
        <v>NO</v>
      </c>
      <c r="BL155" s="22" t="str">
        <f>IFERROR(('Activity data'!BL97*(1/Constants!$H$112))*ttokg*FracLEACH*MSLeachEF*NtoN2O*kgtoGg,"NO")</f>
        <v>NO</v>
      </c>
      <c r="BM155" s="22" t="str">
        <f>IFERROR(('Activity data'!BM97*(1/Constants!$H$112))*ttokg*FracLEACH*MSLeachEF*NtoN2O*kgtoGg,"NO")</f>
        <v>NO</v>
      </c>
      <c r="BN155" s="22" t="str">
        <f>IFERROR(('Activity data'!BN97*(1/Constants!$H$112))*ttokg*FracLEACH*MSLeachEF*NtoN2O*kgtoGg,"NO")</f>
        <v>NO</v>
      </c>
      <c r="BO155" s="22" t="str">
        <f>IFERROR(('Activity data'!BO97*(1/Constants!$H$112))*ttokg*FracLEACH*MSLeachEF*NtoN2O*kgtoGg,"NO")</f>
        <v>NO</v>
      </c>
      <c r="BP155" s="22" t="str">
        <f>IFERROR(('Activity data'!BP97*(1/Constants!$H$112))*ttokg*FracLEACH*MSLeachEF*NtoN2O*kgtoGg,"NO")</f>
        <v>NO</v>
      </c>
    </row>
    <row r="156" spans="1:68" x14ac:dyDescent="0.25">
      <c r="A156" t="str">
        <f t="shared" si="58"/>
        <v>3C Aggregated and non-CO2 emissions on land</v>
      </c>
      <c r="B156" t="str">
        <f t="shared" si="59"/>
        <v>3C5 Indirect N2O from managed soils (N2O)</v>
      </c>
      <c r="C156" t="str">
        <f t="shared" si="54"/>
        <v>Leaching/runoff</v>
      </c>
      <c r="D156" t="str">
        <f>" - FSOM - "&amp;'Activity data'!D98</f>
        <v xml:space="preserve"> - FSOM - Land converted to other lands</v>
      </c>
      <c r="E156" t="str">
        <f t="shared" si="60"/>
        <v>Leaching/runoff - FSOM - Land converted to other lands</v>
      </c>
      <c r="F156" t="str">
        <f t="shared" si="47"/>
        <v>N2O</v>
      </c>
      <c r="G156" t="str">
        <f t="shared" si="48"/>
        <v>Gg N2O</v>
      </c>
      <c r="H156" s="22">
        <f>IFERROR(('Activity data'!H98*(1/Constants!$H$112))*ttokg*FracLEACH*MSLeachEF*NtoN2O*kgtoGg,"NO")</f>
        <v>0</v>
      </c>
      <c r="I156" s="22">
        <f>IFERROR(('Activity data'!I98*(1/Constants!$H$112))*ttokg*FracLEACH*MSLeachEF*NtoN2O*kgtoGg,"NO")</f>
        <v>0.13265106275649749</v>
      </c>
      <c r="J156" s="22">
        <f>IFERROR(('Activity data'!J98*(1/Constants!$H$112))*ttokg*FracLEACH*MSLeachEF*NtoN2O*kgtoGg,"NO")</f>
        <v>0.13265106275649749</v>
      </c>
      <c r="K156" s="22">
        <f>IFERROR(('Activity data'!K98*(1/Constants!$H$112))*ttokg*FracLEACH*MSLeachEF*NtoN2O*kgtoGg,"NO")</f>
        <v>0.13265106275649749</v>
      </c>
      <c r="L156" s="22">
        <f>IFERROR(('Activity data'!L98*(1/Constants!$H$112))*ttokg*FracLEACH*MSLeachEF*NtoN2O*kgtoGg,"NO")</f>
        <v>0.13265106275649749</v>
      </c>
      <c r="M156" s="22">
        <f>IFERROR(('Activity data'!M98*(1/Constants!$H$112))*ttokg*FracLEACH*MSLeachEF*NtoN2O*kgtoGg,"NO")</f>
        <v>0.13265106275649749</v>
      </c>
      <c r="N156" s="22">
        <f>IFERROR(('Activity data'!N98*(1/Constants!$H$112))*ttokg*FracLEACH*MSLeachEF*NtoN2O*kgtoGg,"NO")</f>
        <v>0.13265106275649749</v>
      </c>
      <c r="O156" s="22">
        <f>IFERROR(('Activity data'!O98*(1/Constants!$H$112))*ttokg*FracLEACH*MSLeachEF*NtoN2O*kgtoGg,"NO")</f>
        <v>0.13265106275649749</v>
      </c>
      <c r="P156" s="22">
        <f>IFERROR(('Activity data'!P98*(1/Constants!$H$112))*ttokg*FracLEACH*MSLeachEF*NtoN2O*kgtoGg,"NO")</f>
        <v>0.13265106275649749</v>
      </c>
      <c r="Q156" s="22">
        <f>IFERROR(('Activity data'!Q98*(1/Constants!$H$112))*ttokg*FracLEACH*MSLeachEF*NtoN2O*kgtoGg,"NO")</f>
        <v>0.13265106275649749</v>
      </c>
      <c r="R156" s="22">
        <f>IFERROR(('Activity data'!R98*(1/Constants!$H$112))*ttokg*FracLEACH*MSLeachEF*NtoN2O*kgtoGg,"NO")</f>
        <v>0.13265106275649749</v>
      </c>
      <c r="S156" s="22">
        <f>IFERROR(('Activity data'!S98*(1/Constants!$H$112))*ttokg*FracLEACH*MSLeachEF*NtoN2O*kgtoGg,"NO")</f>
        <v>0.13265106275649749</v>
      </c>
      <c r="T156" s="22">
        <f>IFERROR(('Activity data'!T98*(1/Constants!$H$112))*ttokg*FracLEACH*MSLeachEF*NtoN2O*kgtoGg,"NO")</f>
        <v>0.13265106275649749</v>
      </c>
      <c r="U156" s="22">
        <f>IFERROR(('Activity data'!U98*(1/Constants!$H$112))*ttokg*FracLEACH*MSLeachEF*NtoN2O*kgtoGg,"NO")</f>
        <v>0.13265106275649749</v>
      </c>
      <c r="V156" s="22">
        <f>IFERROR(('Activity data'!V98*(1/Constants!$H$112))*ttokg*FracLEACH*MSLeachEF*NtoN2O*kgtoGg,"NO")</f>
        <v>0.13265106275649749</v>
      </c>
      <c r="W156" s="22">
        <f>IFERROR(('Activity data'!W98*(1/Constants!$H$112))*ttokg*FracLEACH*MSLeachEF*NtoN2O*kgtoGg,"NO")</f>
        <v>0.13265106275649749</v>
      </c>
      <c r="X156" s="22">
        <f>IFERROR(('Activity data'!X98*(1/Constants!$H$112))*ttokg*FracLEACH*MSLeachEF*NtoN2O*kgtoGg,"NO")</f>
        <v>0.13265106275649749</v>
      </c>
      <c r="Y156" s="22">
        <f>IFERROR(('Activity data'!Y98*(1/Constants!$H$112))*ttokg*FracLEACH*MSLeachEF*NtoN2O*kgtoGg,"NO")</f>
        <v>0.13265106275649749</v>
      </c>
      <c r="Z156" s="22">
        <f>IFERROR(('Activity data'!Z98*(1/Constants!$H$112))*ttokg*FracLEACH*MSLeachEF*NtoN2O*kgtoGg,"NO")</f>
        <v>0.13265106275649749</v>
      </c>
      <c r="AA156" s="22">
        <f>IFERROR(('Activity data'!AA98*(1/Constants!$H$112))*ttokg*FracLEACH*MSLeachEF*NtoN2O*kgtoGg,"NO")</f>
        <v>0.13265106275649749</v>
      </c>
      <c r="AB156" s="22">
        <f>IFERROR(('Activity data'!AB98*(1/Constants!$H$112))*ttokg*FracLEACH*MSLeachEF*NtoN2O*kgtoGg,"NO")</f>
        <v>0.13265106275649749</v>
      </c>
      <c r="AC156" s="22">
        <f>IFERROR(('Activity data'!AC98*(1/Constants!$H$112))*ttokg*FracLEACH*MSLeachEF*NtoN2O*kgtoGg,"NO")</f>
        <v>0.13265106275649749</v>
      </c>
      <c r="AD156" s="22">
        <f>IFERROR(('Activity data'!AD98*(1/Constants!$H$112))*ttokg*FracLEACH*MSLeachEF*NtoN2O*kgtoGg,"NO")</f>
        <v>0.10585129679838597</v>
      </c>
      <c r="AE156" s="22">
        <f>IFERROR(('Activity data'!AE98*(1/Constants!$H$112))*ttokg*FracLEACH*MSLeachEF*NtoN2O*kgtoGg,"NO")</f>
        <v>0.10585129679838597</v>
      </c>
      <c r="AF156" s="22">
        <f>IFERROR(('Activity data'!AF98*(1/Constants!$H$112))*ttokg*FracLEACH*MSLeachEF*NtoN2O*kgtoGg,"NO")</f>
        <v>0.10585129679838597</v>
      </c>
      <c r="AG156" s="22">
        <f>IFERROR(('Activity data'!AG98*(1/Constants!$H$112))*ttokg*FracLEACH*MSLeachEF*NtoN2O*kgtoGg,"NO")</f>
        <v>0.10585129679838597</v>
      </c>
      <c r="AH156" s="22">
        <f>IFERROR(('Activity data'!AH98*(1/Constants!$H$112))*ttokg*FracLEACH*MSLeachEF*NtoN2O*kgtoGg,"NO")</f>
        <v>0.10585129679838597</v>
      </c>
      <c r="AI156" s="22">
        <f>IFERROR(('Activity data'!AI98*(1/Constants!$H$112))*ttokg*FracLEACH*MSLeachEF*NtoN2O*kgtoGg,"NO")</f>
        <v>0.10585129679838597</v>
      </c>
      <c r="AJ156" s="22">
        <f>IFERROR(('Activity data'!AJ98*(1/Constants!$H$112))*ttokg*FracLEACH*MSLeachEF*NtoN2O*kgtoGg,"NO")</f>
        <v>0.10585129679838597</v>
      </c>
      <c r="AK156" s="22">
        <f>IFERROR(('Activity data'!AK98*(1/Constants!$H$112))*ttokg*FracLEACH*MSLeachEF*NtoN2O*kgtoGg,"NO")</f>
        <v>0.10585129679838597</v>
      </c>
      <c r="AL156" s="22">
        <f>IFERROR(('Activity data'!AL98*(1/Constants!$H$112))*ttokg*FracLEACH*MSLeachEF*NtoN2O*kgtoGg,"NO")</f>
        <v>0.10585129679838597</v>
      </c>
      <c r="AM156" s="22">
        <f>IFERROR(('Activity data'!AM98*(1/Constants!$H$112))*ttokg*FracLEACH*MSLeachEF*NtoN2O*kgtoGg,"NO")</f>
        <v>0.10585129679838597</v>
      </c>
      <c r="AN156" s="22">
        <f>IFERROR(('Activity data'!AN98*(1/Constants!$H$112))*ttokg*FracLEACH*MSLeachEF*NtoN2O*kgtoGg,"NO")</f>
        <v>0.10585129679838597</v>
      </c>
      <c r="AO156" s="22">
        <f>IFERROR(('Activity data'!AO98*(1/Constants!$H$112))*ttokg*FracLEACH*MSLeachEF*NtoN2O*kgtoGg,"NO")</f>
        <v>0.10585129679838597</v>
      </c>
      <c r="AP156" s="22">
        <f>IFERROR(('Activity data'!AP98*(1/Constants!$H$112))*ttokg*FracLEACH*MSLeachEF*NtoN2O*kgtoGg,"NO")</f>
        <v>0.10585129679838597</v>
      </c>
      <c r="AQ156" s="22">
        <f>IFERROR(('Activity data'!AQ98*(1/Constants!$H$112))*ttokg*FracLEACH*MSLeachEF*NtoN2O*kgtoGg,"NO")</f>
        <v>0.10585129679838597</v>
      </c>
      <c r="AR156" s="22">
        <f>IFERROR(('Activity data'!AR98*(1/Constants!$H$112))*ttokg*FracLEACH*MSLeachEF*NtoN2O*kgtoGg,"NO")</f>
        <v>0.10585129679838597</v>
      </c>
      <c r="AS156" s="22">
        <f>IFERROR(('Activity data'!AS98*(1/Constants!$H$112))*ttokg*FracLEACH*MSLeachEF*NtoN2O*kgtoGg,"NO")</f>
        <v>0.10585129679838597</v>
      </c>
      <c r="AT156" s="22">
        <f>IFERROR(('Activity data'!AT98*(1/Constants!$H$112))*ttokg*FracLEACH*MSLeachEF*NtoN2O*kgtoGg,"NO")</f>
        <v>0.10585129679838597</v>
      </c>
      <c r="AU156" s="22">
        <f>IFERROR(('Activity data'!AU98*(1/Constants!$H$112))*ttokg*FracLEACH*MSLeachEF*NtoN2O*kgtoGg,"NO")</f>
        <v>0.10585129679838597</v>
      </c>
      <c r="AV156" s="22">
        <f>IFERROR(('Activity data'!AV98*(1/Constants!$H$112))*ttokg*FracLEACH*MSLeachEF*NtoN2O*kgtoGg,"NO")</f>
        <v>0.10585129679838597</v>
      </c>
      <c r="AW156" s="22">
        <f>IFERROR(('Activity data'!AW98*(1/Constants!$H$112))*ttokg*FracLEACH*MSLeachEF*NtoN2O*kgtoGg,"NO")</f>
        <v>0.10585129679838597</v>
      </c>
      <c r="AX156" s="22">
        <f>IFERROR(('Activity data'!AX98*(1/Constants!$H$112))*ttokg*FracLEACH*MSLeachEF*NtoN2O*kgtoGg,"NO")</f>
        <v>0.10585129679838597</v>
      </c>
      <c r="AY156" s="22">
        <f>IFERROR(('Activity data'!AY98*(1/Constants!$H$112))*ttokg*FracLEACH*MSLeachEF*NtoN2O*kgtoGg,"NO")</f>
        <v>0.10585129679838597</v>
      </c>
      <c r="AZ156" s="22">
        <f>IFERROR(('Activity data'!AZ98*(1/Constants!$H$112))*ttokg*FracLEACH*MSLeachEF*NtoN2O*kgtoGg,"NO")</f>
        <v>0.10585129679838597</v>
      </c>
      <c r="BA156" s="22">
        <f>IFERROR(('Activity data'!BA98*(1/Constants!$H$112))*ttokg*FracLEACH*MSLeachEF*NtoN2O*kgtoGg,"NO")</f>
        <v>0.10585129679838597</v>
      </c>
      <c r="BB156" s="22">
        <f>IFERROR(('Activity data'!BB98*(1/Constants!$H$112))*ttokg*FracLEACH*MSLeachEF*NtoN2O*kgtoGg,"NO")</f>
        <v>0.10585129679838597</v>
      </c>
      <c r="BC156" s="22">
        <f>IFERROR(('Activity data'!BC98*(1/Constants!$H$112))*ttokg*FracLEACH*MSLeachEF*NtoN2O*kgtoGg,"NO")</f>
        <v>0.10585129679838597</v>
      </c>
      <c r="BD156" s="22">
        <f>IFERROR(('Activity data'!BD98*(1/Constants!$H$112))*ttokg*FracLEACH*MSLeachEF*NtoN2O*kgtoGg,"NO")</f>
        <v>0.10585129679838597</v>
      </c>
      <c r="BE156" s="22">
        <f>IFERROR(('Activity data'!BE98*(1/Constants!$H$112))*ttokg*FracLEACH*MSLeachEF*NtoN2O*kgtoGg,"NO")</f>
        <v>0.10585129679838597</v>
      </c>
      <c r="BF156" s="22">
        <f>IFERROR(('Activity data'!BF98*(1/Constants!$H$112))*ttokg*FracLEACH*MSLeachEF*NtoN2O*kgtoGg,"NO")</f>
        <v>0.10585129679838597</v>
      </c>
      <c r="BG156" s="22">
        <f>IFERROR(('Activity data'!BG98*(1/Constants!$H$112))*ttokg*FracLEACH*MSLeachEF*NtoN2O*kgtoGg,"NO")</f>
        <v>0.10585129679838597</v>
      </c>
      <c r="BH156" s="22">
        <f>IFERROR(('Activity data'!BH98*(1/Constants!$H$112))*ttokg*FracLEACH*MSLeachEF*NtoN2O*kgtoGg,"NO")</f>
        <v>0.10585129679838597</v>
      </c>
      <c r="BI156" s="22">
        <f>IFERROR(('Activity data'!BI98*(1/Constants!$H$112))*ttokg*FracLEACH*MSLeachEF*NtoN2O*kgtoGg,"NO")</f>
        <v>0.10585129679838597</v>
      </c>
      <c r="BJ156" s="22">
        <f>IFERROR(('Activity data'!BJ98*(1/Constants!$H$112))*ttokg*FracLEACH*MSLeachEF*NtoN2O*kgtoGg,"NO")</f>
        <v>0.10585129679838597</v>
      </c>
      <c r="BK156" s="22">
        <f>IFERROR(('Activity data'!BK98*(1/Constants!$H$112))*ttokg*FracLEACH*MSLeachEF*NtoN2O*kgtoGg,"NO")</f>
        <v>0.10585129679838597</v>
      </c>
      <c r="BL156" s="22">
        <f>IFERROR(('Activity data'!BL98*(1/Constants!$H$112))*ttokg*FracLEACH*MSLeachEF*NtoN2O*kgtoGg,"NO")</f>
        <v>0.10585129679838597</v>
      </c>
      <c r="BM156" s="22">
        <f>IFERROR(('Activity data'!BM98*(1/Constants!$H$112))*ttokg*FracLEACH*MSLeachEF*NtoN2O*kgtoGg,"NO")</f>
        <v>0.10585129679838597</v>
      </c>
      <c r="BN156" s="22">
        <f>IFERROR(('Activity data'!BN98*(1/Constants!$H$112))*ttokg*FracLEACH*MSLeachEF*NtoN2O*kgtoGg,"NO")</f>
        <v>0.10585129679838597</v>
      </c>
      <c r="BO156" s="22">
        <f>IFERROR(('Activity data'!BO98*(1/Constants!$H$112))*ttokg*FracLEACH*MSLeachEF*NtoN2O*kgtoGg,"NO")</f>
        <v>0.10585129679838597</v>
      </c>
      <c r="BP156" s="22">
        <f>IFERROR(('Activity data'!BP98*(1/Constants!$H$112))*ttokg*FracLEACH*MSLeachEF*NtoN2O*kgtoGg,"NO")</f>
        <v>0.10585129679838597</v>
      </c>
    </row>
    <row r="157" spans="1:68" x14ac:dyDescent="0.25">
      <c r="A157" t="str">
        <f t="shared" si="58"/>
        <v>3C Aggregated and non-CO2 emissions on land</v>
      </c>
      <c r="B157" t="str">
        <f>'IPCC Categories'!B80</f>
        <v>3C6 Indirect N2O from manure management (N2O)</v>
      </c>
      <c r="C157" t="str">
        <f>'IPCC Categories'!C80</f>
        <v>Volatilisation</v>
      </c>
      <c r="D157" t="str">
        <f>'Activity data'!D66</f>
        <v xml:space="preserve"> - TMR</v>
      </c>
      <c r="E157" t="str">
        <f t="shared" ref="E157:E172" si="61">C157&amp;D157</f>
        <v>Volatilisation - TMR</v>
      </c>
      <c r="F157" t="str">
        <f t="shared" si="47"/>
        <v>N2O</v>
      </c>
      <c r="G157" t="str">
        <f t="shared" si="48"/>
        <v>Gg N2O</v>
      </c>
      <c r="H157" s="22">
        <f>Constants!$H40*'Activity data'!H5*Constants!$H58*EF!$H206*MMVolatEF*NtoN2O*kgtoGg</f>
        <v>0.32741583539331282</v>
      </c>
      <c r="I157" s="22">
        <f>Constants!$H40*'Activity data'!I5*Constants!$H58*EF!$H206*MMVolatEF*NtoN2O*kgtoGg</f>
        <v>0.3769406717199888</v>
      </c>
      <c r="J157" s="22">
        <f>Constants!$H40*'Activity data'!J5*Constants!$H58*EF!$H206*MMVolatEF*NtoN2O*kgtoGg</f>
        <v>0.32610245326188425</v>
      </c>
      <c r="K157" s="22">
        <f>Constants!$H40*'Activity data'!K5*Constants!$H58*EF!$H206*MMVolatEF*NtoN2O*kgtoGg</f>
        <v>0.3458622136437135</v>
      </c>
      <c r="L157" s="22">
        <f>Constants!$H40*'Activity data'!L5*Constants!$H58*EF!$H206*MMVolatEF*NtoN2O*kgtoGg</f>
        <v>0.32084892473617016</v>
      </c>
      <c r="M157" s="22">
        <f>Constants!$H40*'Activity data'!M5*Constants!$H58*EF!$H206*MMVolatEF*NtoN2O*kgtoGg</f>
        <v>0.34323544938085654</v>
      </c>
      <c r="N157" s="22">
        <f>Constants!$H40*'Activity data'!N5*Constants!$H58*EF!$H206*MMVolatEF*NtoN2O*kgtoGg</f>
        <v>0.34454883151228505</v>
      </c>
      <c r="O157" s="22">
        <f>Constants!$H40*'Activity data'!O5*Constants!$H58*EF!$H206*MMVolatEF*NtoN2O*kgtoGg</f>
        <v>0.33216762243061609</v>
      </c>
      <c r="P157" s="22">
        <f>Constants!$H40*'Activity data'!P5*Constants!$H58*EF!$H206*MMVolatEF*NtoN2O*kgtoGg</f>
        <v>0.32822747603633051</v>
      </c>
      <c r="Q157" s="22">
        <f>Constants!$H40*'Activity data'!Q5*Constants!$H58*EF!$H206*MMVolatEF*NtoN2O*kgtoGg</f>
        <v>0.32241317761180416</v>
      </c>
      <c r="R157" s="22">
        <f>Constants!$H40*'Activity data'!R5*Constants!$H58*EF!$H206*MMVolatEF*NtoN2O*kgtoGg</f>
        <v>0.41514681035221879</v>
      </c>
      <c r="S157" s="22">
        <f>Constants!$H40*'Activity data'!S5*Constants!$H58*EF!$H206*MMVolatEF*NtoN2O*kgtoGg</f>
        <v>0.41383342822079017</v>
      </c>
      <c r="T157" s="22">
        <f>Constants!$H40*'Activity data'!T5*Constants!$H58*EF!$H206*MMVolatEF*NtoN2O*kgtoGg</f>
        <v>0.36087018698823964</v>
      </c>
      <c r="U157" s="22">
        <f>Constants!$H40*'Activity data'!U5*Constants!$H58*EF!$H206*MMVolatEF*NtoN2O*kgtoGg</f>
        <v>0.32822747603633051</v>
      </c>
      <c r="V157" s="22">
        <f>Constants!$H40*'Activity data'!V5*Constants!$H58*EF!$H206*MMVolatEF*NtoN2O*kgtoGg</f>
        <v>0.31690877834188452</v>
      </c>
      <c r="W157" s="22">
        <f>Constants!$H40*'Activity data'!W5*Constants!$H58*EF!$H206*MMVolatEF*NtoN2O*kgtoGg</f>
        <v>0.33929530298657085</v>
      </c>
      <c r="X157" s="22">
        <f>Constants!$H40*'Activity data'!X5*Constants!$H58*EF!$H206*MMVolatEF*NtoN2O*kgtoGg</f>
        <v>0.33191675168641066</v>
      </c>
      <c r="Y157" s="22">
        <f>Constants!$H40*'Activity data'!Y5*Constants!$H58*EF!$H206*MMVolatEF*NtoN2O*kgtoGg</f>
        <v>0.32954085816775908</v>
      </c>
      <c r="Z157" s="22">
        <f>Constants!$H40*'Activity data'!Z5*Constants!$H58*EF!$H206*MMVolatEF*NtoN2O*kgtoGg</f>
        <v>0.40357724191356736</v>
      </c>
      <c r="AA157" s="22">
        <f>Constants!$H40*'Activity data'!AA5*Constants!$H58*EF!$H206*MMVolatEF*NtoN2O*kgtoGg</f>
        <v>0.41358255747658468</v>
      </c>
      <c r="AB157" s="22">
        <f>Constants!$H40*'Activity data'!AB5*Constants!$H58*EF!$H206*MMVolatEF*NtoN2O*kgtoGg</f>
        <v>0.41358255747658468</v>
      </c>
      <c r="AC157" s="22">
        <f>Constants!$H40*'Activity data'!AC5*Constants!$H58*EF!$H206*MMVolatEF*NtoN2O*kgtoGg</f>
        <v>0.39857458413205865</v>
      </c>
      <c r="AD157" s="22">
        <f>Constants!$H40*'Activity data'!AD5*Constants!$H58*EF!$H206*MMVolatEF*NtoN2O*kgtoGg</f>
        <v>0.39663712579622651</v>
      </c>
      <c r="AE157" s="22">
        <f>Constants!$H40*'Activity data'!AE5*Constants!$H58*EF!$H206*MMVolatEF*NtoN2O*kgtoGg</f>
        <v>0.40039141820324065</v>
      </c>
      <c r="AF157" s="22">
        <f>Constants!$H40*'Activity data'!AF5*Constants!$H58*EF!$H206*MMVolatEF*NtoN2O*kgtoGg</f>
        <v>0.40325696544712714</v>
      </c>
      <c r="AG157" s="22">
        <f>Constants!$H40*'Activity data'!AG5*Constants!$H58*EF!$H206*MMVolatEF*NtoN2O*kgtoGg</f>
        <v>0.40519468703838685</v>
      </c>
      <c r="AH157" s="22">
        <f>Constants!$H40*'Activity data'!AH5*Constants!$H58*EF!$H206*MMVolatEF*NtoN2O*kgtoGg</f>
        <v>0.40637689129188204</v>
      </c>
      <c r="AI157" s="22">
        <f>Constants!$H40*'Activity data'!AI5*Constants!$H58*EF!$H206*MMVolatEF*NtoN2O*kgtoGg</f>
        <v>0.40820528023290154</v>
      </c>
      <c r="AJ157" s="22">
        <f>Constants!$H40*'Activity data'!AJ5*Constants!$H58*EF!$H206*MMVolatEF*NtoN2O*kgtoGg</f>
        <v>0.4097714423178373</v>
      </c>
      <c r="AK157" s="22">
        <f>Constants!$H40*'Activity data'!AK5*Constants!$H58*EF!$H206*MMVolatEF*NtoN2O*kgtoGg</f>
        <v>0.41109179932805068</v>
      </c>
      <c r="AL157" s="22">
        <f>Constants!$H40*'Activity data'!AL5*Constants!$H58*EF!$H206*MMVolatEF*NtoN2O*kgtoGg</f>
        <v>0.39813792279476945</v>
      </c>
      <c r="AM157" s="22">
        <f>Constants!$H40*'Activity data'!AM5*Constants!$H58*EF!$H206*MMVolatEF*NtoN2O*kgtoGg</f>
        <v>0.40165293834414706</v>
      </c>
      <c r="AN157" s="22">
        <f>Constants!$H40*'Activity data'!AN5*Constants!$H58*EF!$H206*MMVolatEF*NtoN2O*kgtoGg</f>
        <v>0.40499408310132717</v>
      </c>
      <c r="AO157" s="22">
        <f>Constants!$H40*'Activity data'!AO5*Constants!$H58*EF!$H206*MMVolatEF*NtoN2O*kgtoGg</f>
        <v>0.40834655877551856</v>
      </c>
      <c r="AP157" s="22">
        <f>Constants!$H40*'Activity data'!AP5*Constants!$H58*EF!$H206*MMVolatEF*NtoN2O*kgtoGg</f>
        <v>0.41155339401914831</v>
      </c>
      <c r="AQ157" s="22">
        <f>Constants!$H40*'Activity data'!AQ5*Constants!$H58*EF!$H206*MMVolatEF*NtoN2O*kgtoGg</f>
        <v>0.41488561663760887</v>
      </c>
      <c r="AR157" s="22">
        <f>Constants!$H40*'Activity data'!AR5*Constants!$H58*EF!$H206*MMVolatEF*NtoN2O*kgtoGg</f>
        <v>0.41883191097863409</v>
      </c>
      <c r="AS157" s="22">
        <f>Constants!$H40*'Activity data'!AS5*Constants!$H58*EF!$H206*MMVolatEF*NtoN2O*kgtoGg</f>
        <v>0.42271098918902283</v>
      </c>
      <c r="AT157" s="22">
        <f>Constants!$H40*'Activity data'!AT5*Constants!$H58*EF!$H206*MMVolatEF*NtoN2O*kgtoGg</f>
        <v>0.42674847928429882</v>
      </c>
      <c r="AU157" s="22">
        <f>Constants!$H40*'Activity data'!AU5*Constants!$H58*EF!$H206*MMVolatEF*NtoN2O*kgtoGg</f>
        <v>0.43089146668031392</v>
      </c>
      <c r="AV157" s="22">
        <f>Constants!$H40*'Activity data'!AV5*Constants!$H58*EF!$H206*MMVolatEF*NtoN2O*kgtoGg</f>
        <v>0.435148533768771</v>
      </c>
      <c r="AW157" s="22">
        <f>Constants!$H40*'Activity data'!AW5*Constants!$H58*EF!$H206*MMVolatEF*NtoN2O*kgtoGg</f>
        <v>0.4402202156169806</v>
      </c>
      <c r="AX157" s="22">
        <f>Constants!$H40*'Activity data'!AX5*Constants!$H58*EF!$H206*MMVolatEF*NtoN2O*kgtoGg</f>
        <v>0.44499854450956966</v>
      </c>
      <c r="AY157" s="22">
        <f>Constants!$H40*'Activity data'!AY5*Constants!$H58*EF!$H206*MMVolatEF*NtoN2O*kgtoGg</f>
        <v>0.45024428250146037</v>
      </c>
      <c r="AZ157" s="22">
        <f>Constants!$H40*'Activity data'!AZ5*Constants!$H58*EF!$H206*MMVolatEF*NtoN2O*kgtoGg</f>
        <v>0.45578058003539967</v>
      </c>
      <c r="BA157" s="22">
        <f>Constants!$H40*'Activity data'!BA5*Constants!$H58*EF!$H206*MMVolatEF*NtoN2O*kgtoGg</f>
        <v>0.46161003888348134</v>
      </c>
      <c r="BB157" s="22">
        <f>Constants!$H40*'Activity data'!BB5*Constants!$H58*EF!$H206*MMVolatEF*NtoN2O*kgtoGg</f>
        <v>0.46752733167274035</v>
      </c>
      <c r="BC157" s="22">
        <f>Constants!$H40*'Activity data'!BC5*Constants!$H58*EF!$H206*MMVolatEF*NtoN2O*kgtoGg</f>
        <v>0.4736054361607786</v>
      </c>
      <c r="BD157" s="22">
        <f>Constants!$H40*'Activity data'!BD5*Constants!$H58*EF!$H206*MMVolatEF*NtoN2O*kgtoGg</f>
        <v>0.47968672715267929</v>
      </c>
      <c r="BE157" s="22">
        <f>Constants!$H40*'Activity data'!BE5*Constants!$H58*EF!$H206*MMVolatEF*NtoN2O*kgtoGg</f>
        <v>0.48591897741974849</v>
      </c>
      <c r="BF157" s="22">
        <f>Constants!$H40*'Activity data'!BF5*Constants!$H58*EF!$H206*MMVolatEF*NtoN2O*kgtoGg</f>
        <v>0.49242115687080878</v>
      </c>
      <c r="BG157" s="22">
        <f>Constants!$H40*'Activity data'!BG5*Constants!$H58*EF!$H206*MMVolatEF*NtoN2O*kgtoGg</f>
        <v>0.49912311084417438</v>
      </c>
      <c r="BH157" s="22">
        <f>Constants!$H40*'Activity data'!BH5*Constants!$H58*EF!$H206*MMVolatEF*NtoN2O*kgtoGg</f>
        <v>0.50599827121425922</v>
      </c>
      <c r="BI157" s="22">
        <f>Constants!$H40*'Activity data'!BI5*Constants!$H58*EF!$H206*MMVolatEF*NtoN2O*kgtoGg</f>
        <v>0.51302188201862609</v>
      </c>
      <c r="BJ157" s="22">
        <f>Constants!$H40*'Activity data'!BJ5*Constants!$H58*EF!$H206*MMVolatEF*NtoN2O*kgtoGg</f>
        <v>0.52022043891193148</v>
      </c>
      <c r="BK157" s="22">
        <f>Constants!$H40*'Activity data'!BK5*Constants!$H58*EF!$H206*MMVolatEF*NtoN2O*kgtoGg</f>
        <v>0.52771985040243752</v>
      </c>
      <c r="BL157" s="22">
        <f>Constants!$H40*'Activity data'!BL5*Constants!$H58*EF!$H206*MMVolatEF*NtoN2O*kgtoGg</f>
        <v>0.53541979819930763</v>
      </c>
      <c r="BM157" s="22">
        <f>Constants!$H40*'Activity data'!BM5*Constants!$H58*EF!$H206*MMVolatEF*NtoN2O*kgtoGg</f>
        <v>0.54332842947043325</v>
      </c>
      <c r="BN157" s="22">
        <f>Constants!$H40*'Activity data'!BN5*Constants!$H58*EF!$H206*MMVolatEF*NtoN2O*kgtoGg</f>
        <v>0.55118993262743632</v>
      </c>
      <c r="BO157" s="22">
        <f>Constants!$H40*'Activity data'!BO5*Constants!$H58*EF!$H206*MMVolatEF*NtoN2O*kgtoGg</f>
        <v>0.55927194968935423</v>
      </c>
      <c r="BP157" s="22">
        <f>Constants!$H40*'Activity data'!BP5*Constants!$H58*EF!$H206*MMVolatEF*NtoN2O*kgtoGg</f>
        <v>0.56758687781320372</v>
      </c>
    </row>
    <row r="158" spans="1:68" x14ac:dyDescent="0.25">
      <c r="A158" t="str">
        <f t="shared" si="58"/>
        <v>3C Aggregated and non-CO2 emissions on land</v>
      </c>
      <c r="B158" t="str">
        <f>B157</f>
        <v>3C6 Indirect N2O from manure management (N2O)</v>
      </c>
      <c r="C158" t="str">
        <f>C157</f>
        <v>Volatilisation</v>
      </c>
      <c r="D158" t="str">
        <f>'Activity data'!D67</f>
        <v xml:space="preserve"> - Pasture</v>
      </c>
      <c r="E158" t="str">
        <f t="shared" si="61"/>
        <v>Volatilisation - Pasture</v>
      </c>
      <c r="F158" t="str">
        <f t="shared" si="47"/>
        <v>N2O</v>
      </c>
      <c r="G158" t="str">
        <f t="shared" si="48"/>
        <v>Gg N2O</v>
      </c>
      <c r="H158" s="22">
        <f>Constants!$H41*'Activity data'!H6*Constants!$H59*EF!$H207*MMVolatEF*NtoN2O*kgtoGg</f>
        <v>2.5550081296947576E-2</v>
      </c>
      <c r="I158" s="22">
        <f>Constants!$H41*'Activity data'!I6*Constants!$H59*EF!$H207*MMVolatEF*NtoN2O*kgtoGg</f>
        <v>2.9414780122050389E-2</v>
      </c>
      <c r="J158" s="22">
        <f>Constants!$H41*'Activity data'!J6*Constants!$H59*EF!$H207*MMVolatEF*NtoN2O*kgtoGg</f>
        <v>2.5447590773874224E-2</v>
      </c>
      <c r="K158" s="22">
        <f>Constants!$H41*'Activity data'!K6*Constants!$H59*EF!$H207*MMVolatEF*NtoN2O*kgtoGg</f>
        <v>2.6989554935618165E-2</v>
      </c>
      <c r="L158" s="22">
        <f>Constants!$H41*'Activity data'!L6*Constants!$H59*EF!$H207*MMVolatEF*NtoN2O*kgtoGg</f>
        <v>2.5037628681580843E-2</v>
      </c>
      <c r="M158" s="22">
        <f>Constants!$H41*'Activity data'!M6*Constants!$H59*EF!$H207*MMVolatEF*NtoN2O*kgtoGg</f>
        <v>2.6784573889471471E-2</v>
      </c>
      <c r="N158" s="22">
        <f>Constants!$H41*'Activity data'!N6*Constants!$H59*EF!$H207*MMVolatEF*NtoN2O*kgtoGg</f>
        <v>2.6887064412544823E-2</v>
      </c>
      <c r="O158" s="22">
        <f>Constants!$H41*'Activity data'!O6*Constants!$H59*EF!$H207*MMVolatEF*NtoN2O*kgtoGg</f>
        <v>2.5920889706269115E-2</v>
      </c>
      <c r="P158" s="22">
        <f>Constants!$H41*'Activity data'!P6*Constants!$H59*EF!$H207*MMVolatEF*NtoN2O*kgtoGg</f>
        <v>2.5613418137049079E-2</v>
      </c>
      <c r="Q158" s="22">
        <f>Constants!$H41*'Activity data'!Q6*Constants!$H59*EF!$H207*MMVolatEF*NtoN2O*kgtoGg</f>
        <v>2.5159696046140104E-2</v>
      </c>
      <c r="R158" s="22">
        <f>Constants!$H41*'Activity data'!R6*Constants!$H59*EF!$H207*MMVolatEF*NtoN2O*kgtoGg</f>
        <v>3.2396217922464922E-2</v>
      </c>
      <c r="S158" s="22">
        <f>Constants!$H41*'Activity data'!S6*Constants!$H59*EF!$H207*MMVolatEF*NtoN2O*kgtoGg</f>
        <v>3.2293727399391577E-2</v>
      </c>
      <c r="T158" s="22">
        <f>Constants!$H41*'Activity data'!T6*Constants!$H59*EF!$H207*MMVolatEF*NtoN2O*kgtoGg</f>
        <v>2.8160710688040554E-2</v>
      </c>
      <c r="U158" s="22">
        <f>Constants!$H41*'Activity data'!U6*Constants!$H59*EF!$H207*MMVolatEF*NtoN2O*kgtoGg</f>
        <v>2.5613418137049079E-2</v>
      </c>
      <c r="V158" s="22">
        <f>Constants!$H41*'Activity data'!V6*Constants!$H59*EF!$H207*MMVolatEF*NtoN2O*kgtoGg</f>
        <v>2.47301571123608E-2</v>
      </c>
      <c r="W158" s="22">
        <f>Constants!$H41*'Activity data'!W6*Constants!$H59*EF!$H207*MMVolatEF*NtoN2O*kgtoGg</f>
        <v>2.6477102320251435E-2</v>
      </c>
      <c r="X158" s="22">
        <f>Constants!$H41*'Activity data'!X6*Constants!$H59*EF!$H207*MMVolatEF*NtoN2O*kgtoGg</f>
        <v>2.5901312864783189E-2</v>
      </c>
      <c r="Y158" s="22">
        <f>Constants!$H41*'Activity data'!Y6*Constants!$H59*EF!$H207*MMVolatEF*NtoN2O*kgtoGg</f>
        <v>2.5715908660122428E-2</v>
      </c>
      <c r="Z158" s="22">
        <f>Constants!$H41*'Activity data'!Z6*Constants!$H59*EF!$H207*MMVolatEF*NtoN2O*kgtoGg</f>
        <v>3.1493380056290717E-2</v>
      </c>
      <c r="AA158" s="22">
        <f>Constants!$H41*'Activity data'!AA6*Constants!$H59*EF!$H207*MMVolatEF*NtoN2O*kgtoGg</f>
        <v>3.2274150557905647E-2</v>
      </c>
      <c r="AB158" s="22">
        <f>Constants!$H41*'Activity data'!AB6*Constants!$H59*EF!$H207*MMVolatEF*NtoN2O*kgtoGg</f>
        <v>3.2274150557905647E-2</v>
      </c>
      <c r="AC158" s="22">
        <f>Constants!$H41*'Activity data'!AC6*Constants!$H59*EF!$H207*MMVolatEF*NtoN2O*kgtoGg</f>
        <v>3.1102994805483251E-2</v>
      </c>
      <c r="AD158" s="22">
        <f>Constants!$H41*'Activity data'!AD6*Constants!$H59*EF!$H207*MMVolatEF*NtoN2O*kgtoGg</f>
        <v>3.0900016403173042E-2</v>
      </c>
      <c r="AE158" s="22">
        <f>Constants!$H41*'Activity data'!AE6*Constants!$H59*EF!$H207*MMVolatEF*NtoN2O*kgtoGg</f>
        <v>3.1192494563723864E-2</v>
      </c>
      <c r="AF158" s="22">
        <f>Constants!$H41*'Activity data'!AF6*Constants!$H59*EF!$H207*MMVolatEF*NtoN2O*kgtoGg</f>
        <v>3.1415735029836078E-2</v>
      </c>
      <c r="AG158" s="22">
        <f>Constants!$H41*'Activity data'!AG6*Constants!$H59*EF!$H207*MMVolatEF*NtoN2O*kgtoGg</f>
        <v>3.1566693235865112E-2</v>
      </c>
      <c r="AH158" s="22">
        <f>Constants!$H41*'Activity data'!AH6*Constants!$H59*EF!$H207*MMVolatEF*NtoN2O*kgtoGg</f>
        <v>3.1658792861565976E-2</v>
      </c>
      <c r="AI158" s="22">
        <f>Constants!$H41*'Activity data'!AI6*Constants!$H59*EF!$H207*MMVolatEF*NtoN2O*kgtoGg</f>
        <v>3.180123350716986E-2</v>
      </c>
      <c r="AJ158" s="22">
        <f>Constants!$H41*'Activity data'!AJ6*Constants!$H59*EF!$H207*MMVolatEF*NtoN2O*kgtoGg</f>
        <v>3.1923245368811394E-2</v>
      </c>
      <c r="AK158" s="22">
        <f>Constants!$H41*'Activity data'!AK6*Constants!$H59*EF!$H207*MMVolatEF*NtoN2O*kgtoGg</f>
        <v>3.2026107785413808E-2</v>
      </c>
      <c r="AL158" s="22">
        <f>Constants!$H41*'Activity data'!AL6*Constants!$H59*EF!$H207*MMVolatEF*NtoN2O*kgtoGg</f>
        <v>3.1016935997574879E-2</v>
      </c>
      <c r="AM158" s="22">
        <f>Constants!$H41*'Activity data'!AM6*Constants!$H59*EF!$H207*MMVolatEF*NtoN2O*kgtoGg</f>
        <v>3.1290773293857072E-2</v>
      </c>
      <c r="AN158" s="22">
        <f>Constants!$H41*'Activity data'!AN6*Constants!$H59*EF!$H207*MMVolatEF*NtoN2O*kgtoGg</f>
        <v>3.1551065185583017E-2</v>
      </c>
      <c r="AO158" s="22">
        <f>Constants!$H41*'Activity data'!AO6*Constants!$H59*EF!$H207*MMVolatEF*NtoN2O*kgtoGg</f>
        <v>3.1812239812430657E-2</v>
      </c>
      <c r="AP158" s="22">
        <f>Constants!$H41*'Activity data'!AP6*Constants!$H59*EF!$H207*MMVolatEF*NtoN2O*kgtoGg</f>
        <v>3.2062068321124876E-2</v>
      </c>
      <c r="AQ158" s="22">
        <f>Constants!$H41*'Activity data'!AQ6*Constants!$H59*EF!$H207*MMVolatEF*NtoN2O*kgtoGg</f>
        <v>3.2321665133608728E-2</v>
      </c>
      <c r="AR158" s="22">
        <f>Constants!$H41*'Activity data'!AR6*Constants!$H59*EF!$H207*MMVolatEF*NtoN2O*kgtoGg</f>
        <v>3.2629101205369888E-2</v>
      </c>
      <c r="AS158" s="22">
        <f>Constants!$H41*'Activity data'!AS6*Constants!$H59*EF!$H207*MMVolatEF*NtoN2O*kgtoGg</f>
        <v>3.2931300804284358E-2</v>
      </c>
      <c r="AT158" s="22">
        <f>Constants!$H41*'Activity data'!AT6*Constants!$H59*EF!$H207*MMVolatEF*NtoN2O*kgtoGg</f>
        <v>3.3245841481537468E-2</v>
      </c>
      <c r="AU158" s="22">
        <f>Constants!$H41*'Activity data'!AU6*Constants!$H59*EF!$H207*MMVolatEF*NtoN2O*kgtoGg</f>
        <v>3.3568600926302046E-2</v>
      </c>
      <c r="AV158" s="22">
        <f>Constants!$H41*'Activity data'!AV6*Constants!$H59*EF!$H207*MMVolatEF*NtoN2O*kgtoGg</f>
        <v>3.3900247749827861E-2</v>
      </c>
      <c r="AW158" s="22">
        <f>Constants!$H41*'Activity data'!AW6*Constants!$H59*EF!$H207*MMVolatEF*NtoN2O*kgtoGg</f>
        <v>3.4295357138508391E-2</v>
      </c>
      <c r="AX158" s="22">
        <f>Constants!$H41*'Activity data'!AX6*Constants!$H59*EF!$H207*MMVolatEF*NtoN2O*kgtoGg</f>
        <v>3.4667612864354436E-2</v>
      </c>
      <c r="AY158" s="22">
        <f>Constants!$H41*'Activity data'!AY6*Constants!$H59*EF!$H207*MMVolatEF*NtoN2O*kgtoGg</f>
        <v>3.5076282097399075E-2</v>
      </c>
      <c r="AZ158" s="22">
        <f>Constants!$H41*'Activity data'!AZ6*Constants!$H59*EF!$H207*MMVolatEF*NtoN2O*kgtoGg</f>
        <v>3.5507587372386004E-2</v>
      </c>
      <c r="BA158" s="22">
        <f>Constants!$H41*'Activity data'!BA6*Constants!$H59*EF!$H207*MMVolatEF*NtoN2O*kgtoGg</f>
        <v>3.5961731380377553E-2</v>
      </c>
      <c r="BB158" s="22">
        <f>Constants!$H41*'Activity data'!BB6*Constants!$H59*EF!$H207*MMVolatEF*NtoN2O*kgtoGg</f>
        <v>3.6422718091804099E-2</v>
      </c>
      <c r="BC158" s="22">
        <f>Constants!$H41*'Activity data'!BC6*Constants!$H59*EF!$H207*MMVolatEF*NtoN2O*kgtoGg</f>
        <v>3.6896232839077336E-2</v>
      </c>
      <c r="BD158" s="22">
        <f>Constants!$H41*'Activity data'!BD6*Constants!$H59*EF!$H207*MMVolatEF*NtoN2O*kgtoGg</f>
        <v>3.7369995830942956E-2</v>
      </c>
      <c r="BE158" s="22">
        <f>Constants!$H41*'Activity data'!BE6*Constants!$H59*EF!$H207*MMVolatEF*NtoN2O*kgtoGg</f>
        <v>3.7855519305566077E-2</v>
      </c>
      <c r="BF158" s="22">
        <f>Constants!$H41*'Activity data'!BF6*Constants!$H59*EF!$H207*MMVolatEF*NtoN2O*kgtoGg</f>
        <v>3.8362071614028909E-2</v>
      </c>
      <c r="BG158" s="22">
        <f>Constants!$H41*'Activity data'!BG6*Constants!$H59*EF!$H207*MMVolatEF*NtoN2O*kgtoGg</f>
        <v>3.888418735721505E-2</v>
      </c>
      <c r="BH158" s="22">
        <f>Constants!$H41*'Activity data'!BH6*Constants!$H59*EF!$H207*MMVolatEF*NtoN2O*kgtoGg</f>
        <v>3.9419796745225805E-2</v>
      </c>
      <c r="BI158" s="22">
        <f>Constants!$H41*'Activity data'!BI6*Constants!$H59*EF!$H207*MMVolatEF*NtoN2O*kgtoGg</f>
        <v>3.9966971164737762E-2</v>
      </c>
      <c r="BJ158" s="22">
        <f>Constants!$H41*'Activity data'!BJ6*Constants!$H59*EF!$H207*MMVolatEF*NtoN2O*kgtoGg</f>
        <v>4.0527774759801585E-2</v>
      </c>
      <c r="BK158" s="22">
        <f>Constants!$H41*'Activity data'!BK6*Constants!$H59*EF!$H207*MMVolatEF*NtoN2O*kgtoGg</f>
        <v>4.1112016433108384E-2</v>
      </c>
      <c r="BL158" s="22">
        <f>Constants!$H41*'Activity data'!BL6*Constants!$H59*EF!$H207*MMVolatEF*NtoN2O*kgtoGg</f>
        <v>4.171188088792771E-2</v>
      </c>
      <c r="BM158" s="22">
        <f>Constants!$H41*'Activity data'!BM6*Constants!$H59*EF!$H207*MMVolatEF*NtoN2O*kgtoGg</f>
        <v>4.2328002829397145E-2</v>
      </c>
      <c r="BN158" s="22">
        <f>Constants!$H41*'Activity data'!BN6*Constants!$H59*EF!$H207*MMVolatEF*NtoN2O*kgtoGg</f>
        <v>4.2940453255003043E-2</v>
      </c>
      <c r="BO158" s="22">
        <f>Constants!$H41*'Activity data'!BO6*Constants!$H59*EF!$H207*MMVolatEF*NtoN2O*kgtoGg</f>
        <v>4.3570082816992872E-2</v>
      </c>
      <c r="BP158" s="22">
        <f>Constants!$H41*'Activity data'!BP6*Constants!$H59*EF!$H207*MMVolatEF*NtoN2O*kgtoGg</f>
        <v>4.4217857315919012E-2</v>
      </c>
    </row>
    <row r="159" spans="1:68" x14ac:dyDescent="0.25">
      <c r="A159" t="str">
        <f t="shared" si="58"/>
        <v>3C Aggregated and non-CO2 emissions on land</v>
      </c>
      <c r="B159" t="str">
        <f t="shared" ref="B159:B172" si="62">B158</f>
        <v>3C6 Indirect N2O from manure management (N2O)</v>
      </c>
      <c r="C159" t="str">
        <f t="shared" ref="C159:C172" si="63">C158</f>
        <v>Volatilisation</v>
      </c>
      <c r="D159" t="str">
        <f>'Activity data'!D68</f>
        <v xml:space="preserve"> - Non-lactating</v>
      </c>
      <c r="E159" t="str">
        <f t="shared" si="61"/>
        <v>Volatilisation - Non-lactating</v>
      </c>
      <c r="F159" t="str">
        <f t="shared" si="47"/>
        <v>N2O</v>
      </c>
      <c r="G159" t="str">
        <f t="shared" si="48"/>
        <v>Gg N2O</v>
      </c>
      <c r="H159" s="22">
        <f>Constants!$H42*'Activity data'!H7*Constants!$H60*EF!$H208*MMVolatEF*NtoN2O*kgtoGg</f>
        <v>2.7959029796178987E-4</v>
      </c>
      <c r="I159" s="22">
        <f>Constants!$H42*'Activity data'!I7*Constants!$H60*EF!$H208*MMVolatEF*NtoN2O*kgtoGg</f>
        <v>3.1779900416957193E-4</v>
      </c>
      <c r="J159" s="22">
        <f>Constants!$H42*'Activity data'!J7*Constants!$H60*EF!$H208*MMVolatEF*NtoN2O*kgtoGg</f>
        <v>2.7489696617153677E-4</v>
      </c>
      <c r="K159" s="22">
        <f>Constants!$H42*'Activity data'!K7*Constants!$H60*EF!$H208*MMVolatEF*NtoN2O*kgtoGg</f>
        <v>2.8768837256461081E-4</v>
      </c>
      <c r="L159" s="22">
        <f>Constants!$H42*'Activity data'!L7*Constants!$H60*EF!$H208*MMVolatEF*NtoN2O*kgtoGg</f>
        <v>2.5612363901052502E-4</v>
      </c>
      <c r="M159" s="22">
        <f>Constants!$H42*'Activity data'!M7*Constants!$H60*EF!$H208*MMVolatEF*NtoN2O*kgtoGg</f>
        <v>2.7830170898410472E-4</v>
      </c>
      <c r="N159" s="22">
        <f>Constants!$H42*'Activity data'!N7*Constants!$H60*EF!$H208*MMVolatEF*NtoN2O*kgtoGg</f>
        <v>2.8299504077435766E-4</v>
      </c>
      <c r="O159" s="22">
        <f>Constants!$H42*'Activity data'!O7*Constants!$H60*EF!$H208*MMVolatEF*NtoN2O*kgtoGg</f>
        <v>2.7344286422241221E-4</v>
      </c>
      <c r="P159" s="22">
        <f>Constants!$H42*'Activity data'!P7*Constants!$H60*EF!$H208*MMVolatEF*NtoN2O*kgtoGg</f>
        <v>2.5936286885165324E-4</v>
      </c>
      <c r="Q159" s="22">
        <f>Constants!$H42*'Activity data'!Q7*Constants!$H60*EF!$H208*MMVolatEF*NtoN2O*kgtoGg</f>
        <v>2.7327735125097269E-4</v>
      </c>
      <c r="R159" s="22">
        <f>Constants!$H42*'Activity data'!R7*Constants!$H60*EF!$H208*MMVolatEF*NtoN2O*kgtoGg</f>
        <v>3.3868848516546658E-4</v>
      </c>
      <c r="S159" s="22">
        <f>Constants!$H42*'Activity data'!S7*Constants!$H60*EF!$H208*MMVolatEF*NtoN2O*kgtoGg</f>
        <v>3.3399515337521364E-4</v>
      </c>
      <c r="T159" s="22">
        <f>Constants!$H42*'Activity data'!T7*Constants!$H60*EF!$H208*MMVolatEF*NtoN2O*kgtoGg</f>
        <v>3.0662721269706218E-4</v>
      </c>
      <c r="U159" s="22">
        <f>Constants!$H42*'Activity data'!U7*Constants!$H60*EF!$H208*MMVolatEF*NtoN2O*kgtoGg</f>
        <v>2.5936286885165324E-4</v>
      </c>
      <c r="V159" s="22">
        <f>Constants!$H42*'Activity data'!V7*Constants!$H60*EF!$H208*MMVolatEF*NtoN2O*kgtoGg</f>
        <v>2.4204364363976597E-4</v>
      </c>
      <c r="W159" s="22">
        <f>Constants!$H42*'Activity data'!W7*Constants!$H60*EF!$H208*MMVolatEF*NtoN2O*kgtoGg</f>
        <v>2.6422171361334585E-4</v>
      </c>
      <c r="X159" s="22">
        <f>Constants!$H42*'Activity data'!X7*Constants!$H60*EF!$H208*MMVolatEF*NtoN2O*kgtoGg</f>
        <v>2.6098248377221742E-4</v>
      </c>
      <c r="Y159" s="22">
        <f>Constants!$H42*'Activity data'!Y7*Constants!$H60*EF!$H208*MMVolatEF*NtoN2O*kgtoGg</f>
        <v>2.6405620064190628E-4</v>
      </c>
      <c r="Z159" s="22">
        <f>Constants!$H42*'Activity data'!Z7*Constants!$H60*EF!$H208*MMVolatEF*NtoN2O*kgtoGg</f>
        <v>3.0890887950338466E-4</v>
      </c>
      <c r="AA159" s="22">
        <f>Constants!$H42*'Activity data'!AA7*Constants!$H60*EF!$H208*MMVolatEF*NtoN2O*kgtoGg</f>
        <v>3.2153477292501886E-4</v>
      </c>
      <c r="AB159" s="22">
        <f>Constants!$H42*'Activity data'!AB7*Constants!$H60*EF!$H208*MMVolatEF*NtoN2O*kgtoGg</f>
        <v>3.2153477292501886E-4</v>
      </c>
      <c r="AC159" s="22">
        <f>Constants!$H42*'Activity data'!AC7*Constants!$H60*EF!$H208*MMVolatEF*NtoN2O*kgtoGg</f>
        <v>3.0259593279256748E-4</v>
      </c>
      <c r="AD159" s="22">
        <f>Constants!$H42*'Activity data'!AD7*Constants!$H60*EF!$H208*MMVolatEF*NtoN2O*kgtoGg</f>
        <v>3.0787926841862234E-4</v>
      </c>
      <c r="AE159" s="22">
        <f>Constants!$H42*'Activity data'!AE7*Constants!$H60*EF!$H208*MMVolatEF*NtoN2O*kgtoGg</f>
        <v>3.105520146951898E-4</v>
      </c>
      <c r="AF159" s="22">
        <f>Constants!$H42*'Activity data'!AF7*Constants!$H60*EF!$H208*MMVolatEF*NtoN2O*kgtoGg</f>
        <v>3.1259204778161546E-4</v>
      </c>
      <c r="AG159" s="22">
        <f>Constants!$H42*'Activity data'!AG7*Constants!$H60*EF!$H208*MMVolatEF*NtoN2O*kgtoGg</f>
        <v>3.1397154559547458E-4</v>
      </c>
      <c r="AH159" s="22">
        <f>Constants!$H42*'Activity data'!AH7*Constants!$H60*EF!$H208*MMVolatEF*NtoN2O*kgtoGg</f>
        <v>3.1481317743287969E-4</v>
      </c>
      <c r="AI159" s="22">
        <f>Constants!$H42*'Activity data'!AI7*Constants!$H60*EF!$H208*MMVolatEF*NtoN2O*kgtoGg</f>
        <v>3.1611483942518929E-4</v>
      </c>
      <c r="AJ159" s="22">
        <f>Constants!$H42*'Activity data'!AJ7*Constants!$H60*EF!$H208*MMVolatEF*NtoN2O*kgtoGg</f>
        <v>3.1722981754282151E-4</v>
      </c>
      <c r="AK159" s="22">
        <f>Constants!$H42*'Activity data'!AK7*Constants!$H60*EF!$H208*MMVolatEF*NtoN2O*kgtoGg</f>
        <v>3.1816980273848558E-4</v>
      </c>
      <c r="AL159" s="22">
        <f>Constants!$H42*'Activity data'!AL7*Constants!$H60*EF!$H208*MMVolatEF*NtoN2O*kgtoGg</f>
        <v>3.0894771199063735E-4</v>
      </c>
      <c r="AM159" s="22">
        <f>Constants!$H42*'Activity data'!AM7*Constants!$H60*EF!$H208*MMVolatEF*NtoN2O*kgtoGg</f>
        <v>3.1145011289689692E-4</v>
      </c>
      <c r="AN159" s="22">
        <f>Constants!$H42*'Activity data'!AN7*Constants!$H60*EF!$H208*MMVolatEF*NtoN2O*kgtoGg</f>
        <v>3.1382873215216376E-4</v>
      </c>
      <c r="AO159" s="22">
        <f>Constants!$H42*'Activity data'!AO7*Constants!$H60*EF!$H208*MMVolatEF*NtoN2O*kgtoGg</f>
        <v>3.1621541808497425E-4</v>
      </c>
      <c r="AP159" s="22">
        <f>Constants!$H42*'Activity data'!AP7*Constants!$H60*EF!$H208*MMVolatEF*NtoN2O*kgtoGg</f>
        <v>3.1849842005385754E-4</v>
      </c>
      <c r="AQ159" s="22">
        <f>Constants!$H42*'Activity data'!AQ7*Constants!$H60*EF!$H208*MMVolatEF*NtoN2O*kgtoGg</f>
        <v>3.2087068748287961E-4</v>
      </c>
      <c r="AR159" s="22">
        <f>Constants!$H42*'Activity data'!AR7*Constants!$H60*EF!$H208*MMVolatEF*NtoN2O*kgtoGg</f>
        <v>3.2368012328668345E-4</v>
      </c>
      <c r="AS159" s="22">
        <f>Constants!$H42*'Activity data'!AS7*Constants!$H60*EF!$H208*MMVolatEF*NtoN2O*kgtoGg</f>
        <v>3.2644170675417262E-4</v>
      </c>
      <c r="AT159" s="22">
        <f>Constants!$H42*'Activity data'!AT7*Constants!$H60*EF!$H208*MMVolatEF*NtoN2O*kgtoGg</f>
        <v>3.2931606640678395E-4</v>
      </c>
      <c r="AU159" s="22">
        <f>Constants!$H42*'Activity data'!AU7*Constants!$H60*EF!$H208*MMVolatEF*NtoN2O*kgtoGg</f>
        <v>3.322655314287087E-4</v>
      </c>
      <c r="AV159" s="22">
        <f>Constants!$H42*'Activity data'!AV7*Constants!$H60*EF!$H208*MMVolatEF*NtoN2O*kgtoGg</f>
        <v>3.3529621177436146E-4</v>
      </c>
      <c r="AW159" s="22">
        <f>Constants!$H42*'Activity data'!AW7*Constants!$H60*EF!$H208*MMVolatEF*NtoN2O*kgtoGg</f>
        <v>3.3890683058242541E-4</v>
      </c>
      <c r="AX159" s="22">
        <f>Constants!$H42*'Activity data'!AX7*Constants!$H60*EF!$H208*MMVolatEF*NtoN2O*kgtoGg</f>
        <v>3.4230860630240438E-4</v>
      </c>
      <c r="AY159" s="22">
        <f>Constants!$H42*'Activity data'!AY7*Constants!$H60*EF!$H208*MMVolatEF*NtoN2O*kgtoGg</f>
        <v>3.4604313871641664E-4</v>
      </c>
      <c r="AZ159" s="22">
        <f>Constants!$H42*'Activity data'!AZ7*Constants!$H60*EF!$H208*MMVolatEF*NtoN2O*kgtoGg</f>
        <v>3.4998452553864723E-4</v>
      </c>
      <c r="BA159" s="22">
        <f>Constants!$H42*'Activity data'!BA7*Constants!$H60*EF!$H208*MMVolatEF*NtoN2O*kgtoGg</f>
        <v>3.5413461901605031E-4</v>
      </c>
      <c r="BB159" s="22">
        <f>Constants!$H42*'Activity data'!BB7*Constants!$H60*EF!$H208*MMVolatEF*NtoN2O*kgtoGg</f>
        <v>3.583472430088708E-4</v>
      </c>
      <c r="BC159" s="22">
        <f>Constants!$H42*'Activity data'!BC7*Constants!$H60*EF!$H208*MMVolatEF*NtoN2O*kgtoGg</f>
        <v>3.6267435165619977E-4</v>
      </c>
      <c r="BD159" s="22">
        <f>Constants!$H42*'Activity data'!BD7*Constants!$H60*EF!$H208*MMVolatEF*NtoN2O*kgtoGg</f>
        <v>3.6700372883123259E-4</v>
      </c>
      <c r="BE159" s="22">
        <f>Constants!$H42*'Activity data'!BE7*Constants!$H60*EF!$H208*MMVolatEF*NtoN2O*kgtoGg</f>
        <v>3.7144057654848144E-4</v>
      </c>
      <c r="BF159" s="22">
        <f>Constants!$H42*'Activity data'!BF7*Constants!$H60*EF!$H208*MMVolatEF*NtoN2O*kgtoGg</f>
        <v>3.7606959156204998E-4</v>
      </c>
      <c r="BG159" s="22">
        <f>Constants!$H42*'Activity data'!BG7*Constants!$H60*EF!$H208*MMVolatEF*NtoN2O*kgtoGg</f>
        <v>3.808408295440924E-4</v>
      </c>
      <c r="BH159" s="22">
        <f>Constants!$H42*'Activity data'!BH7*Constants!$H60*EF!$H208*MMVolatEF*NtoN2O*kgtoGg</f>
        <v>3.8573537618239297E-4</v>
      </c>
      <c r="BI159" s="22">
        <f>Constants!$H42*'Activity data'!BI7*Constants!$H60*EF!$H208*MMVolatEF*NtoN2O*kgtoGg</f>
        <v>3.9073560727530368E-4</v>
      </c>
      <c r="BJ159" s="22">
        <f>Constants!$H42*'Activity data'!BJ7*Constants!$H60*EF!$H208*MMVolatEF*NtoN2O*kgtoGg</f>
        <v>3.9586038554172061E-4</v>
      </c>
      <c r="BK159" s="22">
        <f>Constants!$H42*'Activity data'!BK7*Constants!$H60*EF!$H208*MMVolatEF*NtoN2O*kgtoGg</f>
        <v>4.0119934744576674E-4</v>
      </c>
      <c r="BL159" s="22">
        <f>Constants!$H42*'Activity data'!BL7*Constants!$H60*EF!$H208*MMVolatEF*NtoN2O*kgtoGg</f>
        <v>4.0668107464565087E-4</v>
      </c>
      <c r="BM159" s="22">
        <f>Constants!$H42*'Activity data'!BM7*Constants!$H60*EF!$H208*MMVolatEF*NtoN2O*kgtoGg</f>
        <v>4.1231136725236258E-4</v>
      </c>
      <c r="BN159" s="22">
        <f>Constants!$H42*'Activity data'!BN7*Constants!$H60*EF!$H208*MMVolatEF*NtoN2O*kgtoGg</f>
        <v>4.1790810853224996E-4</v>
      </c>
      <c r="BO159" s="22">
        <f>Constants!$H42*'Activity data'!BO7*Constants!$H60*EF!$H208*MMVolatEF*NtoN2O*kgtoGg</f>
        <v>4.2366183750899085E-4</v>
      </c>
      <c r="BP159" s="22">
        <f>Constants!$H42*'Activity data'!BP7*Constants!$H60*EF!$H208*MMVolatEF*NtoN2O*kgtoGg</f>
        <v>4.2958137993499482E-4</v>
      </c>
    </row>
    <row r="160" spans="1:68" x14ac:dyDescent="0.25">
      <c r="A160" t="str">
        <f t="shared" si="58"/>
        <v>3C Aggregated and non-CO2 emissions on land</v>
      </c>
      <c r="B160" t="str">
        <f t="shared" si="62"/>
        <v>3C6 Indirect N2O from manure management (N2O)</v>
      </c>
      <c r="C160" t="str">
        <f t="shared" si="63"/>
        <v>Volatilisation</v>
      </c>
      <c r="D160" t="str">
        <f>'Activity data'!D69</f>
        <v xml:space="preserve"> - Commercial cattle</v>
      </c>
      <c r="E160" t="str">
        <f t="shared" si="61"/>
        <v>Volatilisation - Commercial cattle</v>
      </c>
      <c r="F160" t="str">
        <f t="shared" si="47"/>
        <v>N2O</v>
      </c>
      <c r="G160" t="str">
        <f t="shared" si="48"/>
        <v>Gg N2O</v>
      </c>
      <c r="H160" s="22">
        <f>Constants!$H43*'Activity data'!H8*Constants!$H61*EF!$H209*MMVolatEF*NtoN2O*kgtoGg</f>
        <v>3.7003362848044533E-3</v>
      </c>
      <c r="I160" s="22">
        <f>Constants!$H43*'Activity data'!I8*Constants!$H61*EF!$H209*MMVolatEF*NtoN2O*kgtoGg</f>
        <v>3.5406221910635866E-3</v>
      </c>
      <c r="J160" s="22">
        <f>Constants!$H43*'Activity data'!J8*Constants!$H61*EF!$H209*MMVolatEF*NtoN2O*kgtoGg</f>
        <v>3.5393357500556814E-3</v>
      </c>
      <c r="K160" s="22">
        <f>Constants!$H43*'Activity data'!K8*Constants!$H61*EF!$H209*MMVolatEF*NtoN2O*kgtoGg</f>
        <v>3.3111743098604807E-3</v>
      </c>
      <c r="L160" s="22">
        <f>Constants!$H43*'Activity data'!L8*Constants!$H61*EF!$H209*MMVolatEF*NtoN2O*kgtoGg</f>
        <v>3.4109956184485233E-3</v>
      </c>
      <c r="M160" s="22">
        <f>Constants!$H43*'Activity data'!M8*Constants!$H61*EF!$H209*MMVolatEF*NtoN2O*kgtoGg</f>
        <v>3.4885511843596667E-3</v>
      </c>
      <c r="N160" s="22">
        <f>Constants!$H43*'Activity data'!N8*Constants!$H61*EF!$H209*MMVolatEF*NtoN2O*kgtoGg</f>
        <v>3.6332676557172408E-3</v>
      </c>
      <c r="O160" s="22">
        <f>Constants!$H43*'Activity data'!O8*Constants!$H61*EF!$H209*MMVolatEF*NtoN2O*kgtoGg</f>
        <v>3.7709005594996426E-3</v>
      </c>
      <c r="P160" s="22">
        <f>Constants!$H43*'Activity data'!P8*Constants!$H61*EF!$H209*MMVolatEF*NtoN2O*kgtoGg</f>
        <v>3.8035609626412554E-3</v>
      </c>
      <c r="Q160" s="22">
        <f>Constants!$H43*'Activity data'!Q8*Constants!$H61*EF!$H209*MMVolatEF*NtoN2O*kgtoGg</f>
        <v>3.742012631043659E-3</v>
      </c>
      <c r="R160" s="22">
        <f>Constants!$H43*'Activity data'!R8*Constants!$H61*EF!$H209*MMVolatEF*NtoN2O*kgtoGg</f>
        <v>3.4878129734859328E-3</v>
      </c>
      <c r="S160" s="22">
        <f>Constants!$H43*'Activity data'!S8*Constants!$H61*EF!$H209*MMVolatEF*NtoN2O*kgtoGg</f>
        <v>3.5059371360403354E-3</v>
      </c>
      <c r="T160" s="22">
        <f>Constants!$H43*'Activity data'!T8*Constants!$H61*EF!$H209*MMVolatEF*NtoN2O*kgtoGg</f>
        <v>3.267565588098854E-3</v>
      </c>
      <c r="U160" s="22">
        <f>Constants!$H43*'Activity data'!U8*Constants!$H61*EF!$H209*MMVolatEF*NtoN2O*kgtoGg</f>
        <v>3.3530352088181202E-3</v>
      </c>
      <c r="V160" s="22">
        <f>Constants!$H43*'Activity data'!V8*Constants!$H61*EF!$H209*MMVolatEF*NtoN2O*kgtoGg</f>
        <v>3.3839477891557434E-3</v>
      </c>
      <c r="W160" s="22">
        <f>Constants!$H43*'Activity data'!W8*Constants!$H61*EF!$H209*MMVolatEF*NtoN2O*kgtoGg</f>
        <v>3.4126511648932944E-3</v>
      </c>
      <c r="X160" s="22">
        <f>Constants!$H43*'Activity data'!X8*Constants!$H61*EF!$H209*MMVolatEF*NtoN2O*kgtoGg</f>
        <v>3.3349110462637175E-3</v>
      </c>
      <c r="Y160" s="22">
        <f>Constants!$H43*'Activity data'!Y8*Constants!$H61*EF!$H209*MMVolatEF*NtoN2O*kgtoGg</f>
        <v>3.4326154266109024E-3</v>
      </c>
      <c r="Z160" s="22">
        <f>Constants!$H43*'Activity data'!Z8*Constants!$H61*EF!$H209*MMVolatEF*NtoN2O*kgtoGg</f>
        <v>3.3372300325911516E-3</v>
      </c>
      <c r="AA160" s="22">
        <f>Constants!$H43*'Activity data'!AA8*Constants!$H61*EF!$H209*MMVolatEF*NtoN2O*kgtoGg</f>
        <v>3.281195665791852E-3</v>
      </c>
      <c r="AB160" s="22">
        <f>Constants!$H43*'Activity data'!AB8*Constants!$H61*EF!$H209*MMVolatEF*NtoN2O*kgtoGg</f>
        <v>3.2708808424712636E-3</v>
      </c>
      <c r="AC160" s="22">
        <f>Constants!$H43*'Activity data'!AC8*Constants!$H61*EF!$H209*MMVolatEF*NtoN2O*kgtoGg</f>
        <v>3.2591357808163246E-3</v>
      </c>
      <c r="AD160" s="22">
        <f>Constants!$H43*'Activity data'!AD8*Constants!$H61*EF!$H209*MMVolatEF*NtoN2O*kgtoGg</f>
        <v>3.2345184800199917E-3</v>
      </c>
      <c r="AE160" s="22">
        <f>Constants!$H43*'Activity data'!AE8*Constants!$H61*EF!$H209*MMVolatEF*NtoN2O*kgtoGg</f>
        <v>3.216341061334452E-3</v>
      </c>
      <c r="AF160" s="22">
        <f>Constants!$H43*'Activity data'!AF8*Constants!$H61*EF!$H209*MMVolatEF*NtoN2O*kgtoGg</f>
        <v>3.2034921916311385E-3</v>
      </c>
      <c r="AG160" s="22">
        <f>Constants!$H43*'Activity data'!AG8*Constants!$H61*EF!$H209*MMVolatEF*NtoN2O*kgtoGg</f>
        <v>3.195752938360072E-3</v>
      </c>
      <c r="AH160" s="22">
        <f>Constants!$H43*'Activity data'!AH8*Constants!$H61*EF!$H209*MMVolatEF*NtoN2O*kgtoGg</f>
        <v>3.1921774131751174E-3</v>
      </c>
      <c r="AI160" s="22">
        <f>Constants!$H43*'Activity data'!AI8*Constants!$H61*EF!$H209*MMVolatEF*NtoN2O*kgtoGg</f>
        <v>3.1853728106149884E-3</v>
      </c>
      <c r="AJ160" s="22">
        <f>Constants!$H43*'Activity data'!AJ8*Constants!$H61*EF!$H209*MMVolatEF*NtoN2O*kgtoGg</f>
        <v>3.1799668465003826E-3</v>
      </c>
      <c r="AK160" s="22">
        <f>Constants!$H43*'Activity data'!AK8*Constants!$H61*EF!$H209*MMVolatEF*NtoN2O*kgtoGg</f>
        <v>3.1758310731372572E-3</v>
      </c>
      <c r="AL160" s="22">
        <f>Constants!$H43*'Activity data'!AL8*Constants!$H61*EF!$H209*MMVolatEF*NtoN2O*kgtoGg</f>
        <v>3.2471741545554217E-3</v>
      </c>
      <c r="AM160" s="22">
        <f>Constants!$H43*'Activity data'!AM8*Constants!$H61*EF!$H209*MMVolatEF*NtoN2O*kgtoGg</f>
        <v>3.2301233657873545E-3</v>
      </c>
      <c r="AN160" s="22">
        <f>Constants!$H43*'Activity data'!AN8*Constants!$H61*EF!$H209*MMVolatEF*NtoN2O*kgtoGg</f>
        <v>3.2146098238747972E-3</v>
      </c>
      <c r="AO160" s="22">
        <f>Constants!$H43*'Activity data'!AO8*Constants!$H61*EF!$H209*MMVolatEF*NtoN2O*kgtoGg</f>
        <v>3.1995424216940726E-3</v>
      </c>
      <c r="AP160" s="22">
        <f>Constants!$H43*'Activity data'!AP8*Constants!$H61*EF!$H209*MMVolatEF*NtoN2O*kgtoGg</f>
        <v>3.1856829790440993E-3</v>
      </c>
      <c r="AQ160" s="22">
        <f>Constants!$H43*'Activity data'!AQ8*Constants!$H61*EF!$H209*MMVolatEF*NtoN2O*kgtoGg</f>
        <v>3.1716162488351421E-3</v>
      </c>
      <c r="AR160" s="22">
        <f>Constants!$H43*'Activity data'!AR8*Constants!$H61*EF!$H209*MMVolatEF*NtoN2O*kgtoGg</f>
        <v>3.1552611729021786E-3</v>
      </c>
      <c r="AS160" s="22">
        <f>Constants!$H43*'Activity data'!AS8*Constants!$H61*EF!$H209*MMVolatEF*NtoN2O*kgtoGg</f>
        <v>3.139771870376598E-3</v>
      </c>
      <c r="AT160" s="22">
        <f>Constants!$H43*'Activity data'!AT8*Constants!$H61*EF!$H209*MMVolatEF*NtoN2O*kgtoGg</f>
        <v>3.124088749055886E-3</v>
      </c>
      <c r="AU160" s="22">
        <f>Constants!$H43*'Activity data'!AU8*Constants!$H61*EF!$H209*MMVolatEF*NtoN2O*kgtoGg</f>
        <v>3.1084726985232186E-3</v>
      </c>
      <c r="AV160" s="22">
        <f>Constants!$H43*'Activity data'!AV8*Constants!$H61*EF!$H209*MMVolatEF*NtoN2O*kgtoGg</f>
        <v>3.0928989854384081E-3</v>
      </c>
      <c r="AW160" s="22">
        <f>Constants!$H43*'Activity data'!AW8*Constants!$H61*EF!$H209*MMVolatEF*NtoN2O*kgtoGg</f>
        <v>3.1216783630629479E-3</v>
      </c>
      <c r="AX160" s="22">
        <f>Constants!$H43*'Activity data'!AX8*Constants!$H61*EF!$H209*MMVolatEF*NtoN2O*kgtoGg</f>
        <v>3.135300387254051E-3</v>
      </c>
      <c r="AY160" s="22">
        <f>Constants!$H43*'Activity data'!AY8*Constants!$H61*EF!$H209*MMVolatEF*NtoN2O*kgtoGg</f>
        <v>3.1535659738781328E-3</v>
      </c>
      <c r="AZ160" s="22">
        <f>Constants!$H43*'Activity data'!AZ8*Constants!$H61*EF!$H209*MMVolatEF*NtoN2O*kgtoGg</f>
        <v>3.1710257192217608E-3</v>
      </c>
      <c r="BA160" s="22">
        <f>Constants!$H43*'Activity data'!BA8*Constants!$H61*EF!$H209*MMVolatEF*NtoN2O*kgtoGg</f>
        <v>3.1870177642333679E-3</v>
      </c>
      <c r="BB160" s="22">
        <f>Constants!$H43*'Activity data'!BB8*Constants!$H61*EF!$H209*MMVolatEF*NtoN2O*kgtoGg</f>
        <v>3.1957211352520091E-3</v>
      </c>
      <c r="BC160" s="22">
        <f>Constants!$H43*'Activity data'!BC8*Constants!$H61*EF!$H209*MMVolatEF*NtoN2O*kgtoGg</f>
        <v>3.198993407883652E-3</v>
      </c>
      <c r="BD160" s="22">
        <f>Constants!$H43*'Activity data'!BD8*Constants!$H61*EF!$H209*MMVolatEF*NtoN2O*kgtoGg</f>
        <v>3.1931366160800742E-3</v>
      </c>
      <c r="BE160" s="22">
        <f>Constants!$H43*'Activity data'!BE8*Constants!$H61*EF!$H209*MMVolatEF*NtoN2O*kgtoGg</f>
        <v>3.1811121124478928E-3</v>
      </c>
      <c r="BF160" s="22">
        <f>Constants!$H43*'Activity data'!BF8*Constants!$H61*EF!$H209*MMVolatEF*NtoN2O*kgtoGg</f>
        <v>3.1648362677948361E-3</v>
      </c>
      <c r="BG160" s="22">
        <f>Constants!$H43*'Activity data'!BG8*Constants!$H61*EF!$H209*MMVolatEF*NtoN2O*kgtoGg</f>
        <v>3.1762717507039721E-3</v>
      </c>
      <c r="BH160" s="22">
        <f>Constants!$H43*'Activity data'!BH8*Constants!$H61*EF!$H209*MMVolatEF*NtoN2O*kgtoGg</f>
        <v>3.1832496193967773E-3</v>
      </c>
      <c r="BI160" s="22">
        <f>Constants!$H43*'Activity data'!BI8*Constants!$H61*EF!$H209*MMVolatEF*NtoN2O*kgtoGg</f>
        <v>3.1850160123739852E-3</v>
      </c>
      <c r="BJ160" s="22">
        <f>Constants!$H43*'Activity data'!BJ8*Constants!$H61*EF!$H209*MMVolatEF*NtoN2O*kgtoGg</f>
        <v>3.1817384914420003E-3</v>
      </c>
      <c r="BK160" s="22">
        <f>Constants!$H43*'Activity data'!BK8*Constants!$H61*EF!$H209*MMVolatEF*NtoN2O*kgtoGg</f>
        <v>3.175124725675087E-3</v>
      </c>
      <c r="BL160" s="22">
        <f>Constants!$H43*'Activity data'!BL8*Constants!$H61*EF!$H209*MMVolatEF*NtoN2O*kgtoGg</f>
        <v>3.1633886982971164E-3</v>
      </c>
      <c r="BM160" s="22">
        <f>Constants!$H43*'Activity data'!BM8*Constants!$H61*EF!$H209*MMVolatEF*NtoN2O*kgtoGg</f>
        <v>3.1459175405121925E-3</v>
      </c>
      <c r="BN160" s="22">
        <f>Constants!$H43*'Activity data'!BN8*Constants!$H61*EF!$H209*MMVolatEF*NtoN2O*kgtoGg</f>
        <v>3.1186665374967511E-3</v>
      </c>
      <c r="BO160" s="22">
        <f>Constants!$H43*'Activity data'!BO8*Constants!$H61*EF!$H209*MMVolatEF*NtoN2O*kgtoGg</f>
        <v>3.0853816121549403E-3</v>
      </c>
      <c r="BP160" s="22">
        <f>Constants!$H43*'Activity data'!BP8*Constants!$H61*EF!$H209*MMVolatEF*NtoN2O*kgtoGg</f>
        <v>3.0458130968487917E-3</v>
      </c>
    </row>
    <row r="161" spans="1:68" x14ac:dyDescent="0.25">
      <c r="A161" t="str">
        <f t="shared" si="58"/>
        <v>3C Aggregated and non-CO2 emissions on land</v>
      </c>
      <c r="B161" t="str">
        <f t="shared" si="62"/>
        <v>3C6 Indirect N2O from manure management (N2O)</v>
      </c>
      <c r="C161" t="str">
        <f t="shared" si="63"/>
        <v>Volatilisation</v>
      </c>
      <c r="D161" t="str">
        <f>'Activity data'!D70</f>
        <v xml:space="preserve"> - Subsistence cattle</v>
      </c>
      <c r="E161" t="str">
        <f t="shared" si="61"/>
        <v>Volatilisation - Subsistence cattle</v>
      </c>
      <c r="F161" t="str">
        <f t="shared" si="47"/>
        <v>N2O</v>
      </c>
      <c r="G161" t="str">
        <f t="shared" si="48"/>
        <v>Gg N2O</v>
      </c>
      <c r="H161" s="22">
        <f>Constants!$H44*'Activity data'!H9*Constants!$H62*EF!$H210*MMVolatEF*NtoN2O*kgtoGg</f>
        <v>1.733753129120371E-2</v>
      </c>
      <c r="I161" s="22">
        <f>Constants!$H44*'Activity data'!I9*Constants!$H62*EF!$H210*MMVolatEF*NtoN2O*kgtoGg</f>
        <v>1.8678219123915422E-2</v>
      </c>
      <c r="J161" s="22">
        <f>Constants!$H44*'Activity data'!J9*Constants!$H62*EF!$H210*MMVolatEF*NtoN2O*kgtoGg</f>
        <v>1.8861040192012478E-2</v>
      </c>
      <c r="K161" s="22">
        <f>Constants!$H44*'Activity data'!K9*Constants!$H62*EF!$H210*MMVolatEF*NtoN2O*kgtoGg</f>
        <v>1.8861040192012474E-2</v>
      </c>
      <c r="L161" s="22">
        <f>Constants!$H44*'Activity data'!L9*Constants!$H62*EF!$H210*MMVolatEF*NtoN2O*kgtoGg</f>
        <v>1.657577684079933E-2</v>
      </c>
      <c r="M161" s="22">
        <f>Constants!$H44*'Activity data'!M9*Constants!$H62*EF!$H210*MMVolatEF*NtoN2O*kgtoGg</f>
        <v>1.6362485594686102E-2</v>
      </c>
      <c r="N161" s="22">
        <f>Constants!$H44*'Activity data'!N9*Constants!$H62*EF!$H210*MMVolatEF*NtoN2O*kgtoGg</f>
        <v>1.6758597908896382E-2</v>
      </c>
      <c r="O161" s="22">
        <f>Constants!$H44*'Activity data'!O9*Constants!$H62*EF!$H210*MMVolatEF*NtoN2O*kgtoGg</f>
        <v>1.7246120757155189E-2</v>
      </c>
      <c r="P161" s="22">
        <f>Constants!$H44*'Activity data'!P9*Constants!$H62*EF!$H210*MMVolatEF*NtoN2O*kgtoGg</f>
        <v>1.8007875207559577E-2</v>
      </c>
      <c r="Q161" s="22">
        <f>Constants!$H44*'Activity data'!Q9*Constants!$H62*EF!$H210*MMVolatEF*NtoN2O*kgtoGg</f>
        <v>1.864774894589925E-2</v>
      </c>
      <c r="R161" s="22">
        <f>Constants!$H44*'Activity data'!R9*Constants!$H62*EF!$H210*MMVolatEF*NtoN2O*kgtoGg</f>
        <v>1.916574197217423E-2</v>
      </c>
      <c r="S161" s="22">
        <f>Constants!$H44*'Activity data'!S9*Constants!$H62*EF!$H210*MMVolatEF*NtoN2O*kgtoGg</f>
        <v>1.8769629657963954E-2</v>
      </c>
      <c r="T161" s="22">
        <f>Constants!$H44*'Activity data'!T9*Constants!$H62*EF!$H210*MMVolatEF*NtoN2O*kgtoGg</f>
        <v>2.0262668380756535E-2</v>
      </c>
      <c r="U161" s="22">
        <f>Constants!$H44*'Activity data'!U9*Constants!$H62*EF!$H210*MMVolatEF*NtoN2O*kgtoGg</f>
        <v>2.0232198202740366E-2</v>
      </c>
      <c r="V161" s="22">
        <f>Constants!$H44*'Activity data'!V9*Constants!$H62*EF!$H210*MMVolatEF*NtoN2O*kgtoGg</f>
        <v>1.9805615710513914E-2</v>
      </c>
      <c r="W161" s="22">
        <f>Constants!$H44*'Activity data'!W9*Constants!$H62*EF!$H210*MMVolatEF*NtoN2O*kgtoGg</f>
        <v>1.9561854286384503E-2</v>
      </c>
      <c r="X161" s="22">
        <f>Constants!$H44*'Activity data'!X9*Constants!$H62*EF!$H210*MMVolatEF*NtoN2O*kgtoGg</f>
        <v>2.0018906956627135E-2</v>
      </c>
      <c r="Y161" s="22">
        <f>Constants!$H44*'Activity data'!Y9*Constants!$H62*EF!$H210*MMVolatEF*NtoN2O*kgtoGg</f>
        <v>2.0689250872982987E-2</v>
      </c>
      <c r="Z161" s="22">
        <f>Constants!$H44*'Activity data'!Z9*Constants!$H62*EF!$H210*MMVolatEF*NtoN2O*kgtoGg</f>
        <v>2.1085363187193274E-2</v>
      </c>
      <c r="AA161" s="22">
        <f>Constants!$H44*'Activity data'!AA9*Constants!$H62*EF!$H210*MMVolatEF*NtoN2O*kgtoGg</f>
        <v>2.1024422831160922E-2</v>
      </c>
      <c r="AB161" s="22">
        <f>Constants!$H44*'Activity data'!AB9*Constants!$H62*EF!$H210*MMVolatEF*NtoN2O*kgtoGg</f>
        <v>2.0780661407031522E-2</v>
      </c>
      <c r="AC161" s="22">
        <f>Constants!$H44*'Activity data'!AC9*Constants!$H62*EF!$H210*MMVolatEF*NtoN2O*kgtoGg</f>
        <v>2.0719721050999167E-2</v>
      </c>
      <c r="AD161" s="22">
        <f>Constants!$H44*'Activity data'!AD9*Constants!$H62*EF!$H210*MMVolatEF*NtoN2O*kgtoGg</f>
        <v>2.0559105918124949E-2</v>
      </c>
      <c r="AE161" s="22">
        <f>Constants!$H44*'Activity data'!AE9*Constants!$H62*EF!$H210*MMVolatEF*NtoN2O*kgtoGg</f>
        <v>2.0613025620195603E-2</v>
      </c>
      <c r="AF161" s="22">
        <f>Constants!$H44*'Activity data'!AF9*Constants!$H62*EF!$H210*MMVolatEF*NtoN2O*kgtoGg</f>
        <v>2.0667434999033417E-2</v>
      </c>
      <c r="AG161" s="22">
        <f>Constants!$H44*'Activity data'!AG9*Constants!$H62*EF!$H210*MMVolatEF*NtoN2O*kgtoGg</f>
        <v>2.0722338501682945E-2</v>
      </c>
      <c r="AH161" s="22">
        <f>Constants!$H44*'Activity data'!AH9*Constants!$H62*EF!$H210*MMVolatEF*NtoN2O*kgtoGg</f>
        <v>2.0782176884385929E-2</v>
      </c>
      <c r="AI161" s="22">
        <f>Constants!$H44*'Activity data'!AI9*Constants!$H62*EF!$H210*MMVolatEF*NtoN2O*kgtoGg</f>
        <v>2.0842015267088915E-2</v>
      </c>
      <c r="AJ161" s="22">
        <f>Constants!$H44*'Activity data'!AJ9*Constants!$H62*EF!$H210*MMVolatEF*NtoN2O*kgtoGg</f>
        <v>2.0901853649791895E-2</v>
      </c>
      <c r="AK161" s="22">
        <f>Constants!$H44*'Activity data'!AK9*Constants!$H62*EF!$H210*MMVolatEF*NtoN2O*kgtoGg</f>
        <v>2.0961692032494882E-2</v>
      </c>
      <c r="AL161" s="22">
        <f>Constants!$H44*'Activity data'!AL9*Constants!$H62*EF!$H210*MMVolatEF*NtoN2O*kgtoGg</f>
        <v>2.1021530415197873E-2</v>
      </c>
      <c r="AM161" s="22">
        <f>Constants!$H44*'Activity data'!AM9*Constants!$H62*EF!$H210*MMVolatEF*NtoN2O*kgtoGg</f>
        <v>2.1082183072713038E-2</v>
      </c>
      <c r="AN161" s="22">
        <f>Constants!$H44*'Activity data'!AN9*Constants!$H62*EF!$H210*MMVolatEF*NtoN2O*kgtoGg</f>
        <v>2.1142835729108654E-2</v>
      </c>
      <c r="AO161" s="22">
        <f>Constants!$H44*'Activity data'!AO9*Constants!$H62*EF!$H210*MMVolatEF*NtoN2O*kgtoGg</f>
        <v>2.1203488385504256E-2</v>
      </c>
      <c r="AP161" s="22">
        <f>Constants!$H44*'Activity data'!AP9*Constants!$H62*EF!$H210*MMVolatEF*NtoN2O*kgtoGg</f>
        <v>2.1264141041899869E-2</v>
      </c>
      <c r="AQ161" s="22">
        <f>Constants!$H44*'Activity data'!AQ9*Constants!$H62*EF!$H210*MMVolatEF*NtoN2O*kgtoGg</f>
        <v>2.1324793699415028E-2</v>
      </c>
      <c r="AR161" s="22">
        <f>Constants!$H44*'Activity data'!AR9*Constants!$H62*EF!$H210*MMVolatEF*NtoN2O*kgtoGg</f>
        <v>2.1390504346282115E-2</v>
      </c>
      <c r="AS161" s="22">
        <f>Constants!$H44*'Activity data'!AS9*Constants!$H62*EF!$H210*MMVolatEF*NtoN2O*kgtoGg</f>
        <v>2.1456214993149193E-2</v>
      </c>
      <c r="AT161" s="22">
        <f>Constants!$H44*'Activity data'!AT9*Constants!$H62*EF!$H210*MMVolatEF*NtoN2O*kgtoGg</f>
        <v>2.1521925640016277E-2</v>
      </c>
      <c r="AU161" s="22">
        <f>Constants!$H44*'Activity data'!AU9*Constants!$H62*EF!$H210*MMVolatEF*NtoN2O*kgtoGg</f>
        <v>2.1587636286883365E-2</v>
      </c>
      <c r="AV161" s="22">
        <f>Constants!$H44*'Activity data'!AV9*Constants!$H62*EF!$H210*MMVolatEF*NtoN2O*kgtoGg</f>
        <v>2.1653346933750442E-2</v>
      </c>
      <c r="AW161" s="22">
        <f>Constants!$H44*'Activity data'!AW9*Constants!$H62*EF!$H210*MMVolatEF*NtoN2O*kgtoGg</f>
        <v>2.1716826695214689E-2</v>
      </c>
      <c r="AX161" s="22">
        <f>Constants!$H44*'Activity data'!AX9*Constants!$H62*EF!$H210*MMVolatEF*NtoN2O*kgtoGg</f>
        <v>2.1780306455559388E-2</v>
      </c>
      <c r="AY161" s="22">
        <f>Constants!$H44*'Activity data'!AY9*Constants!$H62*EF!$H210*MMVolatEF*NtoN2O*kgtoGg</f>
        <v>2.1843786217023643E-2</v>
      </c>
      <c r="AZ161" s="22">
        <f>Constants!$H44*'Activity data'!AZ9*Constants!$H62*EF!$H210*MMVolatEF*NtoN2O*kgtoGg</f>
        <v>2.1907265977368338E-2</v>
      </c>
      <c r="BA161" s="22">
        <f>Constants!$H44*'Activity data'!BA9*Constants!$H62*EF!$H210*MMVolatEF*NtoN2O*kgtoGg</f>
        <v>2.197074573771304E-2</v>
      </c>
      <c r="BB161" s="22">
        <f>Constants!$H44*'Activity data'!BB9*Constants!$H62*EF!$H210*MMVolatEF*NtoN2O*kgtoGg</f>
        <v>2.2036721185501408E-2</v>
      </c>
      <c r="BC161" s="22">
        <f>Constants!$H44*'Activity data'!BC9*Constants!$H62*EF!$H210*MMVolatEF*NtoN2O*kgtoGg</f>
        <v>2.2102696633289783E-2</v>
      </c>
      <c r="BD161" s="22">
        <f>Constants!$H44*'Activity data'!BD9*Constants!$H62*EF!$H210*MMVolatEF*NtoN2O*kgtoGg</f>
        <v>2.2168672079958603E-2</v>
      </c>
      <c r="BE161" s="22">
        <f>Constants!$H44*'Activity data'!BE9*Constants!$H62*EF!$H210*MMVolatEF*NtoN2O*kgtoGg</f>
        <v>2.2234647527746978E-2</v>
      </c>
      <c r="BF161" s="22">
        <f>Constants!$H44*'Activity data'!BF9*Constants!$H62*EF!$H210*MMVolatEF*NtoN2O*kgtoGg</f>
        <v>2.2300622975535353E-2</v>
      </c>
      <c r="BG161" s="22">
        <f>Constants!$H44*'Activity data'!BG9*Constants!$H62*EF!$H210*MMVolatEF*NtoN2O*kgtoGg</f>
        <v>2.2375935819653237E-2</v>
      </c>
      <c r="BH161" s="22">
        <f>Constants!$H44*'Activity data'!BH9*Constants!$H62*EF!$H210*MMVolatEF*NtoN2O*kgtoGg</f>
        <v>2.2451248662651576E-2</v>
      </c>
      <c r="BI161" s="22">
        <f>Constants!$H44*'Activity data'!BI9*Constants!$H62*EF!$H210*MMVolatEF*NtoN2O*kgtoGg</f>
        <v>2.2526561506769471E-2</v>
      </c>
      <c r="BJ161" s="22">
        <f>Constants!$H44*'Activity data'!BJ9*Constants!$H62*EF!$H210*MMVolatEF*NtoN2O*kgtoGg</f>
        <v>2.2601874350887362E-2</v>
      </c>
      <c r="BK161" s="22">
        <f>Constants!$H44*'Activity data'!BK9*Constants!$H62*EF!$H210*MMVolatEF*NtoN2O*kgtoGg</f>
        <v>2.2677187195005246E-2</v>
      </c>
      <c r="BL161" s="22">
        <f>Constants!$H44*'Activity data'!BL9*Constants!$H62*EF!$H210*MMVolatEF*NtoN2O*kgtoGg</f>
        <v>2.274984193602924E-2</v>
      </c>
      <c r="BM161" s="22">
        <f>Constants!$H44*'Activity data'!BM9*Constants!$H62*EF!$H210*MMVolatEF*NtoN2O*kgtoGg</f>
        <v>2.2822496677053234E-2</v>
      </c>
      <c r="BN161" s="22">
        <f>Constants!$H44*'Activity data'!BN9*Constants!$H62*EF!$H210*MMVolatEF*NtoN2O*kgtoGg</f>
        <v>2.289515141919678E-2</v>
      </c>
      <c r="BO161" s="22">
        <f>Constants!$H44*'Activity data'!BO9*Constants!$H62*EF!$H210*MMVolatEF*NtoN2O*kgtoGg</f>
        <v>2.2967806160220771E-2</v>
      </c>
      <c r="BP161" s="22">
        <f>Constants!$H44*'Activity data'!BP9*Constants!$H62*EF!$H210*MMVolatEF*NtoN2O*kgtoGg</f>
        <v>2.3040460901244758E-2</v>
      </c>
    </row>
    <row r="162" spans="1:68" x14ac:dyDescent="0.25">
      <c r="A162" t="str">
        <f t="shared" si="58"/>
        <v>3C Aggregated and non-CO2 emissions on land</v>
      </c>
      <c r="B162" t="str">
        <f t="shared" si="62"/>
        <v>3C6 Indirect N2O from manure management (N2O)</v>
      </c>
      <c r="C162" t="str">
        <f t="shared" si="63"/>
        <v>Volatilisation</v>
      </c>
      <c r="D162" t="str">
        <f>'Activity data'!D71</f>
        <v xml:space="preserve"> - Feedlot</v>
      </c>
      <c r="E162" t="str">
        <f t="shared" si="61"/>
        <v>Volatilisation - Feedlot</v>
      </c>
      <c r="F162" t="str">
        <f t="shared" si="47"/>
        <v>N2O</v>
      </c>
      <c r="G162" t="str">
        <f t="shared" si="48"/>
        <v>Gg N2O</v>
      </c>
      <c r="H162" s="22">
        <f>Constants!$H45*'Activity data'!H10*Constants!$H63*EF!$H211*MMVolatEF*NtoN2O*kgtoGg</f>
        <v>0.12283717445999996</v>
      </c>
      <c r="I162" s="22">
        <f>Constants!$H45*'Activity data'!I10*Constants!$H63*EF!$H211*MMVolatEF*NtoN2O*kgtoGg</f>
        <v>0.12283717445999996</v>
      </c>
      <c r="J162" s="22">
        <f>Constants!$H45*'Activity data'!J10*Constants!$H63*EF!$H211*MMVolatEF*NtoN2O*kgtoGg</f>
        <v>0.12283717445999996</v>
      </c>
      <c r="K162" s="22">
        <f>Constants!$H45*'Activity data'!K10*Constants!$H63*EF!$H211*MMVolatEF*NtoN2O*kgtoGg</f>
        <v>0.12283717445999996</v>
      </c>
      <c r="L162" s="22">
        <f>Constants!$H45*'Activity data'!L10*Constants!$H63*EF!$H211*MMVolatEF*NtoN2O*kgtoGg</f>
        <v>0.12283717445999996</v>
      </c>
      <c r="M162" s="22">
        <f>Constants!$H45*'Activity data'!M10*Constants!$H63*EF!$H211*MMVolatEF*NtoN2O*kgtoGg</f>
        <v>0.12283717445999996</v>
      </c>
      <c r="N162" s="22">
        <f>Constants!$H45*'Activity data'!N10*Constants!$H63*EF!$H211*MMVolatEF*NtoN2O*kgtoGg</f>
        <v>0.12283717445999996</v>
      </c>
      <c r="O162" s="22">
        <f>Constants!$H45*'Activity data'!O10*Constants!$H63*EF!$H211*MMVolatEF*NtoN2O*kgtoGg</f>
        <v>0.12283717445999996</v>
      </c>
      <c r="P162" s="22">
        <f>Constants!$H45*'Activity data'!P10*Constants!$H63*EF!$H211*MMVolatEF*NtoN2O*kgtoGg</f>
        <v>0.12283717445999996</v>
      </c>
      <c r="Q162" s="22">
        <f>Constants!$H45*'Activity data'!Q10*Constants!$H63*EF!$H211*MMVolatEF*NtoN2O*kgtoGg</f>
        <v>0.12283717445999996</v>
      </c>
      <c r="R162" s="22">
        <f>Constants!$H45*'Activity data'!R10*Constants!$H63*EF!$H211*MMVolatEF*NtoN2O*kgtoGg</f>
        <v>0.12283717445999996</v>
      </c>
      <c r="S162" s="22">
        <f>Constants!$H45*'Activity data'!S10*Constants!$H63*EF!$H211*MMVolatEF*NtoN2O*kgtoGg</f>
        <v>0.12283717445999996</v>
      </c>
      <c r="T162" s="22">
        <f>Constants!$H45*'Activity data'!T10*Constants!$H63*EF!$H211*MMVolatEF*NtoN2O*kgtoGg</f>
        <v>0.12283717445999996</v>
      </c>
      <c r="U162" s="22">
        <f>Constants!$H45*'Activity data'!U10*Constants!$H63*EF!$H211*MMVolatEF*NtoN2O*kgtoGg</f>
        <v>0.12283717445999996</v>
      </c>
      <c r="V162" s="22">
        <f>Constants!$H45*'Activity data'!V10*Constants!$H63*EF!$H211*MMVolatEF*NtoN2O*kgtoGg</f>
        <v>0.12283717445999996</v>
      </c>
      <c r="W162" s="22">
        <f>Constants!$H45*'Activity data'!W10*Constants!$H63*EF!$H211*MMVolatEF*NtoN2O*kgtoGg</f>
        <v>0.12283717445999996</v>
      </c>
      <c r="X162" s="22">
        <f>Constants!$H45*'Activity data'!X10*Constants!$H63*EF!$H211*MMVolatEF*NtoN2O*kgtoGg</f>
        <v>0.12283717445999996</v>
      </c>
      <c r="Y162" s="22">
        <f>Constants!$H45*'Activity data'!Y10*Constants!$H63*EF!$H211*MMVolatEF*NtoN2O*kgtoGg</f>
        <v>0.12283717445999996</v>
      </c>
      <c r="Z162" s="22">
        <f>Constants!$H45*'Activity data'!Z10*Constants!$H63*EF!$H211*MMVolatEF*NtoN2O*kgtoGg</f>
        <v>0.11439877239615821</v>
      </c>
      <c r="AA162" s="22">
        <f>Constants!$H45*'Activity data'!AA10*Constants!$H63*EF!$H211*MMVolatEF*NtoN2O*kgtoGg</f>
        <v>0.11722743955247324</v>
      </c>
      <c r="AB162" s="22">
        <f>Constants!$H45*'Activity data'!AB10*Constants!$H63*EF!$H211*MMVolatEF*NtoN2O*kgtoGg</f>
        <v>0.116935823125407</v>
      </c>
      <c r="AC162" s="22">
        <f>Constants!$H45*'Activity data'!AC10*Constants!$H63*EF!$H211*MMVolatEF*NtoN2O*kgtoGg</f>
        <v>0.13506244675831047</v>
      </c>
      <c r="AD162" s="22">
        <f>Constants!$H45*'Activity data'!AD10*Constants!$H63*EF!$H211*MMVolatEF*NtoN2O*kgtoGg</f>
        <v>0.13911432016105979</v>
      </c>
      <c r="AE162" s="22">
        <f>Constants!$H45*'Activity data'!AE10*Constants!$H63*EF!$H211*MMVolatEF*NtoN2O*kgtoGg</f>
        <v>0.14328774976589156</v>
      </c>
      <c r="AF162" s="22">
        <f>Constants!$H45*'Activity data'!AF10*Constants!$H63*EF!$H211*MMVolatEF*NtoN2O*kgtoGg</f>
        <v>0.14758638225886836</v>
      </c>
      <c r="AG162" s="22">
        <f>Constants!$H45*'Activity data'!AG10*Constants!$H63*EF!$H211*MMVolatEF*NtoN2O*kgtoGg</f>
        <v>0.15201397372663436</v>
      </c>
      <c r="AH162" s="22">
        <f>Constants!$H45*'Activity data'!AH10*Constants!$H63*EF!$H211*MMVolatEF*NtoN2O*kgtoGg</f>
        <v>0.15657439293843345</v>
      </c>
      <c r="AI162" s="22">
        <f>Constants!$H45*'Activity data'!AI10*Constants!$H63*EF!$H211*MMVolatEF*NtoN2O*kgtoGg</f>
        <v>0.16127162472658643</v>
      </c>
      <c r="AJ162" s="22">
        <f>Constants!$H45*'Activity data'!AJ10*Constants!$H63*EF!$H211*MMVolatEF*NtoN2O*kgtoGg</f>
        <v>0.16610977346838401</v>
      </c>
      <c r="AK162" s="22">
        <f>Constants!$H45*'Activity data'!AK10*Constants!$H63*EF!$H211*MMVolatEF*NtoN2O*kgtoGg</f>
        <v>0.17109306667243554</v>
      </c>
      <c r="AL162" s="22">
        <f>Constants!$H45*'Activity data'!AL10*Constants!$H63*EF!$H211*MMVolatEF*NtoN2O*kgtoGg</f>
        <v>0.17622585867260857</v>
      </c>
      <c r="AM162" s="22">
        <f>Constants!$H45*'Activity data'!AM10*Constants!$H63*EF!$H211*MMVolatEF*NtoN2O*kgtoGg</f>
        <v>0.18151263443278687</v>
      </c>
      <c r="AN162" s="22">
        <f>Constants!$H45*'Activity data'!AN10*Constants!$H63*EF!$H211*MMVolatEF*NtoN2O*kgtoGg</f>
        <v>0.18695801346577046</v>
      </c>
      <c r="AO162" s="22">
        <f>Constants!$H45*'Activity data'!AO10*Constants!$H63*EF!$H211*MMVolatEF*NtoN2O*kgtoGg</f>
        <v>0.19256675386974362</v>
      </c>
      <c r="AP162" s="22">
        <f>Constants!$H45*'Activity data'!AP10*Constants!$H63*EF!$H211*MMVolatEF*NtoN2O*kgtoGg</f>
        <v>0.19834375648583594</v>
      </c>
      <c r="AQ162" s="22">
        <f>Constants!$H45*'Activity data'!AQ10*Constants!$H63*EF!$H211*MMVolatEF*NtoN2O*kgtoGg</f>
        <v>0.20429406918041099</v>
      </c>
      <c r="AR162" s="22">
        <f>Constants!$H45*'Activity data'!AR10*Constants!$H63*EF!$H211*MMVolatEF*NtoN2O*kgtoGg</f>
        <v>0.21042289125582331</v>
      </c>
      <c r="AS162" s="22">
        <f>Constants!$H45*'Activity data'!AS10*Constants!$H63*EF!$H211*MMVolatEF*NtoN2O*kgtoGg</f>
        <v>0.21673557799349802</v>
      </c>
      <c r="AT162" s="22">
        <f>Constants!$H45*'Activity data'!AT10*Constants!$H63*EF!$H211*MMVolatEF*NtoN2O*kgtoGg</f>
        <v>0.22323764533330295</v>
      </c>
      <c r="AU162" s="22">
        <f>Constants!$H45*'Activity data'!AU10*Constants!$H63*EF!$H211*MMVolatEF*NtoN2O*kgtoGg</f>
        <v>0.22993477469330206</v>
      </c>
      <c r="AV162" s="22">
        <f>Constants!$H45*'Activity data'!AV10*Constants!$H63*EF!$H211*MMVolatEF*NtoN2O*kgtoGg</f>
        <v>0.23683281793410119</v>
      </c>
      <c r="AW162" s="22">
        <f>Constants!$H45*'Activity data'!AW10*Constants!$H63*EF!$H211*MMVolatEF*NtoN2O*kgtoGg</f>
        <v>0.24393780247212418</v>
      </c>
      <c r="AX162" s="22">
        <f>Constants!$H45*'Activity data'!AX10*Constants!$H63*EF!$H211*MMVolatEF*NtoN2O*kgtoGg</f>
        <v>0.25125593654628797</v>
      </c>
      <c r="AY162" s="22">
        <f>Constants!$H45*'Activity data'!AY10*Constants!$H63*EF!$H211*MMVolatEF*NtoN2O*kgtoGg</f>
        <v>0.25879361464267658</v>
      </c>
      <c r="AZ162" s="22">
        <f>Constants!$H45*'Activity data'!AZ10*Constants!$H63*EF!$H211*MMVolatEF*NtoN2O*kgtoGg</f>
        <v>0.26655742308195685</v>
      </c>
      <c r="BA162" s="22">
        <f>Constants!$H45*'Activity data'!BA10*Constants!$H63*EF!$H211*MMVolatEF*NtoN2O*kgtoGg</f>
        <v>0.27455414577441561</v>
      </c>
      <c r="BB162" s="22">
        <f>Constants!$H45*'Activity data'!BB10*Constants!$H63*EF!$H211*MMVolatEF*NtoN2O*kgtoGg</f>
        <v>0.28279077014764803</v>
      </c>
      <c r="BC162" s="22">
        <f>Constants!$H45*'Activity data'!BC10*Constants!$H63*EF!$H211*MMVolatEF*NtoN2O*kgtoGg</f>
        <v>0.29127449325207755</v>
      </c>
      <c r="BD162" s="22">
        <f>Constants!$H45*'Activity data'!BD10*Constants!$H63*EF!$H211*MMVolatEF*NtoN2O*kgtoGg</f>
        <v>0.29246946299999999</v>
      </c>
      <c r="BE162" s="22">
        <f>Constants!$H45*'Activity data'!BE10*Constants!$H63*EF!$H211*MMVolatEF*NtoN2O*kgtoGg</f>
        <v>0.29246946299999999</v>
      </c>
      <c r="BF162" s="22">
        <f>Constants!$H45*'Activity data'!BF10*Constants!$H63*EF!$H211*MMVolatEF*NtoN2O*kgtoGg</f>
        <v>0.29246946299999999</v>
      </c>
      <c r="BG162" s="22">
        <f>Constants!$H45*'Activity data'!BG10*Constants!$H63*EF!$H211*MMVolatEF*NtoN2O*kgtoGg</f>
        <v>0.29246946299999999</v>
      </c>
      <c r="BH162" s="22">
        <f>Constants!$H45*'Activity data'!BH10*Constants!$H63*EF!$H211*MMVolatEF*NtoN2O*kgtoGg</f>
        <v>0.29246946299999999</v>
      </c>
      <c r="BI162" s="22">
        <f>Constants!$H45*'Activity data'!BI10*Constants!$H63*EF!$H211*MMVolatEF*NtoN2O*kgtoGg</f>
        <v>0.29246946299999999</v>
      </c>
      <c r="BJ162" s="22">
        <f>Constants!$H45*'Activity data'!BJ10*Constants!$H63*EF!$H211*MMVolatEF*NtoN2O*kgtoGg</f>
        <v>0.29246946299999999</v>
      </c>
      <c r="BK162" s="22">
        <f>Constants!$H45*'Activity data'!BK10*Constants!$H63*EF!$H211*MMVolatEF*NtoN2O*kgtoGg</f>
        <v>0.29246946299999999</v>
      </c>
      <c r="BL162" s="22">
        <f>Constants!$H45*'Activity data'!BL10*Constants!$H63*EF!$H211*MMVolatEF*NtoN2O*kgtoGg</f>
        <v>0.29246946299999999</v>
      </c>
      <c r="BM162" s="22">
        <f>Constants!$H45*'Activity data'!BM10*Constants!$H63*EF!$H211*MMVolatEF*NtoN2O*kgtoGg</f>
        <v>0.29246946299999999</v>
      </c>
      <c r="BN162" s="22">
        <f>Constants!$H45*'Activity data'!BN10*Constants!$H63*EF!$H211*MMVolatEF*NtoN2O*kgtoGg</f>
        <v>0.29246946299999999</v>
      </c>
      <c r="BO162" s="22">
        <f>Constants!$H45*'Activity data'!BO10*Constants!$H63*EF!$H211*MMVolatEF*NtoN2O*kgtoGg</f>
        <v>0.29246946299999999</v>
      </c>
      <c r="BP162" s="22">
        <f>Constants!$H45*'Activity data'!BP10*Constants!$H63*EF!$H211*MMVolatEF*NtoN2O*kgtoGg</f>
        <v>0.29246946299999999</v>
      </c>
    </row>
    <row r="163" spans="1:68" x14ac:dyDescent="0.25">
      <c r="A163" t="str">
        <f t="shared" si="58"/>
        <v>3C Aggregated and non-CO2 emissions on land</v>
      </c>
      <c r="B163" t="str">
        <f t="shared" si="62"/>
        <v>3C6 Indirect N2O from manure management (N2O)</v>
      </c>
      <c r="C163" t="str">
        <f t="shared" si="63"/>
        <v>Volatilisation</v>
      </c>
      <c r="D163" t="str">
        <f>'Activity data'!D72</f>
        <v xml:space="preserve"> - Commercial sheep</v>
      </c>
      <c r="E163" t="str">
        <f t="shared" si="61"/>
        <v>Volatilisation - Commercial sheep</v>
      </c>
      <c r="F163" t="str">
        <f t="shared" si="47"/>
        <v>N2O</v>
      </c>
      <c r="G163" t="str">
        <f t="shared" si="48"/>
        <v>Gg N2O</v>
      </c>
      <c r="H163" s="22">
        <f>Constants!$H46*'Activity data'!H11*Constants!$H64*EF!$H212*MMVolatEF*NtoN2O*kgtoGg</f>
        <v>1.8472261121735457E-4</v>
      </c>
      <c r="I163" s="22">
        <f>Constants!$H46*'Activity data'!I11*Constants!$H64*EF!$H212*MMVolatEF*NtoN2O*kgtoGg</f>
        <v>1.7641659434150834E-4</v>
      </c>
      <c r="J163" s="22">
        <f>Constants!$H46*'Activity data'!J11*Constants!$H64*EF!$H212*MMVolatEF*NtoN2O*kgtoGg</f>
        <v>1.6912726350758691E-4</v>
      </c>
      <c r="K163" s="22">
        <f>Constants!$H46*'Activity data'!K11*Constants!$H64*EF!$H212*MMVolatEF*NtoN2O*kgtoGg</f>
        <v>1.5817170118914879E-4</v>
      </c>
      <c r="L163" s="22">
        <f>Constants!$H46*'Activity data'!L11*Constants!$H64*EF!$H212*MMVolatEF*NtoN2O*kgtoGg</f>
        <v>1.5928697496847238E-4</v>
      </c>
      <c r="M163" s="22">
        <f>Constants!$H46*'Activity data'!M11*Constants!$H64*EF!$H212*MMVolatEF*NtoN2O*kgtoGg</f>
        <v>1.5700713354112583E-4</v>
      </c>
      <c r="N163" s="22">
        <f>Constants!$H46*'Activity data'!N11*Constants!$H64*EF!$H212*MMVolatEF*NtoN2O*kgtoGg</f>
        <v>1.575308808960568E-4</v>
      </c>
      <c r="O163" s="22">
        <f>Constants!$H46*'Activity data'!O11*Constants!$H64*EF!$H212*MMVolatEF*NtoN2O*kgtoGg</f>
        <v>1.541049570214496E-4</v>
      </c>
      <c r="P163" s="22">
        <f>Constants!$H46*'Activity data'!P11*Constants!$H64*EF!$H212*MMVolatEF*NtoN2O*kgtoGg</f>
        <v>1.5453011663898181E-4</v>
      </c>
      <c r="Q163" s="22">
        <f>Constants!$H46*'Activity data'!Q11*Constants!$H64*EF!$H212*MMVolatEF*NtoN2O*kgtoGg</f>
        <v>1.5073448874912916E-4</v>
      </c>
      <c r="R163" s="22">
        <f>Constants!$H46*'Activity data'!R11*Constants!$H64*EF!$H212*MMVolatEF*NtoN2O*kgtoGg</f>
        <v>1.4533064839295922E-4</v>
      </c>
      <c r="S163" s="22">
        <f>Constants!$H46*'Activity data'!S11*Constants!$H64*EF!$H212*MMVolatEF*NtoN2O*kgtoGg</f>
        <v>1.4170754904355447E-4</v>
      </c>
      <c r="T163" s="22">
        <f>Constants!$H46*'Activity data'!T11*Constants!$H64*EF!$H212*MMVolatEF*NtoN2O*kgtoGg</f>
        <v>1.3934144334598408E-4</v>
      </c>
      <c r="U163" s="22">
        <f>Constants!$H46*'Activity data'!U11*Constants!$H64*EF!$H212*MMVolatEF*NtoN2O*kgtoGg</f>
        <v>1.3982822029939045E-4</v>
      </c>
      <c r="V163" s="22">
        <f>Constants!$H46*'Activity data'!V11*Constants!$H64*EF!$H212*MMVolatEF*NtoN2O*kgtoGg</f>
        <v>1.3733887993007157E-4</v>
      </c>
      <c r="W163" s="22">
        <f>Constants!$H46*'Activity data'!W11*Constants!$H64*EF!$H212*MMVolatEF*NtoN2O*kgtoGg</f>
        <v>1.3701230804993817E-4</v>
      </c>
      <c r="X163" s="22">
        <f>Constants!$H46*'Activity data'!X11*Constants!$H64*EF!$H212*MMVolatEF*NtoN2O*kgtoGg</f>
        <v>1.3521924357599806E-4</v>
      </c>
      <c r="Y163" s="22">
        <f>Constants!$H46*'Activity data'!Y11*Constants!$H64*EF!$H212*MMVolatEF*NtoN2O*kgtoGg</f>
        <v>1.3508984717066217E-4</v>
      </c>
      <c r="Z163" s="22">
        <f>Constants!$H46*'Activity data'!Z11*Constants!$H64*EF!$H212*MMVolatEF*NtoN2O*kgtoGg</f>
        <v>1.3552733025536923E-4</v>
      </c>
      <c r="AA163" s="22">
        <f>Constants!$H46*'Activity data'!AA11*Constants!$H64*EF!$H212*MMVolatEF*NtoN2O*kgtoGg</f>
        <v>1.3504671503555021E-4</v>
      </c>
      <c r="AB163" s="22">
        <f>Constants!$H46*'Activity data'!AB11*Constants!$H64*EF!$H212*MMVolatEF*NtoN2O*kgtoGg</f>
        <v>1.3243413999448287E-4</v>
      </c>
      <c r="AC163" s="22">
        <f>Constants!$H46*'Activity data'!AC11*Constants!$H64*EF!$H212*MMVolatEF*NtoN2O*kgtoGg</f>
        <v>1.3139896875179576E-4</v>
      </c>
      <c r="AD163" s="22">
        <f>Constants!$H46*'Activity data'!AD11*Constants!$H64*EF!$H212*MMVolatEF*NtoN2O*kgtoGg</f>
        <v>1.3490555454601655E-4</v>
      </c>
      <c r="AE163" s="22">
        <f>Constants!$H46*'Activity data'!AE11*Constants!$H64*EF!$H212*MMVolatEF*NtoN2O*kgtoGg</f>
        <v>1.3446017124334308E-4</v>
      </c>
      <c r="AF163" s="22">
        <f>Constants!$H46*'Activity data'!AF11*Constants!$H64*EF!$H212*MMVolatEF*NtoN2O*kgtoGg</f>
        <v>1.3402593115083476E-4</v>
      </c>
      <c r="AG163" s="22">
        <f>Constants!$H46*'Activity data'!AG11*Constants!$H64*EF!$H212*MMVolatEF*NtoN2O*kgtoGg</f>
        <v>1.3360308005317539E-4</v>
      </c>
      <c r="AH163" s="22">
        <f>Constants!$H46*'Activity data'!AH11*Constants!$H64*EF!$H212*MMVolatEF*NtoN2O*kgtoGg</f>
        <v>1.3315767526468389E-4</v>
      </c>
      <c r="AI163" s="22">
        <f>Constants!$H46*'Activity data'!AI11*Constants!$H64*EF!$H212*MMVolatEF*NtoN2O*kgtoGg</f>
        <v>1.3271219104726069E-4</v>
      </c>
      <c r="AJ163" s="22">
        <f>Constants!$H46*'Activity data'!AJ11*Constants!$H64*EF!$H212*MMVolatEF*NtoN2O*kgtoGg</f>
        <v>1.3227538522381287E-4</v>
      </c>
      <c r="AK163" s="22">
        <f>Constants!$H46*'Activity data'!AK11*Constants!$H64*EF!$H212*MMVolatEF*NtoN2O*kgtoGg</f>
        <v>1.3184683675430099E-4</v>
      </c>
      <c r="AL163" s="22">
        <f>Constants!$H46*'Activity data'!AL11*Constants!$H64*EF!$H212*MMVolatEF*NtoN2O*kgtoGg</f>
        <v>1.3155147139620884E-4</v>
      </c>
      <c r="AM163" s="22">
        <f>Constants!$H46*'Activity data'!AM11*Constants!$H64*EF!$H212*MMVolatEF*NtoN2O*kgtoGg</f>
        <v>1.311082742654943E-4</v>
      </c>
      <c r="AN163" s="22">
        <f>Constants!$H46*'Activity data'!AN11*Constants!$H64*EF!$H212*MMVolatEF*NtoN2O*kgtoGg</f>
        <v>1.3067245366105436E-4</v>
      </c>
      <c r="AO163" s="22">
        <f>Constants!$H46*'Activity data'!AO11*Constants!$H64*EF!$H212*MMVolatEF*NtoN2O*kgtoGg</f>
        <v>1.302422667022507E-4</v>
      </c>
      <c r="AP163" s="22">
        <f>Constants!$H46*'Activity data'!AP11*Constants!$H64*EF!$H212*MMVolatEF*NtoN2O*kgtoGg</f>
        <v>1.2981890032717254E-4</v>
      </c>
      <c r="AQ163" s="22">
        <f>Constants!$H46*'Activity data'!AQ11*Constants!$H64*EF!$H212*MMVolatEF*NtoN2O*kgtoGg</f>
        <v>1.2939990496174108E-4</v>
      </c>
      <c r="AR163" s="22">
        <f>Constants!$H46*'Activity data'!AR11*Constants!$H64*EF!$H212*MMVolatEF*NtoN2O*kgtoGg</f>
        <v>1.2894910503943592E-4</v>
      </c>
      <c r="AS163" s="22">
        <f>Constants!$H46*'Activity data'!AS11*Constants!$H64*EF!$H212*MMVolatEF*NtoN2O*kgtoGg</f>
        <v>1.2850494114900976E-4</v>
      </c>
      <c r="AT163" s="22">
        <f>Constants!$H46*'Activity data'!AT11*Constants!$H64*EF!$H212*MMVolatEF*NtoN2O*kgtoGg</f>
        <v>1.2806534554174747E-4</v>
      </c>
      <c r="AU163" s="22">
        <f>Constants!$H46*'Activity data'!AU11*Constants!$H64*EF!$H212*MMVolatEF*NtoN2O*kgtoGg</f>
        <v>1.2763061405717487E-4</v>
      </c>
      <c r="AV163" s="22">
        <f>Constants!$H46*'Activity data'!AV11*Constants!$H64*EF!$H212*MMVolatEF*NtoN2O*kgtoGg</f>
        <v>1.2720052704994365E-4</v>
      </c>
      <c r="AW163" s="22">
        <f>Constants!$H46*'Activity data'!AW11*Constants!$H64*EF!$H212*MMVolatEF*NtoN2O*kgtoGg</f>
        <v>1.2678211056389398E-4</v>
      </c>
      <c r="AX163" s="22">
        <f>Constants!$H46*'Activity data'!AX11*Constants!$H64*EF!$H212*MMVolatEF*NtoN2O*kgtoGg</f>
        <v>1.2678211056389398E-4</v>
      </c>
      <c r="AY163" s="22">
        <f>Constants!$H46*'Activity data'!AY11*Constants!$H64*EF!$H212*MMVolatEF*NtoN2O*kgtoGg</f>
        <v>1.2678211056389398E-4</v>
      </c>
      <c r="AZ163" s="22">
        <f>Constants!$H46*'Activity data'!AZ11*Constants!$H64*EF!$H212*MMVolatEF*NtoN2O*kgtoGg</f>
        <v>1.2678211056389398E-4</v>
      </c>
      <c r="BA163" s="22">
        <f>Constants!$H46*'Activity data'!BA11*Constants!$H64*EF!$H212*MMVolatEF*NtoN2O*kgtoGg</f>
        <v>1.2678211056389398E-4</v>
      </c>
      <c r="BB163" s="22">
        <f>Constants!$H46*'Activity data'!BB11*Constants!$H64*EF!$H212*MMVolatEF*NtoN2O*kgtoGg</f>
        <v>1.2678211056389398E-4</v>
      </c>
      <c r="BC163" s="22">
        <f>Constants!$H46*'Activity data'!BC11*Constants!$H64*EF!$H212*MMVolatEF*NtoN2O*kgtoGg</f>
        <v>1.2678211056389398E-4</v>
      </c>
      <c r="BD163" s="22">
        <f>Constants!$H46*'Activity data'!BD11*Constants!$H64*EF!$H212*MMVolatEF*NtoN2O*kgtoGg</f>
        <v>1.2678211056389398E-4</v>
      </c>
      <c r="BE163" s="22">
        <f>Constants!$H46*'Activity data'!BE11*Constants!$H64*EF!$H212*MMVolatEF*NtoN2O*kgtoGg</f>
        <v>1.2678211056389398E-4</v>
      </c>
      <c r="BF163" s="22">
        <f>Constants!$H46*'Activity data'!BF11*Constants!$H64*EF!$H212*MMVolatEF*NtoN2O*kgtoGg</f>
        <v>1.2678211056389398E-4</v>
      </c>
      <c r="BG163" s="22">
        <f>Constants!$H46*'Activity data'!BG11*Constants!$H64*EF!$H212*MMVolatEF*NtoN2O*kgtoGg</f>
        <v>1.2678211056389398E-4</v>
      </c>
      <c r="BH163" s="22">
        <f>Constants!$H46*'Activity data'!BH11*Constants!$H64*EF!$H212*MMVolatEF*NtoN2O*kgtoGg</f>
        <v>1.2678211056389398E-4</v>
      </c>
      <c r="BI163" s="22">
        <f>Constants!$H46*'Activity data'!BI11*Constants!$H64*EF!$H212*MMVolatEF*NtoN2O*kgtoGg</f>
        <v>1.2678211056389398E-4</v>
      </c>
      <c r="BJ163" s="22">
        <f>Constants!$H46*'Activity data'!BJ11*Constants!$H64*EF!$H212*MMVolatEF*NtoN2O*kgtoGg</f>
        <v>1.2678211056389398E-4</v>
      </c>
      <c r="BK163" s="22">
        <f>Constants!$H46*'Activity data'!BK11*Constants!$H64*EF!$H212*MMVolatEF*NtoN2O*kgtoGg</f>
        <v>1.2678211056389398E-4</v>
      </c>
      <c r="BL163" s="22">
        <f>Constants!$H46*'Activity data'!BL11*Constants!$H64*EF!$H212*MMVolatEF*NtoN2O*kgtoGg</f>
        <v>1.2678211056389398E-4</v>
      </c>
      <c r="BM163" s="22">
        <f>Constants!$H46*'Activity data'!BM11*Constants!$H64*EF!$H212*MMVolatEF*NtoN2O*kgtoGg</f>
        <v>1.2678211056389398E-4</v>
      </c>
      <c r="BN163" s="22">
        <f>Constants!$H46*'Activity data'!BN11*Constants!$H64*EF!$H212*MMVolatEF*NtoN2O*kgtoGg</f>
        <v>1.2678211056389398E-4</v>
      </c>
      <c r="BO163" s="22">
        <f>Constants!$H46*'Activity data'!BO11*Constants!$H64*EF!$H212*MMVolatEF*NtoN2O*kgtoGg</f>
        <v>1.2678211056389398E-4</v>
      </c>
      <c r="BP163" s="22">
        <f>Constants!$H46*'Activity data'!BP11*Constants!$H64*EF!$H212*MMVolatEF*NtoN2O*kgtoGg</f>
        <v>1.2678211056389398E-4</v>
      </c>
    </row>
    <row r="164" spans="1:68" x14ac:dyDescent="0.25">
      <c r="A164" t="str">
        <f t="shared" si="58"/>
        <v>3C Aggregated and non-CO2 emissions on land</v>
      </c>
      <c r="B164" t="str">
        <f t="shared" si="62"/>
        <v>3C6 Indirect N2O from manure management (N2O)</v>
      </c>
      <c r="C164" t="str">
        <f t="shared" si="63"/>
        <v>Volatilisation</v>
      </c>
      <c r="D164" t="str">
        <f>'Activity data'!D73</f>
        <v xml:space="preserve"> - Subsistence sheep</v>
      </c>
      <c r="E164" t="str">
        <f t="shared" si="61"/>
        <v>Volatilisation - Subsistence sheep</v>
      </c>
      <c r="F164" t="str">
        <f t="shared" si="47"/>
        <v>N2O</v>
      </c>
      <c r="G164" t="str">
        <f t="shared" si="48"/>
        <v>Gg N2O</v>
      </c>
      <c r="H164" s="22">
        <f>Constants!$H47*'Activity data'!H12*Constants!$H65*EF!$H213*MMVolatEF*NtoN2O*kgtoGg</f>
        <v>1.1839669160909449E-3</v>
      </c>
      <c r="I164" s="22">
        <f>Constants!$H47*'Activity data'!I12*Constants!$H65*EF!$H213*MMVolatEF*NtoN2O*kgtoGg</f>
        <v>1.1307300702024701E-3</v>
      </c>
      <c r="J164" s="22">
        <f>Constants!$H47*'Activity data'!J12*Constants!$H65*EF!$H213*MMVolatEF*NtoN2O*kgtoGg</f>
        <v>1.0840096038181478E-3</v>
      </c>
      <c r="K164" s="22">
        <f>Constants!$H47*'Activity data'!K12*Constants!$H65*EF!$H213*MMVolatEF*NtoN2O*kgtoGg</f>
        <v>1.0137906780097589E-3</v>
      </c>
      <c r="L164" s="22">
        <f>Constants!$H47*'Activity data'!L12*Constants!$H65*EF!$H213*MMVolatEF*NtoN2O*kgtoGg</f>
        <v>1.0209389488597691E-3</v>
      </c>
      <c r="M164" s="22">
        <f>Constants!$H47*'Activity data'!M12*Constants!$H65*EF!$H213*MMVolatEF*NtoN2O*kgtoGg</f>
        <v>1.0063264614868198E-3</v>
      </c>
      <c r="N164" s="22">
        <f>Constants!$H47*'Activity data'!N12*Constants!$H65*EF!$H213*MMVolatEF*NtoN2O*kgtoGg</f>
        <v>1.0096833842616864E-3</v>
      </c>
      <c r="O164" s="22">
        <f>Constants!$H47*'Activity data'!O12*Constants!$H65*EF!$H213*MMVolatEF*NtoN2O*kgtoGg</f>
        <v>9.877251599931464E-4</v>
      </c>
      <c r="P164" s="22">
        <f>Constants!$H47*'Activity data'!P12*Constants!$H65*EF!$H213*MMVolatEF*NtoN2O*kgtoGg</f>
        <v>9.9045019142215908E-4</v>
      </c>
      <c r="Q164" s="22">
        <f>Constants!$H47*'Activity data'!Q12*Constants!$H65*EF!$H213*MMVolatEF*NtoN2O*kgtoGg</f>
        <v>9.66122374606654E-4</v>
      </c>
      <c r="R164" s="22">
        <f>Constants!$H47*'Activity data'!R12*Constants!$H65*EF!$H213*MMVolatEF*NtoN2O*kgtoGg</f>
        <v>9.3148683021185221E-4</v>
      </c>
      <c r="S164" s="22">
        <f>Constants!$H47*'Activity data'!S12*Constants!$H65*EF!$H213*MMVolatEF*NtoN2O*kgtoGg</f>
        <v>9.0826482325159742E-4</v>
      </c>
      <c r="T164" s="22">
        <f>Constants!$H47*'Activity data'!T12*Constants!$H65*EF!$H213*MMVolatEF*NtoN2O*kgtoGg</f>
        <v>8.9309943095102287E-4</v>
      </c>
      <c r="U164" s="22">
        <f>Constants!$H47*'Activity data'!U12*Constants!$H65*EF!$H213*MMVolatEF*NtoN2O*kgtoGg</f>
        <v>8.962193944711932E-4</v>
      </c>
      <c r="V164" s="22">
        <f>Constants!$H47*'Activity data'!V12*Constants!$H65*EF!$H213*MMVolatEF*NtoN2O*kgtoGg</f>
        <v>8.8026413798829686E-4</v>
      </c>
      <c r="W164" s="22">
        <f>Constants!$H47*'Activity data'!W12*Constants!$H65*EF!$H213*MMVolatEF*NtoN2O*kgtoGg</f>
        <v>8.7817099790514486E-4</v>
      </c>
      <c r="X164" s="22">
        <f>Constants!$H47*'Activity data'!X12*Constants!$H65*EF!$H213*MMVolatEF*NtoN2O*kgtoGg</f>
        <v>8.6667847405236557E-4</v>
      </c>
      <c r="Y164" s="22">
        <f>Constants!$H47*'Activity data'!Y12*Constants!$H65*EF!$H213*MMVolatEF*NtoN2O*kgtoGg</f>
        <v>8.658491166609279E-4</v>
      </c>
      <c r="Z164" s="22">
        <f>Constants!$H47*'Activity data'!Z12*Constants!$H65*EF!$H213*MMVolatEF*NtoN2O*kgtoGg</f>
        <v>8.6865313450816973E-4</v>
      </c>
      <c r="AA164" s="22">
        <f>Constants!$H47*'Activity data'!AA12*Constants!$H65*EF!$H213*MMVolatEF*NtoN2O*kgtoGg</f>
        <v>8.6557266419711528E-4</v>
      </c>
      <c r="AB164" s="22">
        <f>Constants!$H47*'Activity data'!AB12*Constants!$H65*EF!$H213*MMVolatEF*NtoN2O*kgtoGg</f>
        <v>8.4882754353189779E-4</v>
      </c>
      <c r="AC164" s="22">
        <f>Constants!$H47*'Activity data'!AC12*Constants!$H65*EF!$H213*MMVolatEF*NtoN2O*kgtoGg</f>
        <v>8.4219268440039634E-4</v>
      </c>
      <c r="AD164" s="22">
        <f>Constants!$H47*'Activity data'!AD12*Constants!$H65*EF!$H213*MMVolatEF*NtoN2O*kgtoGg</f>
        <v>8.6739534338471538E-4</v>
      </c>
      <c r="AE164" s="22">
        <f>Constants!$H47*'Activity data'!AE12*Constants!$H65*EF!$H213*MMVolatEF*NtoN2O*kgtoGg</f>
        <v>8.6453168514573223E-4</v>
      </c>
      <c r="AF164" s="22">
        <f>Constants!$H47*'Activity data'!AF12*Constants!$H65*EF!$H213*MMVolatEF*NtoN2O*kgtoGg</f>
        <v>8.6173967383515134E-4</v>
      </c>
      <c r="AG164" s="22">
        <f>Constants!$H47*'Activity data'!AG12*Constants!$H65*EF!$H213*MMVolatEF*NtoN2O*kgtoGg</f>
        <v>8.5902088976218152E-4</v>
      </c>
      <c r="AH164" s="22">
        <f>Constants!$H47*'Activity data'!AH12*Constants!$H65*EF!$H213*MMVolatEF*NtoN2O*kgtoGg</f>
        <v>8.5615709337693322E-4</v>
      </c>
      <c r="AI164" s="22">
        <f>Constants!$H47*'Activity data'!AI12*Constants!$H65*EF!$H213*MMVolatEF*NtoN2O*kgtoGg</f>
        <v>8.5329278629154583E-4</v>
      </c>
      <c r="AJ164" s="22">
        <f>Constants!$H47*'Activity data'!AJ12*Constants!$H65*EF!$H213*MMVolatEF*NtoN2O*kgtoGg</f>
        <v>8.5048427823198561E-4</v>
      </c>
      <c r="AK164" s="22">
        <f>Constants!$H47*'Activity data'!AK12*Constants!$H65*EF!$H213*MMVolatEF*NtoN2O*kgtoGg</f>
        <v>8.4772886205864741E-4</v>
      </c>
      <c r="AL164" s="22">
        <f>Constants!$H47*'Activity data'!AL12*Constants!$H65*EF!$H213*MMVolatEF*NtoN2O*kgtoGg</f>
        <v>8.4582976652423155E-4</v>
      </c>
      <c r="AM164" s="22">
        <f>Constants!$H47*'Activity data'!AM12*Constants!$H65*EF!$H213*MMVolatEF*NtoN2O*kgtoGg</f>
        <v>8.429801646032656E-4</v>
      </c>
      <c r="AN164" s="22">
        <f>Constants!$H47*'Activity data'!AN12*Constants!$H65*EF!$H213*MMVolatEF*NtoN2O*kgtoGg</f>
        <v>8.4017799115596384E-4</v>
      </c>
      <c r="AO164" s="22">
        <f>Constants!$H47*'Activity data'!AO12*Constants!$H65*EF!$H213*MMVolatEF*NtoN2O*kgtoGg</f>
        <v>8.3741204007183837E-4</v>
      </c>
      <c r="AP164" s="22">
        <f>Constants!$H47*'Activity data'!AP12*Constants!$H65*EF!$H213*MMVolatEF*NtoN2O*kgtoGg</f>
        <v>8.3468994294600655E-4</v>
      </c>
      <c r="AQ164" s="22">
        <f>Constants!$H47*'Activity data'!AQ12*Constants!$H65*EF!$H213*MMVolatEF*NtoN2O*kgtoGg</f>
        <v>8.3199594987731459E-4</v>
      </c>
      <c r="AR164" s="22">
        <f>Constants!$H47*'Activity data'!AR12*Constants!$H65*EF!$H213*MMVolatEF*NtoN2O*kgtoGg</f>
        <v>8.2909746467615616E-4</v>
      </c>
      <c r="AS164" s="22">
        <f>Constants!$H47*'Activity data'!AS12*Constants!$H65*EF!$H213*MMVolatEF*NtoN2O*kgtoGg</f>
        <v>8.2624164682972446E-4</v>
      </c>
      <c r="AT164" s="22">
        <f>Constants!$H47*'Activity data'!AT12*Constants!$H65*EF!$H213*MMVolatEF*NtoN2O*kgtoGg</f>
        <v>8.2341520143987474E-4</v>
      </c>
      <c r="AU164" s="22">
        <f>Constants!$H47*'Activity data'!AU12*Constants!$H65*EF!$H213*MMVolatEF*NtoN2O*kgtoGg</f>
        <v>8.2062003065087397E-4</v>
      </c>
      <c r="AV164" s="22">
        <f>Constants!$H47*'Activity data'!AV12*Constants!$H65*EF!$H213*MMVolatEF*NtoN2O*kgtoGg</f>
        <v>8.1785472222026083E-4</v>
      </c>
      <c r="AW164" s="22">
        <f>Constants!$H47*'Activity data'!AW12*Constants!$H65*EF!$H213*MMVolatEF*NtoN2O*kgtoGg</f>
        <v>8.1516445114271894E-4</v>
      </c>
      <c r="AX164" s="22">
        <f>Constants!$H47*'Activity data'!AX12*Constants!$H65*EF!$H213*MMVolatEF*NtoN2O*kgtoGg</f>
        <v>8.1516445114271894E-4</v>
      </c>
      <c r="AY164" s="22">
        <f>Constants!$H47*'Activity data'!AY12*Constants!$H65*EF!$H213*MMVolatEF*NtoN2O*kgtoGg</f>
        <v>8.1516445114271894E-4</v>
      </c>
      <c r="AZ164" s="22">
        <f>Constants!$H47*'Activity data'!AZ12*Constants!$H65*EF!$H213*MMVolatEF*NtoN2O*kgtoGg</f>
        <v>8.1516445114271894E-4</v>
      </c>
      <c r="BA164" s="22">
        <f>Constants!$H47*'Activity data'!BA12*Constants!$H65*EF!$H213*MMVolatEF*NtoN2O*kgtoGg</f>
        <v>8.1516445114271894E-4</v>
      </c>
      <c r="BB164" s="22">
        <f>Constants!$H47*'Activity data'!BB12*Constants!$H65*EF!$H213*MMVolatEF*NtoN2O*kgtoGg</f>
        <v>8.1516445114271894E-4</v>
      </c>
      <c r="BC164" s="22">
        <f>Constants!$H47*'Activity data'!BC12*Constants!$H65*EF!$H213*MMVolatEF*NtoN2O*kgtoGg</f>
        <v>8.1516445114271894E-4</v>
      </c>
      <c r="BD164" s="22">
        <f>Constants!$H47*'Activity data'!BD12*Constants!$H65*EF!$H213*MMVolatEF*NtoN2O*kgtoGg</f>
        <v>8.1516445114271894E-4</v>
      </c>
      <c r="BE164" s="22">
        <f>Constants!$H47*'Activity data'!BE12*Constants!$H65*EF!$H213*MMVolatEF*NtoN2O*kgtoGg</f>
        <v>8.1516445114271894E-4</v>
      </c>
      <c r="BF164" s="22">
        <f>Constants!$H47*'Activity data'!BF12*Constants!$H65*EF!$H213*MMVolatEF*NtoN2O*kgtoGg</f>
        <v>8.1516445114271894E-4</v>
      </c>
      <c r="BG164" s="22">
        <f>Constants!$H47*'Activity data'!BG12*Constants!$H65*EF!$H213*MMVolatEF*NtoN2O*kgtoGg</f>
        <v>8.1516445114271894E-4</v>
      </c>
      <c r="BH164" s="22">
        <f>Constants!$H47*'Activity data'!BH12*Constants!$H65*EF!$H213*MMVolatEF*NtoN2O*kgtoGg</f>
        <v>8.1516445114271894E-4</v>
      </c>
      <c r="BI164" s="22">
        <f>Constants!$H47*'Activity data'!BI12*Constants!$H65*EF!$H213*MMVolatEF*NtoN2O*kgtoGg</f>
        <v>8.1516445114271894E-4</v>
      </c>
      <c r="BJ164" s="22">
        <f>Constants!$H47*'Activity data'!BJ12*Constants!$H65*EF!$H213*MMVolatEF*NtoN2O*kgtoGg</f>
        <v>8.1516445114271894E-4</v>
      </c>
      <c r="BK164" s="22">
        <f>Constants!$H47*'Activity data'!BK12*Constants!$H65*EF!$H213*MMVolatEF*NtoN2O*kgtoGg</f>
        <v>8.1516445114271894E-4</v>
      </c>
      <c r="BL164" s="22">
        <f>Constants!$H47*'Activity data'!BL12*Constants!$H65*EF!$H213*MMVolatEF*NtoN2O*kgtoGg</f>
        <v>8.1516445114271894E-4</v>
      </c>
      <c r="BM164" s="22">
        <f>Constants!$H47*'Activity data'!BM12*Constants!$H65*EF!$H213*MMVolatEF*NtoN2O*kgtoGg</f>
        <v>8.1516445114271894E-4</v>
      </c>
      <c r="BN164" s="22">
        <f>Constants!$H47*'Activity data'!BN12*Constants!$H65*EF!$H213*MMVolatEF*NtoN2O*kgtoGg</f>
        <v>8.1516445114271894E-4</v>
      </c>
      <c r="BO164" s="22">
        <f>Constants!$H47*'Activity data'!BO12*Constants!$H65*EF!$H213*MMVolatEF*NtoN2O*kgtoGg</f>
        <v>8.1516445114271894E-4</v>
      </c>
      <c r="BP164" s="22">
        <f>Constants!$H47*'Activity data'!BP12*Constants!$H65*EF!$H213*MMVolatEF*NtoN2O*kgtoGg</f>
        <v>8.1516445114271894E-4</v>
      </c>
    </row>
    <row r="165" spans="1:68" x14ac:dyDescent="0.25">
      <c r="A165" t="str">
        <f t="shared" si="58"/>
        <v>3C Aggregated and non-CO2 emissions on land</v>
      </c>
      <c r="B165" t="str">
        <f t="shared" si="62"/>
        <v>3C6 Indirect N2O from manure management (N2O)</v>
      </c>
      <c r="C165" t="str">
        <f t="shared" si="63"/>
        <v>Volatilisation</v>
      </c>
      <c r="D165" t="str">
        <f>'Activity data'!D74</f>
        <v xml:space="preserve"> - Commercial goats</v>
      </c>
      <c r="E165" t="str">
        <f t="shared" si="61"/>
        <v>Volatilisation - Commercial goats</v>
      </c>
      <c r="F165" t="str">
        <f t="shared" si="47"/>
        <v>N2O</v>
      </c>
      <c r="G165" t="str">
        <f t="shared" si="48"/>
        <v>Gg N2O</v>
      </c>
      <c r="H165" s="22">
        <f>Constants!$H48*'Activity data'!H13*Constants!$H66*EF!$H214*MMVolatEF*NtoN2O*kgtoGg</f>
        <v>1.9430751682320126E-5</v>
      </c>
      <c r="I165" s="22">
        <f>Constants!$H48*'Activity data'!I13*Constants!$H66*EF!$H214*MMVolatEF*NtoN2O*kgtoGg</f>
        <v>1.7182276091107166E-5</v>
      </c>
      <c r="J165" s="22">
        <f>Constants!$H48*'Activity data'!J13*Constants!$H66*EF!$H214*MMVolatEF*NtoN2O*kgtoGg</f>
        <v>1.6005503819070468E-5</v>
      </c>
      <c r="K165" s="22">
        <f>Constants!$H48*'Activity data'!K13*Constants!$H66*EF!$H214*MMVolatEF*NtoN2O*kgtoGg</f>
        <v>1.5122924615042945E-5</v>
      </c>
      <c r="L165" s="22">
        <f>Constants!$H48*'Activity data'!L13*Constants!$H66*EF!$H214*MMVolatEF*NtoN2O*kgtoGg</f>
        <v>1.6369742855653251E-5</v>
      </c>
      <c r="M165" s="22">
        <f>Constants!$H48*'Activity data'!M13*Constants!$H66*EF!$H214*MMVolatEF*NtoN2O*kgtoGg</f>
        <v>1.6593889955088815E-5</v>
      </c>
      <c r="N165" s="22">
        <f>Constants!$H48*'Activity data'!N13*Constants!$H66*EF!$H214*MMVolatEF*NtoN2O*kgtoGg</f>
        <v>1.6853060038811182E-5</v>
      </c>
      <c r="O165" s="22">
        <f>Constants!$H48*'Activity data'!O13*Constants!$H66*EF!$H214*MMVolatEF*NtoN2O*kgtoGg</f>
        <v>1.6769004876522849E-5</v>
      </c>
      <c r="P165" s="22">
        <f>Constants!$H48*'Activity data'!P13*Constants!$H66*EF!$H214*MMVolatEF*NtoN2O*kgtoGg</f>
        <v>1.6530848583372566E-5</v>
      </c>
      <c r="Q165" s="22">
        <f>Constants!$H48*'Activity data'!Q13*Constants!$H66*EF!$H214*MMVolatEF*NtoN2O*kgtoGg</f>
        <v>1.6285687693364925E-5</v>
      </c>
      <c r="R165" s="22">
        <f>Constants!$H48*'Activity data'!R13*Constants!$H66*EF!$H214*MMVolatEF*NtoN2O*kgtoGg</f>
        <v>1.6495825599085754E-5</v>
      </c>
      <c r="S165" s="22">
        <f>Constants!$H48*'Activity data'!S13*Constants!$H66*EF!$H214*MMVolatEF*NtoN2O*kgtoGg</f>
        <v>1.7000156572815771E-5</v>
      </c>
      <c r="T165" s="22">
        <f>Constants!$H48*'Activity data'!T13*Constants!$H66*EF!$H214*MMVolatEF*NtoN2O*kgtoGg</f>
        <v>1.5522186635912543E-5</v>
      </c>
      <c r="U165" s="22">
        <f>Constants!$H48*'Activity data'!U13*Constants!$H66*EF!$H214*MMVolatEF*NtoN2O*kgtoGg</f>
        <v>1.5129929211900313E-5</v>
      </c>
      <c r="V165" s="22">
        <f>Constants!$H48*'Activity data'!V13*Constants!$H66*EF!$H214*MMVolatEF*NtoN2O*kgtoGg</f>
        <v>1.5157947599329762E-5</v>
      </c>
      <c r="W165" s="22">
        <f>Constants!$H48*'Activity data'!W13*Constants!$H66*EF!$H214*MMVolatEF*NtoN2O*kgtoGg</f>
        <v>1.496181888732364E-5</v>
      </c>
      <c r="X165" s="22">
        <f>Constants!$H48*'Activity data'!X13*Constants!$H66*EF!$H214*MMVolatEF*NtoN2O*kgtoGg</f>
        <v>1.5277025745904899E-5</v>
      </c>
      <c r="Y165" s="22">
        <f>Constants!$H48*'Activity data'!Y13*Constants!$H66*EF!$H214*MMVolatEF*NtoN2O*kgtoGg</f>
        <v>1.4821726950176417E-5</v>
      </c>
      <c r="Z165" s="22">
        <f>Constants!$H48*'Activity data'!Z13*Constants!$H66*EF!$H214*MMVolatEF*NtoN2O*kgtoGg</f>
        <v>1.4807717756461697E-5</v>
      </c>
      <c r="AA165" s="22">
        <f>Constants!$H48*'Activity data'!AA13*Constants!$H66*EF!$H214*MMVolatEF*NtoN2O*kgtoGg</f>
        <v>1.454854767273933E-5</v>
      </c>
      <c r="AB165" s="22">
        <f>Constants!$H48*'Activity data'!AB13*Constants!$H66*EF!$H214*MMVolatEF*NtoN2O*kgtoGg</f>
        <v>1.4373432751305298E-5</v>
      </c>
      <c r="AC165" s="22">
        <f>Constants!$H48*'Activity data'!AC13*Constants!$H66*EF!$H214*MMVolatEF*NtoN2O*kgtoGg</f>
        <v>1.4240345411015434E-5</v>
      </c>
      <c r="AD165" s="22">
        <f>Constants!$H48*'Activity data'!AD13*Constants!$H66*EF!$H214*MMVolatEF*NtoN2O*kgtoGg</f>
        <v>1.4398679509428033E-5</v>
      </c>
      <c r="AE165" s="22">
        <f>Constants!$H48*'Activity data'!AE13*Constants!$H66*EF!$H214*MMVolatEF*NtoN2O*kgtoGg</f>
        <v>1.4346768185871831E-5</v>
      </c>
      <c r="AF165" s="22">
        <f>Constants!$H48*'Activity data'!AF13*Constants!$H66*EF!$H214*MMVolatEF*NtoN2O*kgtoGg</f>
        <v>1.4295448244171225E-5</v>
      </c>
      <c r="AG165" s="22">
        <f>Constants!$H48*'Activity data'!AG13*Constants!$H66*EF!$H214*MMVolatEF*NtoN2O*kgtoGg</f>
        <v>1.4244793824260592E-5</v>
      </c>
      <c r="AH165" s="22">
        <f>Constants!$H48*'Activity data'!AH13*Constants!$H66*EF!$H214*MMVolatEF*NtoN2O*kgtoGg</f>
        <v>1.4190701523182496E-5</v>
      </c>
      <c r="AI165" s="22">
        <f>Constants!$H48*'Activity data'!AI13*Constants!$H66*EF!$H214*MMVolatEF*NtoN2O*kgtoGg</f>
        <v>1.4135833622209955E-5</v>
      </c>
      <c r="AJ165" s="22">
        <f>Constants!$H48*'Activity data'!AJ13*Constants!$H66*EF!$H214*MMVolatEF*NtoN2O*kgtoGg</f>
        <v>1.4081280347890445E-5</v>
      </c>
      <c r="AK165" s="22">
        <f>Constants!$H48*'Activity data'!AK13*Constants!$H66*EF!$H214*MMVolatEF*NtoN2O*kgtoGg</f>
        <v>1.4027022486090209E-5</v>
      </c>
      <c r="AL165" s="22">
        <f>Constants!$H48*'Activity data'!AL13*Constants!$H66*EF!$H214*MMVolatEF*NtoN2O*kgtoGg</f>
        <v>1.3989197247291077E-5</v>
      </c>
      <c r="AM165" s="22">
        <f>Constants!$H48*'Activity data'!AM13*Constants!$H66*EF!$H214*MMVolatEF*NtoN2O*kgtoGg</f>
        <v>1.3931774687195269E-5</v>
      </c>
      <c r="AN165" s="22">
        <f>Constants!$H48*'Activity data'!AN13*Constants!$H66*EF!$H214*MMVolatEF*NtoN2O*kgtoGg</f>
        <v>1.3874519169760915E-5</v>
      </c>
      <c r="AO165" s="22">
        <f>Constants!$H48*'Activity data'!AO13*Constants!$H66*EF!$H214*MMVolatEF*NtoN2O*kgtoGg</f>
        <v>1.3817226156040247E-5</v>
      </c>
      <c r="AP165" s="22">
        <f>Constants!$H48*'Activity data'!AP13*Constants!$H66*EF!$H214*MMVolatEF*NtoN2O*kgtoGg</f>
        <v>1.3760076941918122E-5</v>
      </c>
      <c r="AQ165" s="22">
        <f>Constants!$H48*'Activity data'!AQ13*Constants!$H66*EF!$H214*MMVolatEF*NtoN2O*kgtoGg</f>
        <v>1.3702760934088433E-5</v>
      </c>
      <c r="AR165" s="22">
        <f>Constants!$H48*'Activity data'!AR13*Constants!$H66*EF!$H214*MMVolatEF*NtoN2O*kgtoGg</f>
        <v>1.3640241947000715E-5</v>
      </c>
      <c r="AS165" s="22">
        <f>Constants!$H48*'Activity data'!AS13*Constants!$H66*EF!$H214*MMVolatEF*NtoN2O*kgtoGg</f>
        <v>1.3577767184337856E-5</v>
      </c>
      <c r="AT165" s="22">
        <f>Constants!$H48*'Activity data'!AT13*Constants!$H66*EF!$H214*MMVolatEF*NtoN2O*kgtoGg</f>
        <v>1.3515066652411391E-5</v>
      </c>
      <c r="AU165" s="22">
        <f>Constants!$H48*'Activity data'!AU13*Constants!$H66*EF!$H214*MMVolatEF*NtoN2O*kgtoGg</f>
        <v>1.345219847876357E-5</v>
      </c>
      <c r="AV165" s="22">
        <f>Constants!$H48*'Activity data'!AV13*Constants!$H66*EF!$H214*MMVolatEF*NtoN2O*kgtoGg</f>
        <v>1.3389147362305135E-5</v>
      </c>
      <c r="AW165" s="22">
        <f>Constants!$H48*'Activity data'!AW13*Constants!$H66*EF!$H214*MMVolatEF*NtoN2O*kgtoGg</f>
        <v>1.3395765379797912E-5</v>
      </c>
      <c r="AX165" s="22">
        <f>Constants!$H48*'Activity data'!AX13*Constants!$H66*EF!$H214*MMVolatEF*NtoN2O*kgtoGg</f>
        <v>1.3399396099820654E-5</v>
      </c>
      <c r="AY165" s="22">
        <f>Constants!$H48*'Activity data'!AY13*Constants!$H66*EF!$H214*MMVolatEF*NtoN2O*kgtoGg</f>
        <v>1.3402047087440051E-5</v>
      </c>
      <c r="AZ165" s="22">
        <f>Constants!$H48*'Activity data'!AZ13*Constants!$H66*EF!$H214*MMVolatEF*NtoN2O*kgtoGg</f>
        <v>1.3403268483302092E-5</v>
      </c>
      <c r="BA165" s="22">
        <f>Constants!$H48*'Activity data'!BA13*Constants!$H66*EF!$H214*MMVolatEF*NtoN2O*kgtoGg</f>
        <v>1.3403084366768698E-5</v>
      </c>
      <c r="BB165" s="22">
        <f>Constants!$H48*'Activity data'!BB13*Constants!$H66*EF!$H214*MMVolatEF*NtoN2O*kgtoGg</f>
        <v>1.3405260703442337E-5</v>
      </c>
      <c r="BC165" s="22">
        <f>Constants!$H48*'Activity data'!BC13*Constants!$H66*EF!$H214*MMVolatEF*NtoN2O*kgtoGg</f>
        <v>1.3405595791993921E-5</v>
      </c>
      <c r="BD165" s="22">
        <f>Constants!$H48*'Activity data'!BD13*Constants!$H66*EF!$H214*MMVolatEF*NtoN2O*kgtoGg</f>
        <v>1.3403651256929284E-5</v>
      </c>
      <c r="BE165" s="22">
        <f>Constants!$H48*'Activity data'!BE13*Constants!$H66*EF!$H214*MMVolatEF*NtoN2O*kgtoGg</f>
        <v>1.3399840607256981E-5</v>
      </c>
      <c r="BF165" s="22">
        <f>Constants!$H48*'Activity data'!BF13*Constants!$H66*EF!$H214*MMVolatEF*NtoN2O*kgtoGg</f>
        <v>1.3394512898652229E-5</v>
      </c>
      <c r="BG165" s="22">
        <f>Constants!$H48*'Activity data'!BG13*Constants!$H66*EF!$H214*MMVolatEF*NtoN2O*kgtoGg</f>
        <v>1.3436730710197317E-5</v>
      </c>
      <c r="BH165" s="22">
        <f>Constants!$H48*'Activity data'!BH13*Constants!$H66*EF!$H214*MMVolatEF*NtoN2O*kgtoGg</f>
        <v>1.3477556066653784E-5</v>
      </c>
      <c r="BI165" s="22">
        <f>Constants!$H48*'Activity data'!BI13*Constants!$H66*EF!$H214*MMVolatEF*NtoN2O*kgtoGg</f>
        <v>1.3516927170455247E-5</v>
      </c>
      <c r="BJ165" s="22">
        <f>Constants!$H48*'Activity data'!BJ13*Constants!$H66*EF!$H214*MMVolatEF*NtoN2O*kgtoGg</f>
        <v>1.3554934926979648E-5</v>
      </c>
      <c r="BK165" s="22">
        <f>Constants!$H48*'Activity data'!BK13*Constants!$H66*EF!$H214*MMVolatEF*NtoN2O*kgtoGg</f>
        <v>1.3591983767870215E-5</v>
      </c>
      <c r="BL165" s="22">
        <f>Constants!$H48*'Activity data'!BL13*Constants!$H66*EF!$H214*MMVolatEF*NtoN2O*kgtoGg</f>
        <v>1.3623624475181426E-5</v>
      </c>
      <c r="BM165" s="22">
        <f>Constants!$H48*'Activity data'!BM13*Constants!$H66*EF!$H214*MMVolatEF*NtoN2O*kgtoGg</f>
        <v>1.3654148337109243E-5</v>
      </c>
      <c r="BN165" s="22">
        <f>Constants!$H48*'Activity data'!BN13*Constants!$H66*EF!$H214*MMVolatEF*NtoN2O*kgtoGg</f>
        <v>1.3682743515743413E-5</v>
      </c>
      <c r="BO165" s="22">
        <f>Constants!$H48*'Activity data'!BO13*Constants!$H66*EF!$H214*MMVolatEF*NtoN2O*kgtoGg</f>
        <v>1.371027838313359E-5</v>
      </c>
      <c r="BP165" s="22">
        <f>Constants!$H48*'Activity data'!BP13*Constants!$H66*EF!$H214*MMVolatEF*NtoN2O*kgtoGg</f>
        <v>1.3736819447674132E-5</v>
      </c>
    </row>
    <row r="166" spans="1:68" x14ac:dyDescent="0.25">
      <c r="A166" t="str">
        <f t="shared" si="58"/>
        <v>3C Aggregated and non-CO2 emissions on land</v>
      </c>
      <c r="B166" t="str">
        <f t="shared" si="62"/>
        <v>3C6 Indirect N2O from manure management (N2O)</v>
      </c>
      <c r="C166" t="str">
        <f t="shared" si="63"/>
        <v>Volatilisation</v>
      </c>
      <c r="D166" t="str">
        <f>'Activity data'!D75</f>
        <v xml:space="preserve"> - Subsistence goats</v>
      </c>
      <c r="E166" t="str">
        <f t="shared" si="61"/>
        <v>Volatilisation - Subsistence goats</v>
      </c>
      <c r="F166" t="str">
        <f t="shared" si="47"/>
        <v>N2O</v>
      </c>
      <c r="G166" t="str">
        <f t="shared" si="48"/>
        <v>Gg N2O</v>
      </c>
      <c r="H166" s="22">
        <f>Constants!$H49*'Activity data'!H14*Constants!$H67*EF!$H215*MMVolatEF*NtoN2O*kgtoGg</f>
        <v>2.0115874261686147E-3</v>
      </c>
      <c r="I166" s="22">
        <f>Constants!$H49*'Activity data'!I14*Constants!$H67*EF!$H215*MMVolatEF*NtoN2O*kgtoGg</f>
        <v>1.7788118083603506E-3</v>
      </c>
      <c r="J166" s="22">
        <f>Constants!$H49*'Activity data'!J14*Constants!$H67*EF!$H215*MMVolatEF*NtoN2O*kgtoGg</f>
        <v>1.6569853167971468E-3</v>
      </c>
      <c r="K166" s="22">
        <f>Constants!$H49*'Activity data'!K14*Constants!$H67*EF!$H215*MMVolatEF*NtoN2O*kgtoGg</f>
        <v>1.5656154481247439E-3</v>
      </c>
      <c r="L166" s="22">
        <f>Constants!$H49*'Activity data'!L14*Constants!$H67*EF!$H215*MMVolatEF*NtoN2O*kgtoGg</f>
        <v>1.6946935165667099E-3</v>
      </c>
      <c r="M166" s="22">
        <f>Constants!$H49*'Activity data'!M14*Constants!$H67*EF!$H215*MMVolatEF*NtoN2O*kgtoGg</f>
        <v>1.7178985625787488E-3</v>
      </c>
      <c r="N166" s="22">
        <f>Constants!$H49*'Activity data'!N14*Constants!$H67*EF!$H215*MMVolatEF*NtoN2O*kgtoGg</f>
        <v>1.7447293970301691E-3</v>
      </c>
      <c r="O166" s="22">
        <f>Constants!$H49*'Activity data'!O14*Constants!$H67*EF!$H215*MMVolatEF*NtoN2O*kgtoGg</f>
        <v>1.736027504775654E-3</v>
      </c>
      <c r="P166" s="22">
        <f>Constants!$H49*'Activity data'!P14*Constants!$H67*EF!$H215*MMVolatEF*NtoN2O*kgtoGg</f>
        <v>1.7113721433878628E-3</v>
      </c>
      <c r="Q166" s="22">
        <f>Constants!$H49*'Activity data'!Q14*Constants!$H67*EF!$H215*MMVolatEF*NtoN2O*kgtoGg</f>
        <v>1.6859916243121954E-3</v>
      </c>
      <c r="R166" s="22">
        <f>Constants!$H49*'Activity data'!R14*Constants!$H67*EF!$H215*MMVolatEF*NtoN2O*kgtoGg</f>
        <v>1.7077463549484819E-3</v>
      </c>
      <c r="S166" s="22">
        <f>Constants!$H49*'Activity data'!S14*Constants!$H67*EF!$H215*MMVolatEF*NtoN2O*kgtoGg</f>
        <v>1.7599577084755692E-3</v>
      </c>
      <c r="T166" s="22">
        <f>Constants!$H49*'Activity data'!T14*Constants!$H67*EF!$H215*MMVolatEF*NtoN2O*kgtoGg</f>
        <v>1.6069494363336882E-3</v>
      </c>
      <c r="U166" s="22">
        <f>Constants!$H49*'Activity data'!U14*Constants!$H67*EF!$H215*MMVolatEF*NtoN2O*kgtoGg</f>
        <v>1.5663406058126202E-3</v>
      </c>
      <c r="V166" s="22">
        <f>Constants!$H49*'Activity data'!V14*Constants!$H67*EF!$H215*MMVolatEF*NtoN2O*kgtoGg</f>
        <v>1.5692412365641251E-3</v>
      </c>
      <c r="W166" s="22">
        <f>Constants!$H49*'Activity data'!W14*Constants!$H67*EF!$H215*MMVolatEF*NtoN2O*kgtoGg</f>
        <v>1.5489368213035912E-3</v>
      </c>
      <c r="X166" s="22">
        <f>Constants!$H49*'Activity data'!X14*Constants!$H67*EF!$H215*MMVolatEF*NtoN2O*kgtoGg</f>
        <v>1.5815689172580208E-3</v>
      </c>
      <c r="Y166" s="22">
        <f>Constants!$H49*'Activity data'!Y14*Constants!$H67*EF!$H215*MMVolatEF*NtoN2O*kgtoGg</f>
        <v>1.534433667546067E-3</v>
      </c>
      <c r="Z166" s="22">
        <f>Constants!$H49*'Activity data'!Z14*Constants!$H67*EF!$H215*MMVolatEF*NtoN2O*kgtoGg</f>
        <v>1.5329833521703141E-3</v>
      </c>
      <c r="AA166" s="22">
        <f>Constants!$H49*'Activity data'!AA14*Constants!$H67*EF!$H215*MMVolatEF*NtoN2O*kgtoGg</f>
        <v>1.5061525177188946E-3</v>
      </c>
      <c r="AB166" s="22">
        <f>Constants!$H49*'Activity data'!AB14*Constants!$H67*EF!$H215*MMVolatEF*NtoN2O*kgtoGg</f>
        <v>1.4880235755219894E-3</v>
      </c>
      <c r="AC166" s="22">
        <f>Constants!$H49*'Activity data'!AC14*Constants!$H67*EF!$H215*MMVolatEF*NtoN2O*kgtoGg</f>
        <v>1.4742455794523413E-3</v>
      </c>
      <c r="AD166" s="22">
        <f>Constants!$H49*'Activity data'!AD14*Constants!$H67*EF!$H215*MMVolatEF*NtoN2O*kgtoGg</f>
        <v>1.4904645430902359E-3</v>
      </c>
      <c r="AE166" s="22">
        <f>Constants!$H49*'Activity data'!AE14*Constants!$H67*EF!$H215*MMVolatEF*NtoN2O*kgtoGg</f>
        <v>1.4850909956691174E-3</v>
      </c>
      <c r="AF166" s="22">
        <f>Constants!$H49*'Activity data'!AF14*Constants!$H67*EF!$H215*MMVolatEF*NtoN2O*kgtoGg</f>
        <v>1.4797786645342986E-3</v>
      </c>
      <c r="AG166" s="22">
        <f>Constants!$H49*'Activity data'!AG14*Constants!$H67*EF!$H215*MMVolatEF*NtoN2O*kgtoGg</f>
        <v>1.4745352242050542E-3</v>
      </c>
      <c r="AH166" s="22">
        <f>Constants!$H49*'Activity data'!AH14*Constants!$H67*EF!$H215*MMVolatEF*NtoN2O*kgtoGg</f>
        <v>1.4689359151324221E-3</v>
      </c>
      <c r="AI166" s="22">
        <f>Constants!$H49*'Activity data'!AI14*Constants!$H67*EF!$H215*MMVolatEF*NtoN2O*kgtoGg</f>
        <v>1.46325632063212E-3</v>
      </c>
      <c r="AJ166" s="22">
        <f>Constants!$H49*'Activity data'!AJ14*Constants!$H67*EF!$H215*MMVolatEF*NtoN2O*kgtoGg</f>
        <v>1.4576092943871465E-3</v>
      </c>
      <c r="AK166" s="22">
        <f>Constants!$H49*'Activity data'!AK14*Constants!$H67*EF!$H215*MMVolatEF*NtoN2O*kgtoGg</f>
        <v>1.4519928474661494E-3</v>
      </c>
      <c r="AL166" s="22">
        <f>Constants!$H49*'Activity data'!AL14*Constants!$H67*EF!$H215*MMVolatEF*NtoN2O*kgtoGg</f>
        <v>1.4480774066629072E-3</v>
      </c>
      <c r="AM166" s="22">
        <f>Constants!$H49*'Activity data'!AM14*Constants!$H67*EF!$H215*MMVolatEF*NtoN2O*kgtoGg</f>
        <v>1.4421333692433481E-3</v>
      </c>
      <c r="AN166" s="22">
        <f>Constants!$H49*'Activity data'!AN14*Constants!$H67*EF!$H215*MMVolatEF*NtoN2O*kgtoGg</f>
        <v>1.4362066230735829E-3</v>
      </c>
      <c r="AO166" s="22">
        <f>Constants!$H49*'Activity data'!AO14*Constants!$H67*EF!$H215*MMVolatEF*NtoN2O*kgtoGg</f>
        <v>1.4302759955141927E-3</v>
      </c>
      <c r="AP166" s="22">
        <f>Constants!$H49*'Activity data'!AP14*Constants!$H67*EF!$H215*MMVolatEF*NtoN2O*kgtoGg</f>
        <v>1.4243602532227747E-3</v>
      </c>
      <c r="AQ166" s="22">
        <f>Constants!$H49*'Activity data'!AQ14*Constants!$H67*EF!$H215*MMVolatEF*NtoN2O*kgtoGg</f>
        <v>1.4184272454517703E-3</v>
      </c>
      <c r="AR166" s="22">
        <f>Constants!$H49*'Activity data'!AR14*Constants!$H67*EF!$H215*MMVolatEF*NtoN2O*kgtoGg</f>
        <v>1.4119556566187011E-3</v>
      </c>
      <c r="AS166" s="22">
        <f>Constants!$H49*'Activity data'!AS14*Constants!$H67*EF!$H215*MMVolatEF*NtoN2O*kgtoGg</f>
        <v>1.4054886456316173E-3</v>
      </c>
      <c r="AT166" s="22">
        <f>Constants!$H49*'Activity data'!AT14*Constants!$H67*EF!$H215*MMVolatEF*NtoN2O*kgtoGg</f>
        <v>1.3989982643707456E-3</v>
      </c>
      <c r="AU166" s="22">
        <f>Constants!$H49*'Activity data'!AU14*Constants!$H67*EF!$H215*MMVolatEF*NtoN2O*kgtoGg</f>
        <v>1.3924905298490092E-3</v>
      </c>
      <c r="AV166" s="22">
        <f>Constants!$H49*'Activity data'!AV14*Constants!$H67*EF!$H215*MMVolatEF*NtoN2O*kgtoGg</f>
        <v>1.3924905298490092E-3</v>
      </c>
      <c r="AW166" s="22">
        <f>Constants!$H49*'Activity data'!AW14*Constants!$H67*EF!$H215*MMVolatEF*NtoN2O*kgtoGg</f>
        <v>1.3924905298490092E-3</v>
      </c>
      <c r="AX166" s="22">
        <f>Constants!$H49*'Activity data'!AX14*Constants!$H67*EF!$H215*MMVolatEF*NtoN2O*kgtoGg</f>
        <v>1.3924905298490092E-3</v>
      </c>
      <c r="AY166" s="22">
        <f>Constants!$H49*'Activity data'!AY14*Constants!$H67*EF!$H215*MMVolatEF*NtoN2O*kgtoGg</f>
        <v>1.3924905298490092E-3</v>
      </c>
      <c r="AZ166" s="22">
        <f>Constants!$H49*'Activity data'!AZ14*Constants!$H67*EF!$H215*MMVolatEF*NtoN2O*kgtoGg</f>
        <v>1.3924905298490092E-3</v>
      </c>
      <c r="BA166" s="22">
        <f>Constants!$H49*'Activity data'!BA14*Constants!$H67*EF!$H215*MMVolatEF*NtoN2O*kgtoGg</f>
        <v>1.3924905298490092E-3</v>
      </c>
      <c r="BB166" s="22">
        <f>Constants!$H49*'Activity data'!BB14*Constants!$H67*EF!$H215*MMVolatEF*NtoN2O*kgtoGg</f>
        <v>1.3924905298490092E-3</v>
      </c>
      <c r="BC166" s="22">
        <f>Constants!$H49*'Activity data'!BC14*Constants!$H67*EF!$H215*MMVolatEF*NtoN2O*kgtoGg</f>
        <v>1.3924905298490092E-3</v>
      </c>
      <c r="BD166" s="22">
        <f>Constants!$H49*'Activity data'!BD14*Constants!$H67*EF!$H215*MMVolatEF*NtoN2O*kgtoGg</f>
        <v>1.3924905298490092E-3</v>
      </c>
      <c r="BE166" s="22">
        <f>Constants!$H49*'Activity data'!BE14*Constants!$H67*EF!$H215*MMVolatEF*NtoN2O*kgtoGg</f>
        <v>1.3924905298490092E-3</v>
      </c>
      <c r="BF166" s="22">
        <f>Constants!$H49*'Activity data'!BF14*Constants!$H67*EF!$H215*MMVolatEF*NtoN2O*kgtoGg</f>
        <v>1.3924905298490092E-3</v>
      </c>
      <c r="BG166" s="22">
        <f>Constants!$H49*'Activity data'!BG14*Constants!$H67*EF!$H215*MMVolatEF*NtoN2O*kgtoGg</f>
        <v>1.3924905298490092E-3</v>
      </c>
      <c r="BH166" s="22">
        <f>Constants!$H49*'Activity data'!BH14*Constants!$H67*EF!$H215*MMVolatEF*NtoN2O*kgtoGg</f>
        <v>1.3924905298490092E-3</v>
      </c>
      <c r="BI166" s="22">
        <f>Constants!$H49*'Activity data'!BI14*Constants!$H67*EF!$H215*MMVolatEF*NtoN2O*kgtoGg</f>
        <v>1.3924905298490092E-3</v>
      </c>
      <c r="BJ166" s="22">
        <f>Constants!$H49*'Activity data'!BJ14*Constants!$H67*EF!$H215*MMVolatEF*NtoN2O*kgtoGg</f>
        <v>1.3924905298490092E-3</v>
      </c>
      <c r="BK166" s="22">
        <f>Constants!$H49*'Activity data'!BK14*Constants!$H67*EF!$H215*MMVolatEF*NtoN2O*kgtoGg</f>
        <v>1.3924905298490092E-3</v>
      </c>
      <c r="BL166" s="22">
        <f>Constants!$H49*'Activity data'!BL14*Constants!$H67*EF!$H215*MMVolatEF*NtoN2O*kgtoGg</f>
        <v>1.3924905298490092E-3</v>
      </c>
      <c r="BM166" s="22">
        <f>Constants!$H49*'Activity data'!BM14*Constants!$H67*EF!$H215*MMVolatEF*NtoN2O*kgtoGg</f>
        <v>1.3924905298490092E-3</v>
      </c>
      <c r="BN166" s="22">
        <f>Constants!$H49*'Activity data'!BN14*Constants!$H67*EF!$H215*MMVolatEF*NtoN2O*kgtoGg</f>
        <v>1.3924905298490092E-3</v>
      </c>
      <c r="BO166" s="22">
        <f>Constants!$H49*'Activity data'!BO14*Constants!$H67*EF!$H215*MMVolatEF*NtoN2O*kgtoGg</f>
        <v>1.3924905298490092E-3</v>
      </c>
      <c r="BP166" s="22">
        <f>Constants!$H49*'Activity data'!BP14*Constants!$H67*EF!$H215*MMVolatEF*NtoN2O*kgtoGg</f>
        <v>1.3924905298490092E-3</v>
      </c>
    </row>
    <row r="167" spans="1:68" x14ac:dyDescent="0.25">
      <c r="A167" t="str">
        <f t="shared" si="58"/>
        <v>3C Aggregated and non-CO2 emissions on land</v>
      </c>
      <c r="B167" t="str">
        <f t="shared" si="62"/>
        <v>3C6 Indirect N2O from manure management (N2O)</v>
      </c>
      <c r="C167" t="str">
        <f t="shared" si="63"/>
        <v>Volatilisation</v>
      </c>
      <c r="D167" t="str">
        <f>'Activity data'!D76</f>
        <v xml:space="preserve"> - Horses</v>
      </c>
      <c r="E167" t="str">
        <f t="shared" si="61"/>
        <v>Volatilisation - Horses</v>
      </c>
      <c r="F167" t="str">
        <f t="shared" si="47"/>
        <v>N2O</v>
      </c>
      <c r="G167" t="str">
        <f t="shared" si="48"/>
        <v>Gg N2O</v>
      </c>
      <c r="H167" s="22">
        <f>Constants!$H50*'Activity data'!H15*Constants!$H68*EF!$H216*MMVolatEF*NtoN2O*kgtoGg</f>
        <v>0</v>
      </c>
      <c r="I167" s="22">
        <f>Constants!$H50*'Activity data'!I15*Constants!$H68*EF!$H216*MMVolatEF*NtoN2O*kgtoGg</f>
        <v>0</v>
      </c>
      <c r="J167" s="22">
        <f>Constants!$H50*'Activity data'!J15*Constants!$H68*EF!$H216*MMVolatEF*NtoN2O*kgtoGg</f>
        <v>0</v>
      </c>
      <c r="K167" s="22">
        <f>Constants!$H50*'Activity data'!K15*Constants!$H68*EF!$H216*MMVolatEF*NtoN2O*kgtoGg</f>
        <v>0</v>
      </c>
      <c r="L167" s="22">
        <f>Constants!$H50*'Activity data'!L15*Constants!$H68*EF!$H216*MMVolatEF*NtoN2O*kgtoGg</f>
        <v>0</v>
      </c>
      <c r="M167" s="22">
        <f>Constants!$H50*'Activity data'!M15*Constants!$H68*EF!$H216*MMVolatEF*NtoN2O*kgtoGg</f>
        <v>0</v>
      </c>
      <c r="N167" s="22">
        <f>Constants!$H50*'Activity data'!N15*Constants!$H68*EF!$H216*MMVolatEF*NtoN2O*kgtoGg</f>
        <v>0</v>
      </c>
      <c r="O167" s="22">
        <f>Constants!$H50*'Activity data'!O15*Constants!$H68*EF!$H216*MMVolatEF*NtoN2O*kgtoGg</f>
        <v>0</v>
      </c>
      <c r="P167" s="22">
        <f>Constants!$H50*'Activity data'!P15*Constants!$H68*EF!$H216*MMVolatEF*NtoN2O*kgtoGg</f>
        <v>0</v>
      </c>
      <c r="Q167" s="22">
        <f>Constants!$H50*'Activity data'!Q15*Constants!$H68*EF!$H216*MMVolatEF*NtoN2O*kgtoGg</f>
        <v>0</v>
      </c>
      <c r="R167" s="22">
        <f>Constants!$H50*'Activity data'!R15*Constants!$H68*EF!$H216*MMVolatEF*NtoN2O*kgtoGg</f>
        <v>0</v>
      </c>
      <c r="S167" s="22">
        <f>Constants!$H50*'Activity data'!S15*Constants!$H68*EF!$H216*MMVolatEF*NtoN2O*kgtoGg</f>
        <v>0</v>
      </c>
      <c r="T167" s="22">
        <f>Constants!$H50*'Activity data'!T15*Constants!$H68*EF!$H216*MMVolatEF*NtoN2O*kgtoGg</f>
        <v>0</v>
      </c>
      <c r="U167" s="22">
        <f>Constants!$H50*'Activity data'!U15*Constants!$H68*EF!$H216*MMVolatEF*NtoN2O*kgtoGg</f>
        <v>0</v>
      </c>
      <c r="V167" s="22">
        <f>Constants!$H50*'Activity data'!V15*Constants!$H68*EF!$H216*MMVolatEF*NtoN2O*kgtoGg</f>
        <v>0</v>
      </c>
      <c r="W167" s="22">
        <f>Constants!$H50*'Activity data'!W15*Constants!$H68*EF!$H216*MMVolatEF*NtoN2O*kgtoGg</f>
        <v>0</v>
      </c>
      <c r="X167" s="22">
        <f>Constants!$H50*'Activity data'!X15*Constants!$H68*EF!$H216*MMVolatEF*NtoN2O*kgtoGg</f>
        <v>0</v>
      </c>
      <c r="Y167" s="22">
        <f>Constants!$H50*'Activity data'!Y15*Constants!$H68*EF!$H216*MMVolatEF*NtoN2O*kgtoGg</f>
        <v>0</v>
      </c>
      <c r="Z167" s="22">
        <f>Constants!$H50*'Activity data'!Z15*Constants!$H68*EF!$H216*MMVolatEF*NtoN2O*kgtoGg</f>
        <v>0</v>
      </c>
      <c r="AA167" s="22">
        <f>Constants!$H50*'Activity data'!AA15*Constants!$H68*EF!$H216*MMVolatEF*NtoN2O*kgtoGg</f>
        <v>0</v>
      </c>
      <c r="AB167" s="22">
        <f>Constants!$H50*'Activity data'!AB15*Constants!$H68*EF!$H216*MMVolatEF*NtoN2O*kgtoGg</f>
        <v>0</v>
      </c>
      <c r="AC167" s="22">
        <f>Constants!$H50*'Activity data'!AC15*Constants!$H68*EF!$H216*MMVolatEF*NtoN2O*kgtoGg</f>
        <v>0</v>
      </c>
      <c r="AD167" s="22">
        <f>Constants!$H50*'Activity data'!AD15*Constants!$H68*EF!$H216*MMVolatEF*NtoN2O*kgtoGg</f>
        <v>0</v>
      </c>
      <c r="AE167" s="22">
        <f>Constants!$H50*'Activity data'!AE15*Constants!$H68*EF!$H216*MMVolatEF*NtoN2O*kgtoGg</f>
        <v>0</v>
      </c>
      <c r="AF167" s="22">
        <f>Constants!$H50*'Activity data'!AF15*Constants!$H68*EF!$H216*MMVolatEF*NtoN2O*kgtoGg</f>
        <v>0</v>
      </c>
      <c r="AG167" s="22">
        <f>Constants!$H50*'Activity data'!AG15*Constants!$H68*EF!$H216*MMVolatEF*NtoN2O*kgtoGg</f>
        <v>0</v>
      </c>
      <c r="AH167" s="22">
        <f>Constants!$H50*'Activity data'!AH15*Constants!$H68*EF!$H216*MMVolatEF*NtoN2O*kgtoGg</f>
        <v>0</v>
      </c>
      <c r="AI167" s="22">
        <f>Constants!$H50*'Activity data'!AI15*Constants!$H68*EF!$H216*MMVolatEF*NtoN2O*kgtoGg</f>
        <v>0</v>
      </c>
      <c r="AJ167" s="22">
        <f>Constants!$H50*'Activity data'!AJ15*Constants!$H68*EF!$H216*MMVolatEF*NtoN2O*kgtoGg</f>
        <v>0</v>
      </c>
      <c r="AK167" s="22">
        <f>Constants!$H50*'Activity data'!AK15*Constants!$H68*EF!$H216*MMVolatEF*NtoN2O*kgtoGg</f>
        <v>0</v>
      </c>
      <c r="AL167" s="22">
        <f>Constants!$H50*'Activity data'!AL15*Constants!$H68*EF!$H216*MMVolatEF*NtoN2O*kgtoGg</f>
        <v>0</v>
      </c>
      <c r="AM167" s="22">
        <f>Constants!$H50*'Activity data'!AM15*Constants!$H68*EF!$H216*MMVolatEF*NtoN2O*kgtoGg</f>
        <v>0</v>
      </c>
      <c r="AN167" s="22">
        <f>Constants!$H50*'Activity data'!AN15*Constants!$H68*EF!$H216*MMVolatEF*NtoN2O*kgtoGg</f>
        <v>0</v>
      </c>
      <c r="AO167" s="22">
        <f>Constants!$H50*'Activity data'!AO15*Constants!$H68*EF!$H216*MMVolatEF*NtoN2O*kgtoGg</f>
        <v>0</v>
      </c>
      <c r="AP167" s="22">
        <f>Constants!$H50*'Activity data'!AP15*Constants!$H68*EF!$H216*MMVolatEF*NtoN2O*kgtoGg</f>
        <v>0</v>
      </c>
      <c r="AQ167" s="22">
        <f>Constants!$H50*'Activity data'!AQ15*Constants!$H68*EF!$H216*MMVolatEF*NtoN2O*kgtoGg</f>
        <v>0</v>
      </c>
      <c r="AR167" s="22">
        <f>Constants!$H50*'Activity data'!AR15*Constants!$H68*EF!$H216*MMVolatEF*NtoN2O*kgtoGg</f>
        <v>0</v>
      </c>
      <c r="AS167" s="22">
        <f>Constants!$H50*'Activity data'!AS15*Constants!$H68*EF!$H216*MMVolatEF*NtoN2O*kgtoGg</f>
        <v>0</v>
      </c>
      <c r="AT167" s="22">
        <f>Constants!$H50*'Activity data'!AT15*Constants!$H68*EF!$H216*MMVolatEF*NtoN2O*kgtoGg</f>
        <v>0</v>
      </c>
      <c r="AU167" s="22">
        <f>Constants!$H50*'Activity data'!AU15*Constants!$H68*EF!$H216*MMVolatEF*NtoN2O*kgtoGg</f>
        <v>0</v>
      </c>
      <c r="AV167" s="22">
        <f>Constants!$H50*'Activity data'!AV15*Constants!$H68*EF!$H216*MMVolatEF*NtoN2O*kgtoGg</f>
        <v>0</v>
      </c>
      <c r="AW167" s="22">
        <f>Constants!$H50*'Activity data'!AW15*Constants!$H68*EF!$H216*MMVolatEF*NtoN2O*kgtoGg</f>
        <v>0</v>
      </c>
      <c r="AX167" s="22">
        <f>Constants!$H50*'Activity data'!AX15*Constants!$H68*EF!$H216*MMVolatEF*NtoN2O*kgtoGg</f>
        <v>0</v>
      </c>
      <c r="AY167" s="22">
        <f>Constants!$H50*'Activity data'!AY15*Constants!$H68*EF!$H216*MMVolatEF*NtoN2O*kgtoGg</f>
        <v>0</v>
      </c>
      <c r="AZ167" s="22">
        <f>Constants!$H50*'Activity data'!AZ15*Constants!$H68*EF!$H216*MMVolatEF*NtoN2O*kgtoGg</f>
        <v>0</v>
      </c>
      <c r="BA167" s="22">
        <f>Constants!$H50*'Activity data'!BA15*Constants!$H68*EF!$H216*MMVolatEF*NtoN2O*kgtoGg</f>
        <v>0</v>
      </c>
      <c r="BB167" s="22">
        <f>Constants!$H50*'Activity data'!BB15*Constants!$H68*EF!$H216*MMVolatEF*NtoN2O*kgtoGg</f>
        <v>0</v>
      </c>
      <c r="BC167" s="22">
        <f>Constants!$H50*'Activity data'!BC15*Constants!$H68*EF!$H216*MMVolatEF*NtoN2O*kgtoGg</f>
        <v>0</v>
      </c>
      <c r="BD167" s="22">
        <f>Constants!$H50*'Activity data'!BD15*Constants!$H68*EF!$H216*MMVolatEF*NtoN2O*kgtoGg</f>
        <v>0</v>
      </c>
      <c r="BE167" s="22">
        <f>Constants!$H50*'Activity data'!BE15*Constants!$H68*EF!$H216*MMVolatEF*NtoN2O*kgtoGg</f>
        <v>0</v>
      </c>
      <c r="BF167" s="22">
        <f>Constants!$H50*'Activity data'!BF15*Constants!$H68*EF!$H216*MMVolatEF*NtoN2O*kgtoGg</f>
        <v>0</v>
      </c>
      <c r="BG167" s="22">
        <f>Constants!$H50*'Activity data'!BG15*Constants!$H68*EF!$H216*MMVolatEF*NtoN2O*kgtoGg</f>
        <v>0</v>
      </c>
      <c r="BH167" s="22">
        <f>Constants!$H50*'Activity data'!BH15*Constants!$H68*EF!$H216*MMVolatEF*NtoN2O*kgtoGg</f>
        <v>0</v>
      </c>
      <c r="BI167" s="22">
        <f>Constants!$H50*'Activity data'!BI15*Constants!$H68*EF!$H216*MMVolatEF*NtoN2O*kgtoGg</f>
        <v>0</v>
      </c>
      <c r="BJ167" s="22">
        <f>Constants!$H50*'Activity data'!BJ15*Constants!$H68*EF!$H216*MMVolatEF*NtoN2O*kgtoGg</f>
        <v>0</v>
      </c>
      <c r="BK167" s="22">
        <f>Constants!$H50*'Activity data'!BK15*Constants!$H68*EF!$H216*MMVolatEF*NtoN2O*kgtoGg</f>
        <v>0</v>
      </c>
      <c r="BL167" s="22">
        <f>Constants!$H50*'Activity data'!BL15*Constants!$H68*EF!$H216*MMVolatEF*NtoN2O*kgtoGg</f>
        <v>0</v>
      </c>
      <c r="BM167" s="22">
        <f>Constants!$H50*'Activity data'!BM15*Constants!$H68*EF!$H216*MMVolatEF*NtoN2O*kgtoGg</f>
        <v>0</v>
      </c>
      <c r="BN167" s="22">
        <f>Constants!$H50*'Activity data'!BN15*Constants!$H68*EF!$H216*MMVolatEF*NtoN2O*kgtoGg</f>
        <v>0</v>
      </c>
      <c r="BO167" s="22">
        <f>Constants!$H50*'Activity data'!BO15*Constants!$H68*EF!$H216*MMVolatEF*NtoN2O*kgtoGg</f>
        <v>0</v>
      </c>
      <c r="BP167" s="22">
        <f>Constants!$H50*'Activity data'!BP15*Constants!$H68*EF!$H216*MMVolatEF*NtoN2O*kgtoGg</f>
        <v>0</v>
      </c>
    </row>
    <row r="168" spans="1:68" x14ac:dyDescent="0.25">
      <c r="A168" t="str">
        <f t="shared" si="58"/>
        <v>3C Aggregated and non-CO2 emissions on land</v>
      </c>
      <c r="B168" t="str">
        <f t="shared" si="62"/>
        <v>3C6 Indirect N2O from manure management (N2O)</v>
      </c>
      <c r="C168" t="str">
        <f t="shared" si="63"/>
        <v>Volatilisation</v>
      </c>
      <c r="D168" t="str">
        <f>'Activity data'!D77</f>
        <v xml:space="preserve"> - Mules &amp; Asses</v>
      </c>
      <c r="E168" t="str">
        <f t="shared" si="61"/>
        <v>Volatilisation - Mules &amp; Asses</v>
      </c>
      <c r="F168" t="str">
        <f t="shared" si="47"/>
        <v>N2O</v>
      </c>
      <c r="G168" t="str">
        <f t="shared" si="48"/>
        <v>Gg N2O</v>
      </c>
      <c r="H168" s="22">
        <f>Constants!$H51*'Activity data'!H16*Constants!$H69*EF!$H217*MMVolatEF*NtoN2O*kgtoGg</f>
        <v>0</v>
      </c>
      <c r="I168" s="22">
        <f>Constants!$H51*'Activity data'!I16*Constants!$H69*EF!$H217*MMVolatEF*NtoN2O*kgtoGg</f>
        <v>0</v>
      </c>
      <c r="J168" s="22">
        <f>Constants!$H51*'Activity data'!J16*Constants!$H69*EF!$H217*MMVolatEF*NtoN2O*kgtoGg</f>
        <v>0</v>
      </c>
      <c r="K168" s="22">
        <f>Constants!$H51*'Activity data'!K16*Constants!$H69*EF!$H217*MMVolatEF*NtoN2O*kgtoGg</f>
        <v>0</v>
      </c>
      <c r="L168" s="22">
        <f>Constants!$H51*'Activity data'!L16*Constants!$H69*EF!$H217*MMVolatEF*NtoN2O*kgtoGg</f>
        <v>0</v>
      </c>
      <c r="M168" s="22">
        <f>Constants!$H51*'Activity data'!M16*Constants!$H69*EF!$H217*MMVolatEF*NtoN2O*kgtoGg</f>
        <v>0</v>
      </c>
      <c r="N168" s="22">
        <f>Constants!$H51*'Activity data'!N16*Constants!$H69*EF!$H217*MMVolatEF*NtoN2O*kgtoGg</f>
        <v>0</v>
      </c>
      <c r="O168" s="22">
        <f>Constants!$H51*'Activity data'!O16*Constants!$H69*EF!$H217*MMVolatEF*NtoN2O*kgtoGg</f>
        <v>0</v>
      </c>
      <c r="P168" s="22">
        <f>Constants!$H51*'Activity data'!P16*Constants!$H69*EF!$H217*MMVolatEF*NtoN2O*kgtoGg</f>
        <v>0</v>
      </c>
      <c r="Q168" s="22">
        <f>Constants!$H51*'Activity data'!Q16*Constants!$H69*EF!$H217*MMVolatEF*NtoN2O*kgtoGg</f>
        <v>0</v>
      </c>
      <c r="R168" s="22">
        <f>Constants!$H51*'Activity data'!R16*Constants!$H69*EF!$H217*MMVolatEF*NtoN2O*kgtoGg</f>
        <v>0</v>
      </c>
      <c r="S168" s="22">
        <f>Constants!$H51*'Activity data'!S16*Constants!$H69*EF!$H217*MMVolatEF*NtoN2O*kgtoGg</f>
        <v>0</v>
      </c>
      <c r="T168" s="22">
        <f>Constants!$H51*'Activity data'!T16*Constants!$H69*EF!$H217*MMVolatEF*NtoN2O*kgtoGg</f>
        <v>0</v>
      </c>
      <c r="U168" s="22">
        <f>Constants!$H51*'Activity data'!U16*Constants!$H69*EF!$H217*MMVolatEF*NtoN2O*kgtoGg</f>
        <v>0</v>
      </c>
      <c r="V168" s="22">
        <f>Constants!$H51*'Activity data'!V16*Constants!$H69*EF!$H217*MMVolatEF*NtoN2O*kgtoGg</f>
        <v>0</v>
      </c>
      <c r="W168" s="22">
        <f>Constants!$H51*'Activity data'!W16*Constants!$H69*EF!$H217*MMVolatEF*NtoN2O*kgtoGg</f>
        <v>0</v>
      </c>
      <c r="X168" s="22">
        <f>Constants!$H51*'Activity data'!X16*Constants!$H69*EF!$H217*MMVolatEF*NtoN2O*kgtoGg</f>
        <v>0</v>
      </c>
      <c r="Y168" s="22">
        <f>Constants!$H51*'Activity data'!Y16*Constants!$H69*EF!$H217*MMVolatEF*NtoN2O*kgtoGg</f>
        <v>0</v>
      </c>
      <c r="Z168" s="22">
        <f>Constants!$H51*'Activity data'!Z16*Constants!$H69*EF!$H217*MMVolatEF*NtoN2O*kgtoGg</f>
        <v>0</v>
      </c>
      <c r="AA168" s="22">
        <f>Constants!$H51*'Activity data'!AA16*Constants!$H69*EF!$H217*MMVolatEF*NtoN2O*kgtoGg</f>
        <v>0</v>
      </c>
      <c r="AB168" s="22">
        <f>Constants!$H51*'Activity data'!AB16*Constants!$H69*EF!$H217*MMVolatEF*NtoN2O*kgtoGg</f>
        <v>0</v>
      </c>
      <c r="AC168" s="22">
        <f>Constants!$H51*'Activity data'!AC16*Constants!$H69*EF!$H217*MMVolatEF*NtoN2O*kgtoGg</f>
        <v>0</v>
      </c>
      <c r="AD168" s="22">
        <f>Constants!$H51*'Activity data'!AD16*Constants!$H69*EF!$H217*MMVolatEF*NtoN2O*kgtoGg</f>
        <v>0</v>
      </c>
      <c r="AE168" s="22">
        <f>Constants!$H51*'Activity data'!AE16*Constants!$H69*EF!$H217*MMVolatEF*NtoN2O*kgtoGg</f>
        <v>0</v>
      </c>
      <c r="AF168" s="22">
        <f>Constants!$H51*'Activity data'!AF16*Constants!$H69*EF!$H217*MMVolatEF*NtoN2O*kgtoGg</f>
        <v>0</v>
      </c>
      <c r="AG168" s="22">
        <f>Constants!$H51*'Activity data'!AG16*Constants!$H69*EF!$H217*MMVolatEF*NtoN2O*kgtoGg</f>
        <v>0</v>
      </c>
      <c r="AH168" s="22">
        <f>Constants!$H51*'Activity data'!AH16*Constants!$H69*EF!$H217*MMVolatEF*NtoN2O*kgtoGg</f>
        <v>0</v>
      </c>
      <c r="AI168" s="22">
        <f>Constants!$H51*'Activity data'!AI16*Constants!$H69*EF!$H217*MMVolatEF*NtoN2O*kgtoGg</f>
        <v>0</v>
      </c>
      <c r="AJ168" s="22">
        <f>Constants!$H51*'Activity data'!AJ16*Constants!$H69*EF!$H217*MMVolatEF*NtoN2O*kgtoGg</f>
        <v>0</v>
      </c>
      <c r="AK168" s="22">
        <f>Constants!$H51*'Activity data'!AK16*Constants!$H69*EF!$H217*MMVolatEF*NtoN2O*kgtoGg</f>
        <v>0</v>
      </c>
      <c r="AL168" s="22">
        <f>Constants!$H51*'Activity data'!AL16*Constants!$H69*EF!$H217*MMVolatEF*NtoN2O*kgtoGg</f>
        <v>0</v>
      </c>
      <c r="AM168" s="22">
        <f>Constants!$H51*'Activity data'!AM16*Constants!$H69*EF!$H217*MMVolatEF*NtoN2O*kgtoGg</f>
        <v>0</v>
      </c>
      <c r="AN168" s="22">
        <f>Constants!$H51*'Activity data'!AN16*Constants!$H69*EF!$H217*MMVolatEF*NtoN2O*kgtoGg</f>
        <v>0</v>
      </c>
      <c r="AO168" s="22">
        <f>Constants!$H51*'Activity data'!AO16*Constants!$H69*EF!$H217*MMVolatEF*NtoN2O*kgtoGg</f>
        <v>0</v>
      </c>
      <c r="AP168" s="22">
        <f>Constants!$H51*'Activity data'!AP16*Constants!$H69*EF!$H217*MMVolatEF*NtoN2O*kgtoGg</f>
        <v>0</v>
      </c>
      <c r="AQ168" s="22">
        <f>Constants!$H51*'Activity data'!AQ16*Constants!$H69*EF!$H217*MMVolatEF*NtoN2O*kgtoGg</f>
        <v>0</v>
      </c>
      <c r="AR168" s="22">
        <f>Constants!$H51*'Activity data'!AR16*Constants!$H69*EF!$H217*MMVolatEF*NtoN2O*kgtoGg</f>
        <v>0</v>
      </c>
      <c r="AS168" s="22">
        <f>Constants!$H51*'Activity data'!AS16*Constants!$H69*EF!$H217*MMVolatEF*NtoN2O*kgtoGg</f>
        <v>0</v>
      </c>
      <c r="AT168" s="22">
        <f>Constants!$H51*'Activity data'!AT16*Constants!$H69*EF!$H217*MMVolatEF*NtoN2O*kgtoGg</f>
        <v>0</v>
      </c>
      <c r="AU168" s="22">
        <f>Constants!$H51*'Activity data'!AU16*Constants!$H69*EF!$H217*MMVolatEF*NtoN2O*kgtoGg</f>
        <v>0</v>
      </c>
      <c r="AV168" s="22">
        <f>Constants!$H51*'Activity data'!AV16*Constants!$H69*EF!$H217*MMVolatEF*NtoN2O*kgtoGg</f>
        <v>0</v>
      </c>
      <c r="AW168" s="22">
        <f>Constants!$H51*'Activity data'!AW16*Constants!$H69*EF!$H217*MMVolatEF*NtoN2O*kgtoGg</f>
        <v>0</v>
      </c>
      <c r="AX168" s="22">
        <f>Constants!$H51*'Activity data'!AX16*Constants!$H69*EF!$H217*MMVolatEF*NtoN2O*kgtoGg</f>
        <v>0</v>
      </c>
      <c r="AY168" s="22">
        <f>Constants!$H51*'Activity data'!AY16*Constants!$H69*EF!$H217*MMVolatEF*NtoN2O*kgtoGg</f>
        <v>0</v>
      </c>
      <c r="AZ168" s="22">
        <f>Constants!$H51*'Activity data'!AZ16*Constants!$H69*EF!$H217*MMVolatEF*NtoN2O*kgtoGg</f>
        <v>0</v>
      </c>
      <c r="BA168" s="22">
        <f>Constants!$H51*'Activity data'!BA16*Constants!$H69*EF!$H217*MMVolatEF*NtoN2O*kgtoGg</f>
        <v>0</v>
      </c>
      <c r="BB168" s="22">
        <f>Constants!$H51*'Activity data'!BB16*Constants!$H69*EF!$H217*MMVolatEF*NtoN2O*kgtoGg</f>
        <v>0</v>
      </c>
      <c r="BC168" s="22">
        <f>Constants!$H51*'Activity data'!BC16*Constants!$H69*EF!$H217*MMVolatEF*NtoN2O*kgtoGg</f>
        <v>0</v>
      </c>
      <c r="BD168" s="22">
        <f>Constants!$H51*'Activity data'!BD16*Constants!$H69*EF!$H217*MMVolatEF*NtoN2O*kgtoGg</f>
        <v>0</v>
      </c>
      <c r="BE168" s="22">
        <f>Constants!$H51*'Activity data'!BE16*Constants!$H69*EF!$H217*MMVolatEF*NtoN2O*kgtoGg</f>
        <v>0</v>
      </c>
      <c r="BF168" s="22">
        <f>Constants!$H51*'Activity data'!BF16*Constants!$H69*EF!$H217*MMVolatEF*NtoN2O*kgtoGg</f>
        <v>0</v>
      </c>
      <c r="BG168" s="22">
        <f>Constants!$H51*'Activity data'!BG16*Constants!$H69*EF!$H217*MMVolatEF*NtoN2O*kgtoGg</f>
        <v>0</v>
      </c>
      <c r="BH168" s="22">
        <f>Constants!$H51*'Activity data'!BH16*Constants!$H69*EF!$H217*MMVolatEF*NtoN2O*kgtoGg</f>
        <v>0</v>
      </c>
      <c r="BI168" s="22">
        <f>Constants!$H51*'Activity data'!BI16*Constants!$H69*EF!$H217*MMVolatEF*NtoN2O*kgtoGg</f>
        <v>0</v>
      </c>
      <c r="BJ168" s="22">
        <f>Constants!$H51*'Activity data'!BJ16*Constants!$H69*EF!$H217*MMVolatEF*NtoN2O*kgtoGg</f>
        <v>0</v>
      </c>
      <c r="BK168" s="22">
        <f>Constants!$H51*'Activity data'!BK16*Constants!$H69*EF!$H217*MMVolatEF*NtoN2O*kgtoGg</f>
        <v>0</v>
      </c>
      <c r="BL168" s="22">
        <f>Constants!$H51*'Activity data'!BL16*Constants!$H69*EF!$H217*MMVolatEF*NtoN2O*kgtoGg</f>
        <v>0</v>
      </c>
      <c r="BM168" s="22">
        <f>Constants!$H51*'Activity data'!BM16*Constants!$H69*EF!$H217*MMVolatEF*NtoN2O*kgtoGg</f>
        <v>0</v>
      </c>
      <c r="BN168" s="22">
        <f>Constants!$H51*'Activity data'!BN16*Constants!$H69*EF!$H217*MMVolatEF*NtoN2O*kgtoGg</f>
        <v>0</v>
      </c>
      <c r="BO168" s="22">
        <f>Constants!$H51*'Activity data'!BO16*Constants!$H69*EF!$H217*MMVolatEF*NtoN2O*kgtoGg</f>
        <v>0</v>
      </c>
      <c r="BP168" s="22">
        <f>Constants!$H51*'Activity data'!BP16*Constants!$H69*EF!$H217*MMVolatEF*NtoN2O*kgtoGg</f>
        <v>0</v>
      </c>
    </row>
    <row r="169" spans="1:68" x14ac:dyDescent="0.25">
      <c r="A169" t="str">
        <f t="shared" si="58"/>
        <v>3C Aggregated and non-CO2 emissions on land</v>
      </c>
      <c r="B169" t="str">
        <f t="shared" si="62"/>
        <v>3C6 Indirect N2O from manure management (N2O)</v>
      </c>
      <c r="C169" t="str">
        <f t="shared" si="63"/>
        <v>Volatilisation</v>
      </c>
      <c r="D169" t="str">
        <f>'Activity data'!D78</f>
        <v xml:space="preserve"> - Commercial swine</v>
      </c>
      <c r="E169" t="str">
        <f t="shared" si="61"/>
        <v>Volatilisation - Commercial swine</v>
      </c>
      <c r="F169" t="str">
        <f t="shared" si="47"/>
        <v>N2O</v>
      </c>
      <c r="G169" t="str">
        <f t="shared" si="48"/>
        <v>Gg N2O</v>
      </c>
      <c r="H169" s="22">
        <f>Constants!$H52*'Activity data'!H17*Constants!$H70*EF!$H218*MMVolatEF*NtoN2O*kgtoGg</f>
        <v>0.12033024471222856</v>
      </c>
      <c r="I169" s="22">
        <f>Constants!$H52*'Activity data'!I17*Constants!$H70*EF!$H218*MMVolatEF*NtoN2O*kgtoGg</f>
        <v>0.13146316105371428</v>
      </c>
      <c r="J169" s="22">
        <f>Constants!$H52*'Activity data'!J17*Constants!$H70*EF!$H218*MMVolatEF*NtoN2O*kgtoGg</f>
        <v>0.13059463566537144</v>
      </c>
      <c r="K169" s="22">
        <f>Constants!$H52*'Activity data'!K17*Constants!$H70*EF!$H218*MMVolatEF*NtoN2O*kgtoGg</f>
        <v>0.13051567881188572</v>
      </c>
      <c r="L169" s="22">
        <f>Constants!$H52*'Activity data'!L17*Constants!$H70*EF!$H218*MMVolatEF*NtoN2O*kgtoGg</f>
        <v>0.12396225997257142</v>
      </c>
      <c r="M169" s="22">
        <f>Constants!$H52*'Activity data'!M17*Constants!$H70*EF!$H218*MMVolatEF*NtoN2O*kgtoGg</f>
        <v>0.12514661277485714</v>
      </c>
      <c r="N169" s="22">
        <f>Constants!$H52*'Activity data'!N17*Constants!$H70*EF!$H218*MMVolatEF*NtoN2O*kgtoGg</f>
        <v>0.13477934890011425</v>
      </c>
      <c r="O169" s="22">
        <f>Constants!$H52*'Activity data'!O17*Constants!$H70*EF!$H218*MMVolatEF*NtoN2O*kgtoGg</f>
        <v>0.1341476940722286</v>
      </c>
      <c r="P169" s="22">
        <f>Constants!$H52*'Activity data'!P17*Constants!$H70*EF!$H218*MMVolatEF*NtoN2O*kgtoGg</f>
        <v>0.13706909765120001</v>
      </c>
      <c r="Q169" s="22">
        <f>Constants!$H52*'Activity data'!Q17*Constants!$H70*EF!$H218*MMVolatEF*NtoN2O*kgtoGg</f>
        <v>0.14054319920457142</v>
      </c>
      <c r="R169" s="22">
        <f>Constants!$H52*'Activity data'!R17*Constants!$H70*EF!$H218*MMVolatEF*NtoN2O*kgtoGg</f>
        <v>0.13004193769097142</v>
      </c>
      <c r="S169" s="22">
        <f>Constants!$H52*'Activity data'!S17*Constants!$H70*EF!$H218*MMVolatEF*NtoN2O*kgtoGg</f>
        <v>0.13248960014902858</v>
      </c>
      <c r="T169" s="22">
        <f>Constants!$H52*'Activity data'!T17*Constants!$H70*EF!$H218*MMVolatEF*NtoN2O*kgtoGg</f>
        <v>0.13501621946057141</v>
      </c>
      <c r="U169" s="22">
        <f>Constants!$H52*'Activity data'!U17*Constants!$H70*EF!$H218*MMVolatEF*NtoN2O*kgtoGg</f>
        <v>0.13130524734674287</v>
      </c>
      <c r="V169" s="22">
        <f>Constants!$H52*'Activity data'!V17*Constants!$H70*EF!$H218*MMVolatEF*NtoN2O*kgtoGg</f>
        <v>0.13130524734674287</v>
      </c>
      <c r="W169" s="22">
        <f>Constants!$H52*'Activity data'!W17*Constants!$H70*EF!$H218*MMVolatEF*NtoN2O*kgtoGg</f>
        <v>0.13035776510491429</v>
      </c>
      <c r="X169" s="22">
        <f>Constants!$H52*'Activity data'!X17*Constants!$H70*EF!$H218*MMVolatEF*NtoN2O*kgtoGg</f>
        <v>0.12806801635382858</v>
      </c>
      <c r="Y169" s="22">
        <f>Constants!$H52*'Activity data'!Y17*Constants!$H70*EF!$H218*MMVolatEF*NtoN2O*kgtoGg</f>
        <v>0.13035776510491429</v>
      </c>
      <c r="Z169" s="22">
        <f>Constants!$H52*'Activity data'!Z17*Constants!$H70*EF!$H218*MMVolatEF*NtoN2O*kgtoGg</f>
        <v>0.12751531837942856</v>
      </c>
      <c r="AA169" s="22">
        <f>Constants!$H52*'Activity data'!AA17*Constants!$H70*EF!$H218*MMVolatEF*NtoN2O*kgtoGg</f>
        <v>0.12735740467245713</v>
      </c>
      <c r="AB169" s="22">
        <f>Constants!$H52*'Activity data'!AB17*Constants!$H70*EF!$H218*MMVolatEF*NtoN2O*kgtoGg</f>
        <v>0.1258572244562286</v>
      </c>
      <c r="AC169" s="22">
        <f>Constants!$H52*'Activity data'!AC17*Constants!$H70*EF!$H218*MMVolatEF*NtoN2O*kgtoGg</f>
        <v>0.12506765592137145</v>
      </c>
      <c r="AD169" s="22">
        <f>Constants!$H52*'Activity data'!AD17*Constants!$H70*EF!$H218*MMVolatEF*NtoN2O*kgtoGg</f>
        <v>0.12376689787932535</v>
      </c>
      <c r="AE169" s="22">
        <f>Constants!$H52*'Activity data'!AE17*Constants!$H70*EF!$H218*MMVolatEF*NtoN2O*kgtoGg</f>
        <v>0.12326495752991248</v>
      </c>
      <c r="AF169" s="22">
        <f>Constants!$H52*'Activity data'!AF17*Constants!$H70*EF!$H218*MMVolatEF*NtoN2O*kgtoGg</f>
        <v>0.12290502129817174</v>
      </c>
      <c r="AG169" s="22">
        <f>Constants!$H52*'Activity data'!AG17*Constants!$H70*EF!$H218*MMVolatEF*NtoN2O*kgtoGg</f>
        <v>0.12268359388119905</v>
      </c>
      <c r="AH169" s="22">
        <f>Constants!$H52*'Activity data'!AH17*Constants!$H70*EF!$H218*MMVolatEF*NtoN2O*kgtoGg</f>
        <v>0.12257527538451306</v>
      </c>
      <c r="AI169" s="22">
        <f>Constants!$H52*'Activity data'!AI17*Constants!$H70*EF!$H218*MMVolatEF*NtoN2O*kgtoGg</f>
        <v>0.12237806675822874</v>
      </c>
      <c r="AJ169" s="22">
        <f>Constants!$H52*'Activity data'!AJ17*Constants!$H70*EF!$H218*MMVolatEF*NtoN2O*kgtoGg</f>
        <v>0.12221909622144558</v>
      </c>
      <c r="AK169" s="22">
        <f>Constants!$H52*'Activity data'!AK17*Constants!$H70*EF!$H218*MMVolatEF*NtoN2O*kgtoGg</f>
        <v>0.12209503835446987</v>
      </c>
      <c r="AL169" s="22">
        <f>Constants!$H52*'Activity data'!AL17*Constants!$H70*EF!$H218*MMVolatEF*NtoN2O*kgtoGg</f>
        <v>0.12402123983608308</v>
      </c>
      <c r="AM169" s="22">
        <f>Constants!$H52*'Activity data'!AM17*Constants!$H70*EF!$H218*MMVolatEF*NtoN2O*kgtoGg</f>
        <v>0.12355389042908109</v>
      </c>
      <c r="AN169" s="22">
        <f>Constants!$H52*'Activity data'!AN17*Constants!$H70*EF!$H218*MMVolatEF*NtoN2O*kgtoGg</f>
        <v>0.12312478110742427</v>
      </c>
      <c r="AO169" s="22">
        <f>Constants!$H52*'Activity data'!AO17*Constants!$H70*EF!$H218*MMVolatEF*NtoN2O*kgtoGg</f>
        <v>0.12270512738905237</v>
      </c>
      <c r="AP169" s="22">
        <f>Constants!$H52*'Activity data'!AP17*Constants!$H70*EF!$H218*MMVolatEF*NtoN2O*kgtoGg</f>
        <v>0.12231610395948792</v>
      </c>
      <c r="AQ169" s="22">
        <f>Constants!$H52*'Activity data'!AQ17*Constants!$H70*EF!$H218*MMVolatEF*NtoN2O*kgtoGg</f>
        <v>0.12191932263317024</v>
      </c>
      <c r="AR169" s="22">
        <f>Constants!$H52*'Activity data'!AR17*Constants!$H70*EF!$H218*MMVolatEF*NtoN2O*kgtoGg</f>
        <v>0.12145614218293514</v>
      </c>
      <c r="AS169" s="22">
        <f>Constants!$H52*'Activity data'!AS17*Constants!$H70*EF!$H218*MMVolatEF*NtoN2O*kgtoGg</f>
        <v>0.12101435918934998</v>
      </c>
      <c r="AT169" s="22">
        <f>Constants!$H52*'Activity data'!AT17*Constants!$H70*EF!$H218*MMVolatEF*NtoN2O*kgtoGg</f>
        <v>0.1205646818152111</v>
      </c>
      <c r="AU169" s="22">
        <f>Constants!$H52*'Activity data'!AU17*Constants!$H70*EF!$H218*MMVolatEF*NtoN2O*kgtoGg</f>
        <v>0.12011443435192128</v>
      </c>
      <c r="AV169" s="22">
        <f>Constants!$H52*'Activity data'!AV17*Constants!$H70*EF!$H218*MMVolatEF*NtoN2O*kgtoGg</f>
        <v>0.11966299073498592</v>
      </c>
      <c r="AW169" s="22">
        <f>Constants!$H52*'Activity data'!AW17*Constants!$H70*EF!$H218*MMVolatEF*NtoN2O*kgtoGg</f>
        <v>0.12057257281368752</v>
      </c>
      <c r="AX169" s="22">
        <f>Constants!$H52*'Activity data'!AX17*Constants!$H70*EF!$H218*MMVolatEF*NtoN2O*kgtoGg</f>
        <v>0.12104196563803121</v>
      </c>
      <c r="AY169" s="22">
        <f>Constants!$H52*'Activity data'!AY17*Constants!$H70*EF!$H218*MMVolatEF*NtoN2O*kgtoGg</f>
        <v>0.12169718797493626</v>
      </c>
      <c r="AZ169" s="22">
        <f>Constants!$H52*'Activity data'!AZ17*Constants!$H70*EF!$H218*MMVolatEF*NtoN2O*kgtoGg</f>
        <v>0.12237071652447347</v>
      </c>
      <c r="BA169" s="22">
        <f>Constants!$H52*'Activity data'!BA17*Constants!$H70*EF!$H218*MMVolatEF*NtoN2O*kgtoGg</f>
        <v>0.12304573184050263</v>
      </c>
      <c r="BB169" s="22">
        <f>Constants!$H52*'Activity data'!BB17*Constants!$H70*EF!$H218*MMVolatEF*NtoN2O*kgtoGg</f>
        <v>0.123540144216257</v>
      </c>
      <c r="BC169" s="22">
        <f>Constants!$H52*'Activity data'!BC17*Constants!$H70*EF!$H218*MMVolatEF*NtoN2O*kgtoGg</f>
        <v>0.12391352644979756</v>
      </c>
      <c r="BD169" s="22">
        <f>Constants!$H52*'Activity data'!BD17*Constants!$H70*EF!$H218*MMVolatEF*NtoN2O*kgtoGg</f>
        <v>0.12404668774275658</v>
      </c>
      <c r="BE169" s="22">
        <f>Constants!$H52*'Activity data'!BE17*Constants!$H70*EF!$H218*MMVolatEF*NtoN2O*kgtoGg</f>
        <v>0.12403823255307414</v>
      </c>
      <c r="BF169" s="22">
        <f>Constants!$H52*'Activity data'!BF17*Constants!$H70*EF!$H218*MMVolatEF*NtoN2O*kgtoGg</f>
        <v>0.12395538939604847</v>
      </c>
      <c r="BG169" s="22">
        <f>Constants!$H52*'Activity data'!BG17*Constants!$H70*EF!$H218*MMVolatEF*NtoN2O*kgtoGg</f>
        <v>0.12462877726081679</v>
      </c>
      <c r="BH169" s="22">
        <f>Constants!$H52*'Activity data'!BH17*Constants!$H70*EF!$H218*MMVolatEF*NtoN2O*kgtoGg</f>
        <v>0.12520018161979482</v>
      </c>
      <c r="BI169" s="22">
        <f>Constants!$H52*'Activity data'!BI17*Constants!$H70*EF!$H218*MMVolatEF*NtoN2O*kgtoGg</f>
        <v>0.12564608507341885</v>
      </c>
      <c r="BJ169" s="22">
        <f>Constants!$H52*'Activity data'!BJ17*Constants!$H70*EF!$H218*MMVolatEF*NtoN2O*kgtoGg</f>
        <v>0.12597435179808725</v>
      </c>
      <c r="BK169" s="22">
        <f>Constants!$H52*'Activity data'!BK17*Constants!$H70*EF!$H218*MMVolatEF*NtoN2O*kgtoGg</f>
        <v>0.12624702546930203</v>
      </c>
      <c r="BL169" s="22">
        <f>Constants!$H52*'Activity data'!BL17*Constants!$H70*EF!$H218*MMVolatEF*NtoN2O*kgtoGg</f>
        <v>0.12640409681133641</v>
      </c>
      <c r="BM169" s="22">
        <f>Constants!$H52*'Activity data'!BM17*Constants!$H70*EF!$H218*MMVolatEF*NtoN2O*kgtoGg</f>
        <v>0.12642916547294719</v>
      </c>
      <c r="BN169" s="22">
        <f>Constants!$H52*'Activity data'!BN17*Constants!$H70*EF!$H218*MMVolatEF*NtoN2O*kgtoGg</f>
        <v>0.12618060446352594</v>
      </c>
      <c r="BO169" s="22">
        <f>Constants!$H52*'Activity data'!BO17*Constants!$H70*EF!$H218*MMVolatEF*NtoN2O*kgtoGg</f>
        <v>0.12579343817825972</v>
      </c>
      <c r="BP169" s="22">
        <f>Constants!$H52*'Activity data'!BP17*Constants!$H70*EF!$H218*MMVolatEF*NtoN2O*kgtoGg</f>
        <v>0.12526246505260907</v>
      </c>
    </row>
    <row r="170" spans="1:68" x14ac:dyDescent="0.25">
      <c r="A170" t="str">
        <f t="shared" si="58"/>
        <v>3C Aggregated and non-CO2 emissions on land</v>
      </c>
      <c r="B170" t="str">
        <f t="shared" si="62"/>
        <v>3C6 Indirect N2O from manure management (N2O)</v>
      </c>
      <c r="C170" t="str">
        <f t="shared" si="63"/>
        <v>Volatilisation</v>
      </c>
      <c r="D170" t="str">
        <f>'Activity data'!D79</f>
        <v xml:space="preserve"> - Subsistence swine</v>
      </c>
      <c r="E170" t="str">
        <f t="shared" si="61"/>
        <v>Volatilisation - Subsistence swine</v>
      </c>
      <c r="F170" t="str">
        <f t="shared" si="47"/>
        <v>N2O</v>
      </c>
      <c r="G170" t="str">
        <f t="shared" si="48"/>
        <v>Gg N2O</v>
      </c>
      <c r="H170" s="22">
        <f>Constants!$H53*'Activity data'!H18*Constants!$H71*EF!$H219*MMVolatEF*NtoN2O*kgtoGg</f>
        <v>1.1213700344412847E-2</v>
      </c>
      <c r="I170" s="22">
        <f>Constants!$H53*'Activity data'!I18*Constants!$H71*EF!$H219*MMVolatEF*NtoN2O*kgtoGg</f>
        <v>1.2251188368403802E-2</v>
      </c>
      <c r="J170" s="22">
        <f>Constants!$H53*'Activity data'!J18*Constants!$H71*EF!$H219*MMVolatEF*NtoN2O*kgtoGg</f>
        <v>1.2170249586390321E-2</v>
      </c>
      <c r="K170" s="22">
        <f>Constants!$H53*'Activity data'!K18*Constants!$H71*EF!$H219*MMVolatEF*NtoN2O*kgtoGg</f>
        <v>1.2162891515298188E-2</v>
      </c>
      <c r="L170" s="22">
        <f>Constants!$H53*'Activity data'!L18*Constants!$H71*EF!$H219*MMVolatEF*NtoN2O*kgtoGg</f>
        <v>1.1552171614651031E-2</v>
      </c>
      <c r="M170" s="22">
        <f>Constants!$H53*'Activity data'!M18*Constants!$H71*EF!$H219*MMVolatEF*NtoN2O*kgtoGg</f>
        <v>1.1662542681033047E-2</v>
      </c>
      <c r="N170" s="22">
        <f>Constants!$H53*'Activity data'!N18*Constants!$H71*EF!$H219*MMVolatEF*NtoN2O*kgtoGg</f>
        <v>1.2560227354273448E-2</v>
      </c>
      <c r="O170" s="22">
        <f>Constants!$H53*'Activity data'!O18*Constants!$H71*EF!$H219*MMVolatEF*NtoN2O*kgtoGg</f>
        <v>1.2501362785536372E-2</v>
      </c>
      <c r="P170" s="22">
        <f>Constants!$H53*'Activity data'!P18*Constants!$H71*EF!$H219*MMVolatEF*NtoN2O*kgtoGg</f>
        <v>1.2773611415945345E-2</v>
      </c>
      <c r="Q170" s="22">
        <f>Constants!$H53*'Activity data'!Q18*Constants!$H71*EF!$H219*MMVolatEF*NtoN2O*kgtoGg</f>
        <v>1.3097366543999258E-2</v>
      </c>
      <c r="R170" s="22">
        <f>Constants!$H53*'Activity data'!R18*Constants!$H71*EF!$H219*MMVolatEF*NtoN2O*kgtoGg</f>
        <v>1.2118743088745379E-2</v>
      </c>
      <c r="S170" s="22">
        <f>Constants!$H53*'Activity data'!S18*Constants!$H71*EF!$H219*MMVolatEF*NtoN2O*kgtoGg</f>
        <v>1.2346843292601547E-2</v>
      </c>
      <c r="T170" s="22">
        <f>Constants!$H53*'Activity data'!T18*Constants!$H71*EF!$H219*MMVolatEF*NtoN2O*kgtoGg</f>
        <v>1.2582301567549848E-2</v>
      </c>
      <c r="U170" s="22">
        <f>Constants!$H53*'Activity data'!U18*Constants!$H71*EF!$H219*MMVolatEF*NtoN2O*kgtoGg</f>
        <v>1.2236472226219531E-2</v>
      </c>
      <c r="V170" s="22">
        <f>Constants!$H53*'Activity data'!V18*Constants!$H71*EF!$H219*MMVolatEF*NtoN2O*kgtoGg</f>
        <v>1.2236472226219531E-2</v>
      </c>
      <c r="W170" s="22">
        <f>Constants!$H53*'Activity data'!W18*Constants!$H71*EF!$H219*MMVolatEF*NtoN2O*kgtoGg</f>
        <v>1.2148175373113919E-2</v>
      </c>
      <c r="X170" s="22">
        <f>Constants!$H53*'Activity data'!X18*Constants!$H71*EF!$H219*MMVolatEF*NtoN2O*kgtoGg</f>
        <v>1.1934791311442018E-2</v>
      </c>
      <c r="Y170" s="22">
        <f>Constants!$H53*'Activity data'!Y18*Constants!$H71*EF!$H219*MMVolatEF*NtoN2O*kgtoGg</f>
        <v>1.2148175373113919E-2</v>
      </c>
      <c r="Z170" s="22">
        <f>Constants!$H53*'Activity data'!Z18*Constants!$H71*EF!$H219*MMVolatEF*NtoN2O*kgtoGg</f>
        <v>1.1883284813797081E-2</v>
      </c>
      <c r="AA170" s="22">
        <f>Constants!$H53*'Activity data'!AA18*Constants!$H71*EF!$H219*MMVolatEF*NtoN2O*kgtoGg</f>
        <v>1.186856867161281E-2</v>
      </c>
      <c r="AB170" s="22">
        <f>Constants!$H53*'Activity data'!AB18*Constants!$H71*EF!$H219*MMVolatEF*NtoN2O*kgtoGg</f>
        <v>1.1728765320862257E-2</v>
      </c>
      <c r="AC170" s="22">
        <f>Constants!$H53*'Activity data'!AC18*Constants!$H71*EF!$H219*MMVolatEF*NtoN2O*kgtoGg</f>
        <v>1.1655184609940911E-2</v>
      </c>
      <c r="AD170" s="22">
        <f>Constants!$H53*'Activity data'!AD18*Constants!$H71*EF!$H219*MMVolatEF*NtoN2O*kgtoGg</f>
        <v>1.1570710659445859E-2</v>
      </c>
      <c r="AE170" s="22">
        <f>Constants!$H53*'Activity data'!AE18*Constants!$H71*EF!$H219*MMVolatEF*NtoN2O*kgtoGg</f>
        <v>1.1523785296922676E-2</v>
      </c>
      <c r="AF170" s="22">
        <f>Constants!$H53*'Activity data'!AF18*Constants!$H71*EF!$H219*MMVolatEF*NtoN2O*kgtoGg</f>
        <v>1.1490135604923579E-2</v>
      </c>
      <c r="AG170" s="22">
        <f>Constants!$H53*'Activity data'!AG18*Constants!$H71*EF!$H219*MMVolatEF*NtoN2O*kgtoGg</f>
        <v>1.1469434814827364E-2</v>
      </c>
      <c r="AH170" s="22">
        <f>Constants!$H53*'Activity data'!AH18*Constants!$H71*EF!$H219*MMVolatEF*NtoN2O*kgtoGg</f>
        <v>1.1459308343164143E-2</v>
      </c>
      <c r="AI170" s="22">
        <f>Constants!$H53*'Activity data'!AI18*Constants!$H71*EF!$H219*MMVolatEF*NtoN2O*kgtoGg</f>
        <v>1.1440871717593162E-2</v>
      </c>
      <c r="AJ170" s="22">
        <f>Constants!$H53*'Activity data'!AJ18*Constants!$H71*EF!$H219*MMVolatEF*NtoN2O*kgtoGg</f>
        <v>1.1426009891725248E-2</v>
      </c>
      <c r="AK170" s="22">
        <f>Constants!$H53*'Activity data'!AK18*Constants!$H71*EF!$H219*MMVolatEF*NtoN2O*kgtoGg</f>
        <v>1.1414411978968289E-2</v>
      </c>
      <c r="AL170" s="22">
        <f>Constants!$H53*'Activity data'!AL18*Constants!$H71*EF!$H219*MMVolatEF*NtoN2O*kgtoGg</f>
        <v>1.1594488561620243E-2</v>
      </c>
      <c r="AM170" s="22">
        <f>Constants!$H53*'Activity data'!AM18*Constants!$H71*EF!$H219*MMVolatEF*NtoN2O*kgtoGg</f>
        <v>1.1550797034580789E-2</v>
      </c>
      <c r="AN170" s="22">
        <f>Constants!$H53*'Activity data'!AN18*Constants!$H71*EF!$H219*MMVolatEF*NtoN2O*kgtoGg</f>
        <v>1.1510680493831717E-2</v>
      </c>
      <c r="AO170" s="22">
        <f>Constants!$H53*'Activity data'!AO18*Constants!$H71*EF!$H219*MMVolatEF*NtoN2O*kgtoGg</f>
        <v>1.1471447937828122E-2</v>
      </c>
      <c r="AP170" s="22">
        <f>Constants!$H53*'Activity data'!AP18*Constants!$H71*EF!$H219*MMVolatEF*NtoN2O*kgtoGg</f>
        <v>1.1435078944015058E-2</v>
      </c>
      <c r="AQ170" s="22">
        <f>Constants!$H53*'Activity data'!AQ18*Constants!$H71*EF!$H219*MMVolatEF*NtoN2O*kgtoGg</f>
        <v>1.1397984680520072E-2</v>
      </c>
      <c r="AR170" s="22">
        <f>Constants!$H53*'Activity data'!AR18*Constants!$H71*EF!$H219*MMVolatEF*NtoN2O*kgtoGg</f>
        <v>1.135468290060467E-2</v>
      </c>
      <c r="AS170" s="22">
        <f>Constants!$H53*'Activity data'!AS18*Constants!$H71*EF!$H219*MMVolatEF*NtoN2O*kgtoGg</f>
        <v>1.131338152454512E-2</v>
      </c>
      <c r="AT170" s="22">
        <f>Constants!$H53*'Activity data'!AT18*Constants!$H71*EF!$H219*MMVolatEF*NtoN2O*kgtoGg</f>
        <v>1.1271342119216134E-2</v>
      </c>
      <c r="AU170" s="22">
        <f>Constants!$H53*'Activity data'!AU18*Constants!$H71*EF!$H219*MMVolatEF*NtoN2O*kgtoGg</f>
        <v>1.1229249417434473E-2</v>
      </c>
      <c r="AV170" s="22">
        <f>Constants!$H53*'Activity data'!AV18*Constants!$H71*EF!$H219*MMVolatEF*NtoN2O*kgtoGg</f>
        <v>1.1187044889728642E-2</v>
      </c>
      <c r="AW170" s="22">
        <f>Constants!$H53*'Activity data'!AW18*Constants!$H71*EF!$H219*MMVolatEF*NtoN2O*kgtoGg</f>
        <v>1.1272079832302181E-2</v>
      </c>
      <c r="AX170" s="22">
        <f>Constants!$H53*'Activity data'!AX18*Constants!$H71*EF!$H219*MMVolatEF*NtoN2O*kgtoGg</f>
        <v>1.1315962394192001E-2</v>
      </c>
      <c r="AY170" s="22">
        <f>Constants!$H53*'Activity data'!AY18*Constants!$H71*EF!$H219*MMVolatEF*NtoN2O*kgtoGg</f>
        <v>1.1377217771904759E-2</v>
      </c>
      <c r="AZ170" s="22">
        <f>Constants!$H53*'Activity data'!AZ18*Constants!$H71*EF!$H219*MMVolatEF*NtoN2O*kgtoGg</f>
        <v>1.1440184559479654E-2</v>
      </c>
      <c r="BA170" s="22">
        <f>Constants!$H53*'Activity data'!BA18*Constants!$H71*EF!$H219*MMVolatEF*NtoN2O*kgtoGg</f>
        <v>1.1503290341771161E-2</v>
      </c>
      <c r="BB170" s="22">
        <f>Constants!$H53*'Activity data'!BB18*Constants!$H71*EF!$H219*MMVolatEF*NtoN2O*kgtoGg</f>
        <v>1.1549511929645819E-2</v>
      </c>
      <c r="BC170" s="22">
        <f>Constants!$H53*'Activity data'!BC18*Constants!$H71*EF!$H219*MMVolatEF*NtoN2O*kgtoGg</f>
        <v>1.1584418660473703E-2</v>
      </c>
      <c r="BD170" s="22">
        <f>Constants!$H53*'Activity data'!BD18*Constants!$H71*EF!$H219*MMVolatEF*NtoN2O*kgtoGg</f>
        <v>1.1596867633650429E-2</v>
      </c>
      <c r="BE170" s="22">
        <f>Constants!$H53*'Activity data'!BE18*Constants!$H71*EF!$H219*MMVolatEF*NtoN2O*kgtoGg</f>
        <v>1.1596077175498348E-2</v>
      </c>
      <c r="BF170" s="22">
        <f>Constants!$H53*'Activity data'!BF18*Constants!$H71*EF!$H219*MMVolatEF*NtoN2O*kgtoGg</f>
        <v>1.1588332340518372E-2</v>
      </c>
      <c r="BG170" s="22">
        <f>Constants!$H53*'Activity data'!BG18*Constants!$H71*EF!$H219*MMVolatEF*NtoN2O*kgtoGg</f>
        <v>1.1651285975765927E-2</v>
      </c>
      <c r="BH170" s="22">
        <f>Constants!$H53*'Activity data'!BH18*Constants!$H71*EF!$H219*MMVolatEF*NtoN2O*kgtoGg</f>
        <v>1.1704705384513873E-2</v>
      </c>
      <c r="BI170" s="22">
        <f>Constants!$H53*'Activity data'!BI18*Constants!$H71*EF!$H219*MMVolatEF*NtoN2O*kgtoGg</f>
        <v>1.1746391973838926E-2</v>
      </c>
      <c r="BJ170" s="22">
        <f>Constants!$H53*'Activity data'!BJ18*Constants!$H71*EF!$H219*MMVolatEF*NtoN2O*kgtoGg</f>
        <v>1.1777080949286665E-2</v>
      </c>
      <c r="BK170" s="22">
        <f>Constants!$H53*'Activity data'!BK18*Constants!$H71*EF!$H219*MMVolatEF*NtoN2O*kgtoGg</f>
        <v>1.1802572645435921E-2</v>
      </c>
      <c r="BL170" s="22">
        <f>Constants!$H53*'Activity data'!BL18*Constants!$H71*EF!$H219*MMVolatEF*NtoN2O*kgtoGg</f>
        <v>1.1817256919524637E-2</v>
      </c>
      <c r="BM170" s="22">
        <f>Constants!$H53*'Activity data'!BM18*Constants!$H71*EF!$H219*MMVolatEF*NtoN2O*kgtoGg</f>
        <v>1.1819600536720253E-2</v>
      </c>
      <c r="BN170" s="22">
        <f>Constants!$H53*'Activity data'!BN18*Constants!$H71*EF!$H219*MMVolatEF*NtoN2O*kgtoGg</f>
        <v>1.1796363083325911E-2</v>
      </c>
      <c r="BO170" s="22">
        <f>Constants!$H53*'Activity data'!BO18*Constants!$H71*EF!$H219*MMVolatEF*NtoN2O*kgtoGg</f>
        <v>1.1760167710082611E-2</v>
      </c>
      <c r="BP170" s="22">
        <f>Constants!$H53*'Activity data'!BP18*Constants!$H71*EF!$H219*MMVolatEF*NtoN2O*kgtoGg</f>
        <v>1.1710528133506686E-2</v>
      </c>
    </row>
    <row r="171" spans="1:68" x14ac:dyDescent="0.25">
      <c r="A171" t="str">
        <f t="shared" si="58"/>
        <v>3C Aggregated and non-CO2 emissions on land</v>
      </c>
      <c r="B171" t="str">
        <f t="shared" si="62"/>
        <v>3C6 Indirect N2O from manure management (N2O)</v>
      </c>
      <c r="C171" t="str">
        <f t="shared" si="63"/>
        <v>Volatilisation</v>
      </c>
      <c r="D171" t="str">
        <f>'Activity data'!D80</f>
        <v xml:space="preserve"> - Commercial layers</v>
      </c>
      <c r="E171" t="str">
        <f t="shared" si="61"/>
        <v>Volatilisation - Commercial layers</v>
      </c>
      <c r="F171" t="str">
        <f t="shared" si="47"/>
        <v>N2O</v>
      </c>
      <c r="G171" t="str">
        <f t="shared" si="48"/>
        <v>Gg N2O</v>
      </c>
      <c r="H171" s="22">
        <f>Constants!$H54*'Activity data'!H19*Constants!$H72*EF!$H220*MMVolatEF*NtoN2O*kgtoGg</f>
        <v>3.9901922234143378E-2</v>
      </c>
      <c r="I171" s="22">
        <f>Constants!$H54*'Activity data'!I19*Constants!$H72*EF!$H220*MMVolatEF*NtoN2O*kgtoGg</f>
        <v>3.8764119662049575E-2</v>
      </c>
      <c r="J171" s="22">
        <f>Constants!$H54*'Activity data'!J19*Constants!$H72*EF!$H220*MMVolatEF*NtoN2O*kgtoGg</f>
        <v>3.6765071039765375E-2</v>
      </c>
      <c r="K171" s="22">
        <f>Constants!$H54*'Activity data'!K19*Constants!$H72*EF!$H220*MMVolatEF*NtoN2O*kgtoGg</f>
        <v>3.6187005010116235E-2</v>
      </c>
      <c r="L171" s="22">
        <f>Constants!$H54*'Activity data'!L19*Constants!$H72*EF!$H220*MMVolatEF*NtoN2O*kgtoGg</f>
        <v>3.4613000583397703E-2</v>
      </c>
      <c r="M171" s="22">
        <f>Constants!$H54*'Activity data'!M19*Constants!$H72*EF!$H220*MMVolatEF*NtoN2O*kgtoGg</f>
        <v>3.7767091699964048E-2</v>
      </c>
      <c r="N171" s="22">
        <f>Constants!$H54*'Activity data'!N19*Constants!$H72*EF!$H220*MMVolatEF*NtoN2O*kgtoGg</f>
        <v>3.9893574992700236E-2</v>
      </c>
      <c r="O171" s="22">
        <f>Constants!$H54*'Activity data'!O19*Constants!$H72*EF!$H220*MMVolatEF*NtoN2O*kgtoGg</f>
        <v>4.0024759793687768E-2</v>
      </c>
      <c r="P171" s="22">
        <f>Constants!$H54*'Activity data'!P19*Constants!$H72*EF!$H220*MMVolatEF*NtoN2O*kgtoGg</f>
        <v>4.5064502181051763E-2</v>
      </c>
      <c r="Q171" s="22">
        <f>Constants!$H54*'Activity data'!Q19*Constants!$H72*EF!$H220*MMVolatEF*NtoN2O*kgtoGg</f>
        <v>4.8313668520703602E-2</v>
      </c>
      <c r="R171" s="22">
        <f>Constants!$H54*'Activity data'!R19*Constants!$H72*EF!$H220*MMVolatEF*NtoN2O*kgtoGg</f>
        <v>4.7289979406797474E-2</v>
      </c>
      <c r="S171" s="22">
        <f>Constants!$H54*'Activity data'!S19*Constants!$H72*EF!$H220*MMVolatEF*NtoN2O*kgtoGg</f>
        <v>4.8551507364098793E-2</v>
      </c>
      <c r="T171" s="22">
        <f>Constants!$H54*'Activity data'!T19*Constants!$H72*EF!$H220*MMVolatEF*NtoN2O*kgtoGg</f>
        <v>4.8170447709819791E-2</v>
      </c>
      <c r="U171" s="22">
        <f>Constants!$H54*'Activity data'!U19*Constants!$H72*EF!$H220*MMVolatEF*NtoN2O*kgtoGg</f>
        <v>4.6247362930646907E-2</v>
      </c>
      <c r="V171" s="22">
        <f>Constants!$H54*'Activity data'!V19*Constants!$H72*EF!$H220*MMVolatEF*NtoN2O*kgtoGg</f>
        <v>4.7924340253760342E-2</v>
      </c>
      <c r="W171" s="22">
        <f>Constants!$H54*'Activity data'!W19*Constants!$H72*EF!$H220*MMVolatEF*NtoN2O*kgtoGg</f>
        <v>5.0814203111068781E-2</v>
      </c>
      <c r="X171" s="22">
        <f>Constants!$H54*'Activity data'!X19*Constants!$H72*EF!$H220*MMVolatEF*NtoN2O*kgtoGg</f>
        <v>5.6079445071930599E-2</v>
      </c>
      <c r="Y171" s="22">
        <f>Constants!$H54*'Activity data'!Y19*Constants!$H72*EF!$H220*MMVolatEF*NtoN2O*kgtoGg</f>
        <v>6.2061568790031385E-2</v>
      </c>
      <c r="Z171" s="22">
        <f>Constants!$H54*'Activity data'!Z19*Constants!$H72*EF!$H220*MMVolatEF*NtoN2O*kgtoGg</f>
        <v>6.2878912050452387E-2</v>
      </c>
      <c r="AA171" s="22">
        <f>Constants!$H54*'Activity data'!AA19*Constants!$H72*EF!$H220*MMVolatEF*NtoN2O*kgtoGg</f>
        <v>6.0560791025763831E-2</v>
      </c>
      <c r="AB171" s="22">
        <f>Constants!$H54*'Activity data'!AB19*Constants!$H72*EF!$H220*MMVolatEF*NtoN2O*kgtoGg</f>
        <v>6.291984308956225E-2</v>
      </c>
      <c r="AC171" s="22">
        <f>Constants!$H54*'Activity data'!AC19*Constants!$H72*EF!$H220*MMVolatEF*NtoN2O*kgtoGg</f>
        <v>6.5824054338964127E-2</v>
      </c>
      <c r="AD171" s="22">
        <f>Constants!$H54*'Activity data'!AD19*Constants!$H72*EF!$H220*MMVolatEF*NtoN2O*kgtoGg</f>
        <v>6.6242466384056564E-2</v>
      </c>
      <c r="AE171" s="22">
        <f>Constants!$H54*'Activity data'!AE19*Constants!$H72*EF!$H220*MMVolatEF*NtoN2O*kgtoGg</f>
        <v>6.7761230113237744E-2</v>
      </c>
      <c r="AF171" s="22">
        <f>Constants!$H54*'Activity data'!AF19*Constants!$H72*EF!$H220*MMVolatEF*NtoN2O*kgtoGg</f>
        <v>6.8958396275005635E-2</v>
      </c>
      <c r="AG171" s="22">
        <f>Constants!$H54*'Activity data'!AG19*Constants!$H72*EF!$H220*MMVolatEF*NtoN2O*kgtoGg</f>
        <v>6.9819774466406845E-2</v>
      </c>
      <c r="AH171" s="22">
        <f>Constants!$H54*'Activity data'!AH19*Constants!$H72*EF!$H220*MMVolatEF*NtoN2O*kgtoGg</f>
        <v>7.0420697658971951E-2</v>
      </c>
      <c r="AI171" s="22">
        <f>Constants!$H54*'Activity data'!AI19*Constants!$H72*EF!$H220*MMVolatEF*NtoN2O*kgtoGg</f>
        <v>7.1256465556999604E-2</v>
      </c>
      <c r="AJ171" s="22">
        <f>Constants!$H54*'Activity data'!AJ19*Constants!$H72*EF!$H220*MMVolatEF*NtoN2O*kgtoGg</f>
        <v>7.1996931616450238E-2</v>
      </c>
      <c r="AK171" s="22">
        <f>Constants!$H54*'Activity data'!AK19*Constants!$H72*EF!$H220*MMVolatEF*NtoN2O*kgtoGg</f>
        <v>7.2648064051182015E-2</v>
      </c>
      <c r="AL171" s="22">
        <f>Constants!$H54*'Activity data'!AL19*Constants!$H72*EF!$H220*MMVolatEF*NtoN2O*kgtoGg</f>
        <v>6.811147192829857E-2</v>
      </c>
      <c r="AM171" s="22">
        <f>Constants!$H54*'Activity data'!AM19*Constants!$H72*EF!$H220*MMVolatEF*NtoN2O*kgtoGg</f>
        <v>6.9562545888835953E-2</v>
      </c>
      <c r="AN171" s="22">
        <f>Constants!$H54*'Activity data'!AN19*Constants!$H72*EF!$H220*MMVolatEF*NtoN2O*kgtoGg</f>
        <v>7.0950429498625234E-2</v>
      </c>
      <c r="AO171" s="22">
        <f>Constants!$H54*'Activity data'!AO19*Constants!$H72*EF!$H220*MMVolatEF*NtoN2O*kgtoGg</f>
        <v>7.2342431135225538E-2</v>
      </c>
      <c r="AP171" s="22">
        <f>Constants!$H54*'Activity data'!AP19*Constants!$H72*EF!$H220*MMVolatEF*NtoN2O*kgtoGg</f>
        <v>7.3681502263444748E-2</v>
      </c>
      <c r="AQ171" s="22">
        <f>Constants!$H54*'Activity data'!AQ19*Constants!$H72*EF!$H220*MMVolatEF*NtoN2O*kgtoGg</f>
        <v>7.5066143278648412E-2</v>
      </c>
      <c r="AR171" s="22">
        <f>Constants!$H54*'Activity data'!AR19*Constants!$H72*EF!$H220*MMVolatEF*NtoN2O*kgtoGg</f>
        <v>7.6688435239307587E-2</v>
      </c>
      <c r="AS171" s="22">
        <f>Constants!$H54*'Activity data'!AS19*Constants!$H72*EF!$H220*MMVolatEF*NtoN2O*kgtoGg</f>
        <v>7.8286298653907835E-2</v>
      </c>
      <c r="AT171" s="22">
        <f>Constants!$H54*'Activity data'!AT19*Constants!$H72*EF!$H220*MMVolatEF*NtoN2O*kgtoGg</f>
        <v>7.99417341421991E-2</v>
      </c>
      <c r="AU171" s="22">
        <f>Constants!$H54*'Activity data'!AU19*Constants!$H72*EF!$H220*MMVolatEF*NtoN2O*kgtoGg</f>
        <v>8.1635510809100031E-2</v>
      </c>
      <c r="AV171" s="22">
        <f>Constants!$H54*'Activity data'!AV19*Constants!$H72*EF!$H220*MMVolatEF*NtoN2O*kgtoGg</f>
        <v>8.3370747777193402E-2</v>
      </c>
      <c r="AW171" s="22">
        <f>Constants!$H54*'Activity data'!AW19*Constants!$H72*EF!$H220*MMVolatEF*NtoN2O*kgtoGg</f>
        <v>8.5395657148207502E-2</v>
      </c>
      <c r="AX171" s="22">
        <f>Constants!$H54*'Activity data'!AX19*Constants!$H72*EF!$H220*MMVolatEF*NtoN2O*kgtoGg</f>
        <v>8.7313952432165387E-2</v>
      </c>
      <c r="AY171" s="22">
        <f>Constants!$H54*'Activity data'!AY19*Constants!$H72*EF!$H220*MMVolatEF*NtoN2O*kgtoGg</f>
        <v>8.9402119513530665E-2</v>
      </c>
      <c r="AZ171" s="22">
        <f>Constants!$H54*'Activity data'!AZ19*Constants!$H72*EF!$H220*MMVolatEF*NtoN2O*kgtoGg</f>
        <v>9.1595885457447554E-2</v>
      </c>
      <c r="BA171" s="22">
        <f>Constants!$H54*'Activity data'!BA19*Constants!$H72*EF!$H220*MMVolatEF*NtoN2O*kgtoGg</f>
        <v>9.3896195836418547E-2</v>
      </c>
      <c r="BB171" s="22">
        <f>Constants!$H54*'Activity data'!BB19*Constants!$H72*EF!$H220*MMVolatEF*NtoN2O*kgtoGg</f>
        <v>9.6235571189107916E-2</v>
      </c>
      <c r="BC171" s="22">
        <f>Constants!$H54*'Activity data'!BC19*Constants!$H72*EF!$H220*MMVolatEF*NtoN2O*kgtoGg</f>
        <v>9.863339078655245E-2</v>
      </c>
      <c r="BD171" s="22">
        <f>Constants!$H54*'Activity data'!BD19*Constants!$H72*EF!$H220*MMVolatEF*NtoN2O*kgtoGg</f>
        <v>0.10103236846078957</v>
      </c>
      <c r="BE171" s="22">
        <f>Constants!$H54*'Activity data'!BE19*Constants!$H72*EF!$H220*MMVolatEF*NtoN2O*kgtoGg</f>
        <v>0.10348620968916063</v>
      </c>
      <c r="BF171" s="22">
        <f>Constants!$H54*'Activity data'!BF19*Constants!$H72*EF!$H220*MMVolatEF*NtoN2O*kgtoGg</f>
        <v>0.10603815203464878</v>
      </c>
      <c r="BG171" s="22">
        <f>Constants!$H54*'Activity data'!BG19*Constants!$H72*EF!$H220*MMVolatEF*NtoN2O*kgtoGg</f>
        <v>0.108689424797458</v>
      </c>
      <c r="BH171" s="22">
        <f>Constants!$H54*'Activity data'!BH19*Constants!$H72*EF!$H220*MMVolatEF*NtoN2O*kgtoGg</f>
        <v>0.11140364644150268</v>
      </c>
      <c r="BI171" s="22">
        <f>Constants!$H54*'Activity data'!BI19*Constants!$H72*EF!$H220*MMVolatEF*NtoN2O*kgtoGg</f>
        <v>0.1141718198446318</v>
      </c>
      <c r="BJ171" s="22">
        <f>Constants!$H54*'Activity data'!BJ19*Constants!$H72*EF!$H220*MMVolatEF*NtoN2O*kgtoGg</f>
        <v>0.1170035743934021</v>
      </c>
      <c r="BK171" s="22">
        <f>Constants!$H54*'Activity data'!BK19*Constants!$H72*EF!$H220*MMVolatEF*NtoN2O*kgtoGg</f>
        <v>0.11994466936857172</v>
      </c>
      <c r="BL171" s="22">
        <f>Constants!$H54*'Activity data'!BL19*Constants!$H72*EF!$H220*MMVolatEF*NtoN2O*kgtoGg</f>
        <v>0.12295103770291357</v>
      </c>
      <c r="BM171" s="22">
        <f>Constants!$H54*'Activity data'!BM19*Constants!$H72*EF!$H220*MMVolatEF*NtoN2O*kgtoGg</f>
        <v>0.12603324845505426</v>
      </c>
      <c r="BN171" s="22">
        <f>Constants!$H54*'Activity data'!BN19*Constants!$H72*EF!$H220*MMVolatEF*NtoN2O*kgtoGg</f>
        <v>0.12909833130827816</v>
      </c>
      <c r="BO171" s="22">
        <f>Constants!$H54*'Activity data'!BO19*Constants!$H72*EF!$H220*MMVolatEF*NtoN2O*kgtoGg</f>
        <v>0.1322435561425476</v>
      </c>
      <c r="BP171" s="22">
        <f>Constants!$H54*'Activity data'!BP19*Constants!$H72*EF!$H220*MMVolatEF*NtoN2O*kgtoGg</f>
        <v>0.13547342849446056</v>
      </c>
    </row>
    <row r="172" spans="1:68" x14ac:dyDescent="0.25">
      <c r="A172" t="str">
        <f t="shared" si="58"/>
        <v>3C Aggregated and non-CO2 emissions on land</v>
      </c>
      <c r="B172" t="str">
        <f t="shared" si="62"/>
        <v>3C6 Indirect N2O from manure management (N2O)</v>
      </c>
      <c r="C172" t="str">
        <f t="shared" si="63"/>
        <v>Volatilisation</v>
      </c>
      <c r="D172" t="str">
        <f>'Activity data'!D81</f>
        <v xml:space="preserve"> - Commercial broilers</v>
      </c>
      <c r="E172" t="str">
        <f t="shared" si="61"/>
        <v>Volatilisation - Commercial broilers</v>
      </c>
      <c r="F172" t="str">
        <f t="shared" si="47"/>
        <v>N2O</v>
      </c>
      <c r="G172" t="str">
        <f t="shared" si="48"/>
        <v>Gg N2O</v>
      </c>
      <c r="H172" s="22">
        <f>Constants!$H55*'Activity data'!H20*Constants!$H73*EF!$H221*MMVolatEF*NtoN2O*kgtoGg</f>
        <v>0.13300481081505974</v>
      </c>
      <c r="I172" s="22">
        <f>Constants!$H55*'Activity data'!I20*Constants!$H73*EF!$H221*MMVolatEF*NtoN2O*kgtoGg</f>
        <v>0.12502452232752509</v>
      </c>
      <c r="J172" s="22">
        <f>Constants!$H55*'Activity data'!J20*Constants!$H73*EF!$H221*MMVolatEF*NtoN2O*kgtoGg</f>
        <v>0.11815711721981632</v>
      </c>
      <c r="K172" s="22">
        <f>Constants!$H55*'Activity data'!K20*Constants!$H73*EF!$H221*MMVolatEF*NtoN2O*kgtoGg</f>
        <v>0.13288475431749616</v>
      </c>
      <c r="L172" s="22">
        <f>Constants!$H55*'Activity data'!L20*Constants!$H73*EF!$H221*MMVolatEF*NtoN2O*kgtoGg</f>
        <v>0.13163846288812139</v>
      </c>
      <c r="M172" s="22">
        <f>Constants!$H55*'Activity data'!M20*Constants!$H73*EF!$H221*MMVolatEF*NtoN2O*kgtoGg</f>
        <v>0.15067946452756478</v>
      </c>
      <c r="N172" s="22">
        <f>Constants!$H55*'Activity data'!N20*Constants!$H73*EF!$H221*MMVolatEF*NtoN2O*kgtoGg</f>
        <v>0.17520137856774748</v>
      </c>
      <c r="O172" s="22">
        <f>Constants!$H55*'Activity data'!O20*Constants!$H73*EF!$H221*MMVolatEF*NtoN2O*kgtoGg</f>
        <v>0.17833497655174868</v>
      </c>
      <c r="P172" s="22">
        <f>Constants!$H55*'Activity data'!P20*Constants!$H73*EF!$H221*MMVolatEF*NtoN2O*kgtoGg</f>
        <v>0.19540750250200264</v>
      </c>
      <c r="Q172" s="22">
        <f>Constants!$H55*'Activity data'!Q20*Constants!$H73*EF!$H221*MMVolatEF*NtoN2O*kgtoGg</f>
        <v>0.20400324067875486</v>
      </c>
      <c r="R172" s="22">
        <f>Constants!$H55*'Activity data'!R20*Constants!$H73*EF!$H221*MMVolatEF*NtoN2O*kgtoGg</f>
        <v>0.2194924541960066</v>
      </c>
      <c r="S172" s="22">
        <f>Constants!$H55*'Activity data'!S20*Constants!$H73*EF!$H221*MMVolatEF*NtoN2O*kgtoGg</f>
        <v>0.21194302789750966</v>
      </c>
      <c r="T172" s="22">
        <f>Constants!$H55*'Activity data'!T20*Constants!$H73*EF!$H221*MMVolatEF*NtoN2O*kgtoGg</f>
        <v>0.23490162161460634</v>
      </c>
      <c r="U172" s="22">
        <f>Constants!$H55*'Activity data'!U20*Constants!$H73*EF!$H221*MMVolatEF*NtoN2O*kgtoGg</f>
        <v>0.22342690340629309</v>
      </c>
      <c r="V172" s="22">
        <f>Constants!$H55*'Activity data'!V20*Constants!$H73*EF!$H221*MMVolatEF*NtoN2O*kgtoGg</f>
        <v>0.22882062376153647</v>
      </c>
      <c r="W172" s="22">
        <f>Constants!$H55*'Activity data'!W20*Constants!$H73*EF!$H221*MMVolatEF*NtoN2O*kgtoGg</f>
        <v>0.25318423090083292</v>
      </c>
      <c r="X172" s="22">
        <f>Constants!$H55*'Activity data'!X20*Constants!$H73*EF!$H221*MMVolatEF*NtoN2O*kgtoGg</f>
        <v>0.27080419841374809</v>
      </c>
      <c r="Y172" s="22">
        <f>Constants!$H55*'Activity data'!Y20*Constants!$H73*EF!$H221*MMVolatEF*NtoN2O*kgtoGg</f>
        <v>0.28333542117093263</v>
      </c>
      <c r="Z172" s="22">
        <f>Constants!$H55*'Activity data'!Z20*Constants!$H73*EF!$H221*MMVolatEF*NtoN2O*kgtoGg</f>
        <v>0.30167528975381169</v>
      </c>
      <c r="AA172" s="22">
        <f>Constants!$H55*'Activity data'!AA20*Constants!$H73*EF!$H221*MMVolatEF*NtoN2O*kgtoGg</f>
        <v>0.28466366211683397</v>
      </c>
      <c r="AB172" s="22">
        <f>Constants!$H55*'Activity data'!AB20*Constants!$H73*EF!$H221*MMVolatEF*NtoN2O*kgtoGg</f>
        <v>0.29182318020337894</v>
      </c>
      <c r="AC172" s="22">
        <f>Constants!$H55*'Activity data'!AC20*Constants!$H73*EF!$H221*MMVolatEF*NtoN2O*kgtoGg</f>
        <v>0.30182167573697893</v>
      </c>
      <c r="AD172" s="22">
        <f>Constants!$H55*'Activity data'!AD20*Constants!$H73*EF!$H221*MMVolatEF*NtoN2O*kgtoGg</f>
        <v>0.29791627011709992</v>
      </c>
      <c r="AE172" s="22">
        <f>Constants!$H55*'Activity data'!AE20*Constants!$H73*EF!$H221*MMVolatEF*NtoN2O*kgtoGg</f>
        <v>0.30314816822329088</v>
      </c>
      <c r="AF172" s="22">
        <f>Constants!$H55*'Activity data'!AF20*Constants!$H73*EF!$H221*MMVolatEF*NtoN2O*kgtoGg</f>
        <v>0.30698327520657742</v>
      </c>
      <c r="AG172" s="22">
        <f>Constants!$H55*'Activity data'!AG20*Constants!$H73*EF!$H221*MMVolatEF*NtoN2O*kgtoGg</f>
        <v>0.30936037444819542</v>
      </c>
      <c r="AH172" s="22">
        <f>Constants!$H55*'Activity data'!AH20*Constants!$H73*EF!$H221*MMVolatEF*NtoN2O*kgtoGg</f>
        <v>0.31049611597089893</v>
      </c>
      <c r="AI172" s="22">
        <f>Constants!$H55*'Activity data'!AI20*Constants!$H73*EF!$H221*MMVolatEF*NtoN2O*kgtoGg</f>
        <v>0.31264317875698</v>
      </c>
      <c r="AJ172" s="22">
        <f>Constants!$H55*'Activity data'!AJ20*Constants!$H73*EF!$H221*MMVolatEF*NtoN2O*kgtoGg</f>
        <v>0.31437983937707592</v>
      </c>
      <c r="AK172" s="22">
        <f>Constants!$H55*'Activity data'!AK20*Constants!$H73*EF!$H221*MMVolatEF*NtoN2O*kgtoGg</f>
        <v>0.31573179899216197</v>
      </c>
      <c r="AL172" s="22">
        <f>Constants!$H55*'Activity data'!AL20*Constants!$H73*EF!$H221*MMVolatEF*NtoN2O*kgtoGg</f>
        <v>0.29474365030748001</v>
      </c>
      <c r="AM172" s="22">
        <f>Constants!$H55*'Activity data'!AM20*Constants!$H73*EF!$H221*MMVolatEF*NtoN2O*kgtoGg</f>
        <v>0.29952067130794635</v>
      </c>
      <c r="AN172" s="22">
        <f>Constants!$H55*'Activity data'!AN20*Constants!$H73*EF!$H221*MMVolatEF*NtoN2O*kgtoGg</f>
        <v>0.30402557316974166</v>
      </c>
      <c r="AO172" s="22">
        <f>Constants!$H55*'Activity data'!AO20*Constants!$H73*EF!$H221*MMVolatEF*NtoN2O*kgtoGg</f>
        <v>0.30854820865712157</v>
      </c>
      <c r="AP172" s="22">
        <f>Constants!$H55*'Activity data'!AP20*Constants!$H73*EF!$H221*MMVolatEF*NtoN2O*kgtoGg</f>
        <v>0.31284290735324372</v>
      </c>
      <c r="AQ172" s="22">
        <f>Constants!$H55*'Activity data'!AQ20*Constants!$H73*EF!$H221*MMVolatEF*NtoN2O*kgtoGg</f>
        <v>0.31733384547152405</v>
      </c>
      <c r="AR172" s="22">
        <f>Constants!$H55*'Activity data'!AR20*Constants!$H73*EF!$H221*MMVolatEF*NtoN2O*kgtoGg</f>
        <v>0.32272545229523264</v>
      </c>
      <c r="AS172" s="22">
        <f>Constants!$H55*'Activity data'!AS20*Constants!$H73*EF!$H221*MMVolatEF*NtoN2O*kgtoGg</f>
        <v>0.32801186148200084</v>
      </c>
      <c r="AT172" s="22">
        <f>Constants!$H55*'Activity data'!AT20*Constants!$H73*EF!$H221*MMVolatEF*NtoN2O*kgtoGg</f>
        <v>0.3335461956206458</v>
      </c>
      <c r="AU172" s="22">
        <f>Constants!$H55*'Activity data'!AU20*Constants!$H73*EF!$H221*MMVolatEF*NtoN2O*kgtoGg</f>
        <v>0.33924563992907092</v>
      </c>
      <c r="AV172" s="22">
        <f>Constants!$H55*'Activity data'!AV20*Constants!$H73*EF!$H221*MMVolatEF*NtoN2O*kgtoGg</f>
        <v>0.34512362641113969</v>
      </c>
      <c r="AW172" s="22">
        <f>Constants!$H55*'Activity data'!AW20*Constants!$H73*EF!$H221*MMVolatEF*NtoN2O*kgtoGg</f>
        <v>0.35230317556100077</v>
      </c>
      <c r="AX172" s="22">
        <f>Constants!$H55*'Activity data'!AX20*Constants!$H73*EF!$H221*MMVolatEF*NtoN2O*kgtoGg</f>
        <v>0.35902360817841622</v>
      </c>
      <c r="AY172" s="22">
        <f>Constants!$H55*'Activity data'!AY20*Constants!$H73*EF!$H221*MMVolatEF*NtoN2O*kgtoGg</f>
        <v>0.36647556656750041</v>
      </c>
      <c r="AZ172" s="22">
        <f>Constants!$H55*'Activity data'!AZ20*Constants!$H73*EF!$H221*MMVolatEF*NtoN2O*kgtoGg</f>
        <v>0.3743822696409787</v>
      </c>
      <c r="BA172" s="22">
        <f>Constants!$H55*'Activity data'!BA20*Constants!$H73*EF!$H221*MMVolatEF*NtoN2O*kgtoGg</f>
        <v>0.38274778932883391</v>
      </c>
      <c r="BB172" s="22">
        <f>Constants!$H55*'Activity data'!BB20*Constants!$H73*EF!$H221*MMVolatEF*NtoN2O*kgtoGg</f>
        <v>0.39122097573661141</v>
      </c>
      <c r="BC172" s="22">
        <f>Constants!$H55*'Activity data'!BC20*Constants!$H73*EF!$H221*MMVolatEF*NtoN2O*kgtoGg</f>
        <v>0.39994584296183255</v>
      </c>
      <c r="BD172" s="22">
        <f>Constants!$H55*'Activity data'!BD20*Constants!$H73*EF!$H221*MMVolatEF*NtoN2O*kgtoGg</f>
        <v>0.4086756972872001</v>
      </c>
      <c r="BE172" s="22">
        <f>Constants!$H55*'Activity data'!BE20*Constants!$H73*EF!$H221*MMVolatEF*NtoN2O*kgtoGg</f>
        <v>0.41764181272984841</v>
      </c>
      <c r="BF172" s="22">
        <f>Constants!$H55*'Activity data'!BF20*Constants!$H73*EF!$H221*MMVolatEF*NtoN2O*kgtoGg</f>
        <v>0.42703038498499396</v>
      </c>
      <c r="BG172" s="22">
        <f>Constants!$H55*'Activity data'!BG20*Constants!$H73*EF!$H221*MMVolatEF*NtoN2O*kgtoGg</f>
        <v>0.43662012655411309</v>
      </c>
      <c r="BH172" s="22">
        <f>Constants!$H55*'Activity data'!BH20*Constants!$H73*EF!$H221*MMVolatEF*NtoN2O*kgtoGg</f>
        <v>0.44648094746629741</v>
      </c>
      <c r="BI172" s="22">
        <f>Constants!$H55*'Activity data'!BI20*Constants!$H73*EF!$H221*MMVolatEF*NtoN2O*kgtoGg</f>
        <v>0.45657410299582507</v>
      </c>
      <c r="BJ172" s="22">
        <f>Constants!$H55*'Activity data'!BJ20*Constants!$H73*EF!$H221*MMVolatEF*NtoN2O*kgtoGg</f>
        <v>0.46694106058706075</v>
      </c>
      <c r="BK172" s="22">
        <f>Constants!$H55*'Activity data'!BK20*Constants!$H73*EF!$H221*MMVolatEF*NtoN2O*kgtoGg</f>
        <v>0.47777887528340574</v>
      </c>
      <c r="BL172" s="22">
        <f>Constants!$H55*'Activity data'!BL20*Constants!$H73*EF!$H221*MMVolatEF*NtoN2O*kgtoGg</f>
        <v>0.48896228082573251</v>
      </c>
      <c r="BM172" s="22">
        <f>Constants!$H55*'Activity data'!BM20*Constants!$H73*EF!$H221*MMVolatEF*NtoN2O*kgtoGg</f>
        <v>0.50047228964248547</v>
      </c>
      <c r="BN172" s="22">
        <f>Constants!$H55*'Activity data'!BN20*Constants!$H73*EF!$H221*MMVolatEF*NtoN2O*kgtoGg</f>
        <v>0.51190853986750273</v>
      </c>
      <c r="BO172" s="22">
        <f>Constants!$H55*'Activity data'!BO20*Constants!$H73*EF!$H221*MMVolatEF*NtoN2O*kgtoGg</f>
        <v>0.52368990877740129</v>
      </c>
      <c r="BP172" s="22">
        <f>Constants!$H55*'Activity data'!BP20*Constants!$H73*EF!$H221*MMVolatEF*NtoN2O*kgtoGg</f>
        <v>0.53583579871968356</v>
      </c>
    </row>
    <row r="173" spans="1:68" x14ac:dyDescent="0.25">
      <c r="A173" t="str">
        <f t="shared" si="58"/>
        <v>3C Aggregated and non-CO2 emissions on land</v>
      </c>
      <c r="B173" t="str">
        <f>B172</f>
        <v>3C6 Indirect N2O from manure management (N2O)</v>
      </c>
      <c r="C173" t="str">
        <f>'IPCC Categories'!C81</f>
        <v>Leaching/runoff</v>
      </c>
      <c r="D173" t="str">
        <f>D157</f>
        <v xml:space="preserve"> - TMR</v>
      </c>
      <c r="E173" t="str">
        <f t="shared" ref="E173:E188" si="64">C173&amp;D173</f>
        <v>Leaching/runoff - TMR</v>
      </c>
      <c r="F173" t="str">
        <f t="shared" si="47"/>
        <v>N2O</v>
      </c>
      <c r="G173" t="str">
        <f t="shared" si="48"/>
        <v>Gg N2O</v>
      </c>
      <c r="H173" s="22">
        <f>Constants!$H40*'Activity data'!H5*Constants!$H58*FracLEACHMM*MMLeachEF*NtoN2O*kgtoGg</f>
        <v>7.3742305268764158E-2</v>
      </c>
      <c r="I173" s="22">
        <f>Constants!$H40*'Activity data'!I5*Constants!$H58*FracLEACHMM*MMLeachEF*NtoN2O*kgtoGg</f>
        <v>8.4896547684682147E-2</v>
      </c>
      <c r="J173" s="22">
        <f>Constants!$H40*'Activity data'!J5*Constants!$H58*FracLEACHMM*MMLeachEF*NtoN2O*kgtoGg</f>
        <v>7.3446498482406364E-2</v>
      </c>
      <c r="K173" s="22">
        <f>Constants!$H40*'Activity data'!K5*Constants!$H58*FracLEACHMM*MMLeachEF*NtoN2O*kgtoGg</f>
        <v>7.7896894964800331E-2</v>
      </c>
      <c r="L173" s="22">
        <f>Constants!$H40*'Activity data'!L5*Constants!$H58*FracLEACHMM*MMLeachEF*NtoN2O*kgtoGg</f>
        <v>7.2263271336975257E-2</v>
      </c>
      <c r="M173" s="22">
        <f>Constants!$H40*'Activity data'!M5*Constants!$H58*FracLEACHMM*MMLeachEF*NtoN2O*kgtoGg</f>
        <v>7.7305281392084785E-2</v>
      </c>
      <c r="N173" s="22">
        <f>Constants!$H40*'Activity data'!N5*Constants!$H58*FracLEACHMM*MMLeachEF*NtoN2O*kgtoGg</f>
        <v>7.7601088178442565E-2</v>
      </c>
      <c r="O173" s="22">
        <f>Constants!$H40*'Activity data'!O5*Constants!$H58*FracLEACHMM*MMLeachEF*NtoN2O*kgtoGg</f>
        <v>7.4812527574463092E-2</v>
      </c>
      <c r="P173" s="22">
        <f>Constants!$H40*'Activity data'!P5*Constants!$H58*FracLEACHMM*MMLeachEF*NtoN2O*kgtoGg</f>
        <v>7.3925107215389751E-2</v>
      </c>
      <c r="Q173" s="22">
        <f>Constants!$H40*'Activity data'!Q5*Constants!$H58*FracLEACHMM*MMLeachEF*NtoN2O*kgtoGg</f>
        <v>7.2615580543199124E-2</v>
      </c>
      <c r="R173" s="22">
        <f>Constants!$H40*'Activity data'!R5*Constants!$H58*FracLEACHMM*MMLeachEF*NtoN2O*kgtoGg</f>
        <v>9.3501533863112316E-2</v>
      </c>
      <c r="S173" s="22">
        <f>Constants!$H40*'Activity data'!S5*Constants!$H58*FracLEACHMM*MMLeachEF*NtoN2O*kgtoGg</f>
        <v>9.3205727076754535E-2</v>
      </c>
      <c r="T173" s="22">
        <f>Constants!$H40*'Activity data'!T5*Constants!$H58*FracLEACHMM*MMLeachEF*NtoN2O*kgtoGg</f>
        <v>8.127706914149542E-2</v>
      </c>
      <c r="U173" s="22">
        <f>Constants!$H40*'Activity data'!U5*Constants!$H58*FracLEACHMM*MMLeachEF*NtoN2O*kgtoGg</f>
        <v>7.3925107215389751E-2</v>
      </c>
      <c r="V173" s="22">
        <f>Constants!$H40*'Activity data'!V5*Constants!$H58*FracLEACHMM*MMLeachEF*NtoN2O*kgtoGg</f>
        <v>7.1375850977901931E-2</v>
      </c>
      <c r="W173" s="22">
        <f>Constants!$H40*'Activity data'!W5*Constants!$H58*FracLEACHMM*MMLeachEF*NtoN2O*kgtoGg</f>
        <v>7.6417861033011458E-2</v>
      </c>
      <c r="X173" s="22">
        <f>Constants!$H40*'Activity data'!X5*Constants!$H58*FracLEACHMM*MMLeachEF*NtoN2O*kgtoGg</f>
        <v>7.4756025154596978E-2</v>
      </c>
      <c r="Y173" s="22">
        <f>Constants!$H40*'Activity data'!Y5*Constants!$H58*FracLEACHMM*MMLeachEF*NtoN2O*kgtoGg</f>
        <v>7.4220914001747532E-2</v>
      </c>
      <c r="Z173" s="22">
        <f>Constants!$H40*'Activity data'!Z5*Constants!$H58*FracLEACHMM*MMLeachEF*NtoN2O*kgtoGg</f>
        <v>9.0895775205758408E-2</v>
      </c>
      <c r="AA173" s="22">
        <f>Constants!$H40*'Activity data'!AA5*Constants!$H58*FracLEACHMM*MMLeachEF*NtoN2O*kgtoGg</f>
        <v>9.3149224656888435E-2</v>
      </c>
      <c r="AB173" s="22">
        <f>Constants!$H40*'Activity data'!AB5*Constants!$H58*FracLEACHMM*MMLeachEF*NtoN2O*kgtoGg</f>
        <v>9.3149224656888435E-2</v>
      </c>
      <c r="AC173" s="22">
        <f>Constants!$H40*'Activity data'!AC5*Constants!$H58*FracLEACHMM*MMLeachEF*NtoN2O*kgtoGg</f>
        <v>8.9769050480193388E-2</v>
      </c>
      <c r="AD173" s="22">
        <f>Constants!$H40*'Activity data'!AD5*Constants!$H58*FracLEACHMM*MMLeachEF*NtoN2O*kgtoGg</f>
        <v>8.9332685990141103E-2</v>
      </c>
      <c r="AE173" s="22">
        <f>Constants!$H40*'Activity data'!AE5*Constants!$H58*FracLEACHMM*MMLeachEF*NtoN2O*kgtoGg</f>
        <v>9.0178247343072213E-2</v>
      </c>
      <c r="AF173" s="22">
        <f>Constants!$H40*'Activity data'!AF5*Constants!$H58*FracLEACHMM*MMLeachEF*NtoN2O*kgtoGg</f>
        <v>9.0823640866470087E-2</v>
      </c>
      <c r="AG173" s="22">
        <f>Constants!$H40*'Activity data'!AG5*Constants!$H58*FracLEACHMM*MMLeachEF*NtoN2O*kgtoGg</f>
        <v>9.126006464828533E-2</v>
      </c>
      <c r="AH173" s="22">
        <f>Constants!$H40*'Activity data'!AH5*Constants!$H58*FracLEACHMM*MMLeachEF*NtoN2O*kgtoGg</f>
        <v>9.1526326867540975E-2</v>
      </c>
      <c r="AI173" s="22">
        <f>Constants!$H40*'Activity data'!AI5*Constants!$H58*FracLEACHMM*MMLeachEF*NtoN2O*kgtoGg</f>
        <v>9.1938126178581422E-2</v>
      </c>
      <c r="AJ173" s="22">
        <f>Constants!$H40*'Activity data'!AJ5*Constants!$H58*FracLEACHMM*MMLeachEF*NtoN2O*kgtoGg</f>
        <v>9.2290865386900303E-2</v>
      </c>
      <c r="AK173" s="22">
        <f>Constants!$H40*'Activity data'!AK5*Constants!$H58*FracLEACHMM*MMLeachEF*NtoN2O*kgtoGg</f>
        <v>9.2588243091903305E-2</v>
      </c>
      <c r="AL173" s="22">
        <f>Constants!$H40*'Activity data'!AL5*Constants!$H58*FracLEACHMM*MMLeachEF*NtoN2O*kgtoGg</f>
        <v>8.9670703332155266E-2</v>
      </c>
      <c r="AM173" s="22">
        <f>Constants!$H40*'Activity data'!AM5*Constants!$H58*FracLEACHMM*MMLeachEF*NtoN2O*kgtoGg</f>
        <v>9.0462373500934015E-2</v>
      </c>
      <c r="AN173" s="22">
        <f>Constants!$H40*'Activity data'!AN5*Constants!$H58*FracLEACHMM*MMLeachEF*NtoN2O*kgtoGg</f>
        <v>9.1214883581379996E-2</v>
      </c>
      <c r="AO173" s="22">
        <f>Constants!$H40*'Activity data'!AO5*Constants!$H58*FracLEACHMM*MMLeachEF*NtoN2O*kgtoGg</f>
        <v>9.196994567016184E-2</v>
      </c>
      <c r="AP173" s="22">
        <f>Constants!$H40*'Activity data'!AP5*Constants!$H58*FracLEACHMM*MMLeachEF*NtoN2O*kgtoGg</f>
        <v>9.2692205860168519E-2</v>
      </c>
      <c r="AQ173" s="22">
        <f>Constants!$H40*'Activity data'!AQ5*Constants!$H58*FracLEACHMM*MMLeachEF*NtoN2O*kgtoGg</f>
        <v>9.3442706449911914E-2</v>
      </c>
      <c r="AR173" s="22">
        <f>Constants!$H40*'Activity data'!AR5*Constants!$H58*FracLEACHMM*MMLeachEF*NtoN2O*kgtoGg</f>
        <v>9.4331511481674346E-2</v>
      </c>
      <c r="AS173" s="22">
        <f>Constants!$H40*'Activity data'!AS5*Constants!$H58*FracLEACHMM*MMLeachEF*NtoN2O*kgtoGg</f>
        <v>9.5205177745275413E-2</v>
      </c>
      <c r="AT173" s="22">
        <f>Constants!$H40*'Activity data'!AT5*Constants!$H58*FracLEACHMM*MMLeachEF*NtoN2O*kgtoGg</f>
        <v>9.6114522361328544E-2</v>
      </c>
      <c r="AU173" s="22">
        <f>Constants!$H40*'Activity data'!AU5*Constants!$H58*FracLEACHMM*MMLeachEF*NtoN2O*kgtoGg</f>
        <v>9.7047627630701322E-2</v>
      </c>
      <c r="AV173" s="22">
        <f>Constants!$H40*'Activity data'!AV5*Constants!$H58*FracLEACHMM*MMLeachEF*NtoN2O*kgtoGg</f>
        <v>9.8006426524497967E-2</v>
      </c>
      <c r="AW173" s="22">
        <f>Constants!$H40*'Activity data'!AW5*Constants!$H58*FracLEACHMM*MMLeachEF*NtoN2O*kgtoGg</f>
        <v>9.9148697211031672E-2</v>
      </c>
      <c r="AX173" s="22">
        <f>Constants!$H40*'Activity data'!AX5*Constants!$H58*FracLEACHMM*MMLeachEF*NtoN2O*kgtoGg</f>
        <v>0.10022489741206522</v>
      </c>
      <c r="AY173" s="22">
        <f>Constants!$H40*'Activity data'!AY5*Constants!$H58*FracLEACHMM*MMLeachEF*NtoN2O*kgtoGg</f>
        <v>0.10140636993276135</v>
      </c>
      <c r="AZ173" s="22">
        <f>Constants!$H40*'Activity data'!AZ5*Constants!$H58*FracLEACHMM*MMLeachEF*NtoN2O*kgtoGg</f>
        <v>0.10265328379175669</v>
      </c>
      <c r="BA173" s="22">
        <f>Constants!$H40*'Activity data'!BA5*Constants!$H58*FracLEACHMM*MMLeachEF*NtoN2O*kgtoGg</f>
        <v>0.10396622497375704</v>
      </c>
      <c r="BB173" s="22">
        <f>Constants!$H40*'Activity data'!BB5*Constants!$H58*FracLEACHMM*MMLeachEF*NtoN2O*kgtoGg</f>
        <v>0.1052989485749415</v>
      </c>
      <c r="BC173" s="22">
        <f>Constants!$H40*'Activity data'!BC5*Constants!$H58*FracLEACHMM*MMLeachEF*NtoN2O*kgtoGg</f>
        <v>0.10666789102720239</v>
      </c>
      <c r="BD173" s="22">
        <f>Constants!$H40*'Activity data'!BD5*Constants!$H58*FracLEACHMM*MMLeachEF*NtoN2O*kgtoGg</f>
        <v>0.10803755116051336</v>
      </c>
      <c r="BE173" s="22">
        <f>Constants!$H40*'Activity data'!BE5*Constants!$H58*FracLEACHMM*MMLeachEF*NtoN2O*kgtoGg</f>
        <v>0.10944121113057398</v>
      </c>
      <c r="BF173" s="22">
        <f>Constants!$H40*'Activity data'!BF5*Constants!$H58*FracLEACHMM*MMLeachEF*NtoN2O*kgtoGg</f>
        <v>0.11090566596189387</v>
      </c>
      <c r="BG173" s="22">
        <f>Constants!$H40*'Activity data'!BG5*Constants!$H58*FracLEACHMM*MMLeachEF*NtoN2O*kgtoGg</f>
        <v>0.11241511505499424</v>
      </c>
      <c r="BH173" s="22">
        <f>Constants!$H40*'Activity data'!BH5*Constants!$H58*FracLEACHMM*MMLeachEF*NtoN2O*kgtoGg</f>
        <v>0.11396357459780611</v>
      </c>
      <c r="BI173" s="22">
        <f>Constants!$H40*'Activity data'!BI5*Constants!$H58*FracLEACHMM*MMLeachEF*NtoN2O*kgtoGg</f>
        <v>0.115545468923114</v>
      </c>
      <c r="BJ173" s="22">
        <f>Constants!$H40*'Activity data'!BJ5*Constants!$H58*FracLEACHMM*MMLeachEF*NtoN2O*kgtoGg</f>
        <v>0.11716676552070525</v>
      </c>
      <c r="BK173" s="22">
        <f>Constants!$H40*'Activity data'!BK5*Constants!$H58*FracLEACHMM*MMLeachEF*NtoN2O*kgtoGg</f>
        <v>0.11885582216271112</v>
      </c>
      <c r="BL173" s="22">
        <f>Constants!$H40*'Activity data'!BL5*Constants!$H58*FracLEACHMM*MMLeachEF*NtoN2O*kgtoGg</f>
        <v>0.12059004463948368</v>
      </c>
      <c r="BM173" s="22">
        <f>Constants!$H40*'Activity data'!BM5*Constants!$H58*FracLEACHMM*MMLeachEF*NtoN2O*kgtoGg</f>
        <v>0.12237126789874624</v>
      </c>
      <c r="BN173" s="22">
        <f>Constants!$H40*'Activity data'!BN5*Constants!$H58*FracLEACHMM*MMLeachEF*NtoN2O*kgtoGg</f>
        <v>0.12414187671789106</v>
      </c>
      <c r="BO173" s="22">
        <f>Constants!$H40*'Activity data'!BO5*Constants!$H58*FracLEACHMM*MMLeachEF*NtoN2O*kgtoGg</f>
        <v>0.12596215083093565</v>
      </c>
      <c r="BP173" s="22">
        <f>Constants!$H40*'Activity data'!BP5*Constants!$H58*FracLEACHMM*MMLeachEF*NtoN2O*kgtoGg</f>
        <v>0.12783488239036117</v>
      </c>
    </row>
    <row r="174" spans="1:68" x14ac:dyDescent="0.25">
      <c r="A174" t="str">
        <f t="shared" si="58"/>
        <v>3C Aggregated and non-CO2 emissions on land</v>
      </c>
      <c r="B174" t="str">
        <f t="shared" ref="B174:B185" si="65">B173</f>
        <v>3C6 Indirect N2O from manure management (N2O)</v>
      </c>
      <c r="C174" t="str">
        <f>C173</f>
        <v>Leaching/runoff</v>
      </c>
      <c r="D174" t="str">
        <f t="shared" ref="D174:D187" si="66">D158</f>
        <v xml:space="preserve"> - Pasture</v>
      </c>
      <c r="E174" t="str">
        <f t="shared" si="64"/>
        <v>Leaching/runoff - Pasture</v>
      </c>
      <c r="F174" t="str">
        <f t="shared" si="47"/>
        <v>N2O</v>
      </c>
      <c r="G174" t="str">
        <f t="shared" si="48"/>
        <v>Gg N2O</v>
      </c>
      <c r="H174" s="22">
        <f>Constants!$H41*'Activity data'!H6*Constants!$H59*FracLEACHMM*MMLeachEF*NtoN2O*kgtoGg</f>
        <v>2.2025932152541016E-2</v>
      </c>
      <c r="I174" s="22">
        <f>Constants!$H41*'Activity data'!I6*Constants!$H59*FracLEACHMM*MMLeachEF*NtoN2O*kgtoGg</f>
        <v>2.5357569070733093E-2</v>
      </c>
      <c r="J174" s="22">
        <f>Constants!$H41*'Activity data'!J6*Constants!$H59*FracLEACHMM*MMLeachEF*NtoN2O*kgtoGg</f>
        <v>2.1937578253339852E-2</v>
      </c>
      <c r="K174" s="22">
        <f>Constants!$H41*'Activity data'!K6*Constants!$H59*FracLEACHMM*MMLeachEF*NtoN2O*kgtoGg</f>
        <v>2.3266857703119107E-2</v>
      </c>
      <c r="L174" s="22">
        <f>Constants!$H41*'Activity data'!L6*Constants!$H59*FracLEACHMM*MMLeachEF*NtoN2O*kgtoGg</f>
        <v>2.1584162656535212E-2</v>
      </c>
      <c r="M174" s="22">
        <f>Constants!$H41*'Activity data'!M6*Constants!$H59*FracLEACHMM*MMLeachEF*NtoN2O*kgtoGg</f>
        <v>2.3090149904716788E-2</v>
      </c>
      <c r="N174" s="22">
        <f>Constants!$H41*'Activity data'!N6*Constants!$H59*FracLEACHMM*MMLeachEF*NtoN2O*kgtoGg</f>
        <v>2.3178503803917949E-2</v>
      </c>
      <c r="O174" s="22">
        <f>Constants!$H41*'Activity data'!O6*Constants!$H59*FracLEACHMM*MMLeachEF*NtoN2O*kgtoGg</f>
        <v>2.234559457436993E-2</v>
      </c>
      <c r="P174" s="22">
        <f>Constants!$H41*'Activity data'!P6*Constants!$H59*FracLEACHMM*MMLeachEF*NtoN2O*kgtoGg</f>
        <v>2.2080532876766451E-2</v>
      </c>
      <c r="Q174" s="22">
        <f>Constants!$H41*'Activity data'!Q6*Constants!$H59*FracLEACHMM*MMLeachEF*NtoN2O*kgtoGg</f>
        <v>2.1689393143224225E-2</v>
      </c>
      <c r="R174" s="22">
        <f>Constants!$H41*'Activity data'!R6*Constants!$H59*FracLEACHMM*MMLeachEF*NtoN2O*kgtoGg</f>
        <v>2.7927774071090448E-2</v>
      </c>
      <c r="S174" s="22">
        <f>Constants!$H41*'Activity data'!S6*Constants!$H59*FracLEACHMM*MMLeachEF*NtoN2O*kgtoGg</f>
        <v>2.7839420171889291E-2</v>
      </c>
      <c r="T174" s="22">
        <f>Constants!$H41*'Activity data'!T6*Constants!$H59*FracLEACHMM*MMLeachEF*NtoN2O*kgtoGg</f>
        <v>2.4276474731069451E-2</v>
      </c>
      <c r="U174" s="22">
        <f>Constants!$H41*'Activity data'!U6*Constants!$H59*FracLEACHMM*MMLeachEF*NtoN2O*kgtoGg</f>
        <v>2.2080532876766451E-2</v>
      </c>
      <c r="V174" s="22">
        <f>Constants!$H41*'Activity data'!V6*Constants!$H59*FracLEACHMM*MMLeachEF*NtoN2O*kgtoGg</f>
        <v>2.1319100958931726E-2</v>
      </c>
      <c r="W174" s="22">
        <f>Constants!$H41*'Activity data'!W6*Constants!$H59*FracLEACHMM*MMLeachEF*NtoN2O*kgtoGg</f>
        <v>2.2825088207113309E-2</v>
      </c>
      <c r="X174" s="22">
        <f>Constants!$H41*'Activity data'!X6*Constants!$H59*FracLEACHMM*MMLeachEF*NtoN2O*kgtoGg</f>
        <v>2.2328717986882064E-2</v>
      </c>
      <c r="Y174" s="22">
        <f>Constants!$H41*'Activity data'!Y6*Constants!$H59*FracLEACHMM*MMLeachEF*NtoN2O*kgtoGg</f>
        <v>2.2168886775967608E-2</v>
      </c>
      <c r="Z174" s="22">
        <f>Constants!$H41*'Activity data'!Z6*Constants!$H59*FracLEACHMM*MMLeachEF*NtoN2O*kgtoGg</f>
        <v>2.7149465565767861E-2</v>
      </c>
      <c r="AA174" s="22">
        <f>Constants!$H41*'Activity data'!AA6*Constants!$H59*FracLEACHMM*MMLeachEF*NtoN2O*kgtoGg</f>
        <v>2.7822543584401425E-2</v>
      </c>
      <c r="AB174" s="22">
        <f>Constants!$H41*'Activity data'!AB6*Constants!$H59*FracLEACHMM*MMLeachEF*NtoN2O*kgtoGg</f>
        <v>2.7822543584401425E-2</v>
      </c>
      <c r="AC174" s="22">
        <f>Constants!$H41*'Activity data'!AC6*Constants!$H59*FracLEACHMM*MMLeachEF*NtoN2O*kgtoGg</f>
        <v>2.681292655645108E-2</v>
      </c>
      <c r="AD174" s="22">
        <f>Constants!$H41*'Activity data'!AD6*Constants!$H59*FracLEACHMM*MMLeachEF*NtoN2O*kgtoGg</f>
        <v>2.6637945175149176E-2</v>
      </c>
      <c r="AE174" s="22">
        <f>Constants!$H41*'Activity data'!AE6*Constants!$H59*FracLEACHMM*MMLeachEF*NtoN2O*kgtoGg</f>
        <v>2.6890081520451612E-2</v>
      </c>
      <c r="AF174" s="22">
        <f>Constants!$H41*'Activity data'!AF6*Constants!$H59*FracLEACHMM*MMLeachEF*NtoN2O*kgtoGg</f>
        <v>2.7082530198134554E-2</v>
      </c>
      <c r="AG174" s="22">
        <f>Constants!$H41*'Activity data'!AG6*Constants!$H59*FracLEACHMM*MMLeachEF*NtoN2O*kgtoGg</f>
        <v>2.7212666582642341E-2</v>
      </c>
      <c r="AH174" s="22">
        <f>Constants!$H41*'Activity data'!AH6*Constants!$H59*FracLEACHMM*MMLeachEF*NtoN2O*kgtoGg</f>
        <v>2.7292062811694804E-2</v>
      </c>
      <c r="AI174" s="22">
        <f>Constants!$H41*'Activity data'!AI6*Constants!$H59*FracLEACHMM*MMLeachEF*NtoN2O*kgtoGg</f>
        <v>2.7414856471698154E-2</v>
      </c>
      <c r="AJ174" s="22">
        <f>Constants!$H41*'Activity data'!AJ6*Constants!$H59*FracLEACHMM*MMLeachEF*NtoN2O*kgtoGg</f>
        <v>2.7520039111044309E-2</v>
      </c>
      <c r="AK174" s="22">
        <f>Constants!$H41*'Activity data'!AK6*Constants!$H59*FracLEACHMM*MMLeachEF*NtoN2O*kgtoGg</f>
        <v>2.7608713608115353E-2</v>
      </c>
      <c r="AL174" s="22">
        <f>Constants!$H41*'Activity data'!AL6*Constants!$H59*FracLEACHMM*MMLeachEF*NtoN2O*kgtoGg</f>
        <v>2.6738737928943861E-2</v>
      </c>
      <c r="AM174" s="22">
        <f>Constants!$H41*'Activity data'!AM6*Constants!$H59*FracLEACHMM*MMLeachEF*NtoN2O*kgtoGg</f>
        <v>2.6974804563669883E-2</v>
      </c>
      <c r="AN174" s="22">
        <f>Constants!$H41*'Activity data'!AN6*Constants!$H59*FracLEACHMM*MMLeachEF*NtoN2O*kgtoGg</f>
        <v>2.7199194125502594E-2</v>
      </c>
      <c r="AO174" s="22">
        <f>Constants!$H41*'Activity data'!AO6*Constants!$H59*FracLEACHMM*MMLeachEF*NtoN2O*kgtoGg</f>
        <v>2.74243446658885E-2</v>
      </c>
      <c r="AP174" s="22">
        <f>Constants!$H41*'Activity data'!AP6*Constants!$H59*FracLEACHMM*MMLeachEF*NtoN2O*kgtoGg</f>
        <v>2.7639714069935241E-2</v>
      </c>
      <c r="AQ174" s="22">
        <f>Constants!$H41*'Activity data'!AQ6*Constants!$H59*FracLEACHMM*MMLeachEF*NtoN2O*kgtoGg</f>
        <v>2.7863504425524765E-2</v>
      </c>
      <c r="AR174" s="22">
        <f>Constants!$H41*'Activity data'!AR6*Constants!$H59*FracLEACHMM*MMLeachEF*NtoN2O*kgtoGg</f>
        <v>2.8128535521870595E-2</v>
      </c>
      <c r="AS174" s="22">
        <f>Constants!$H41*'Activity data'!AS6*Constants!$H59*FracLEACHMM*MMLeachEF*NtoN2O*kgtoGg</f>
        <v>2.8389052417486512E-2</v>
      </c>
      <c r="AT174" s="22">
        <f>Constants!$H41*'Activity data'!AT6*Constants!$H59*FracLEACHMM*MMLeachEF*NtoN2O*kgtoGg</f>
        <v>2.86602081737392E-2</v>
      </c>
      <c r="AU174" s="22">
        <f>Constants!$H41*'Activity data'!AU6*Constants!$H59*FracLEACHMM*MMLeachEF*NtoN2O*kgtoGg</f>
        <v>2.8938449074398319E-2</v>
      </c>
      <c r="AV174" s="22">
        <f>Constants!$H41*'Activity data'!AV6*Constants!$H59*FracLEACHMM*MMLeachEF*NtoN2O*kgtoGg</f>
        <v>2.9224351508472295E-2</v>
      </c>
      <c r="AW174" s="22">
        <f>Constants!$H41*'Activity data'!AW6*Constants!$H59*FracLEACHMM*MMLeachEF*NtoN2O*kgtoGg</f>
        <v>2.9564963050438268E-2</v>
      </c>
      <c r="AX174" s="22">
        <f>Constants!$H41*'Activity data'!AX6*Constants!$H59*FracLEACHMM*MMLeachEF*NtoN2O*kgtoGg</f>
        <v>2.9885873158926237E-2</v>
      </c>
      <c r="AY174" s="22">
        <f>Constants!$H41*'Activity data'!AY6*Constants!$H59*FracLEACHMM*MMLeachEF*NtoN2O*kgtoGg</f>
        <v>3.0238174221895755E-2</v>
      </c>
      <c r="AZ174" s="22">
        <f>Constants!$H41*'Activity data'!AZ6*Constants!$H59*FracLEACHMM*MMLeachEF*NtoN2O*kgtoGg</f>
        <v>3.0609989114125869E-2</v>
      </c>
      <c r="BA174" s="22">
        <f>Constants!$H41*'Activity data'!BA6*Constants!$H59*FracLEACHMM*MMLeachEF*NtoN2O*kgtoGg</f>
        <v>3.1001492569290995E-2</v>
      </c>
      <c r="BB174" s="22">
        <f>Constants!$H41*'Activity data'!BB6*Constants!$H59*FracLEACHMM*MMLeachEF*NtoN2O*kgtoGg</f>
        <v>3.1398894906727669E-2</v>
      </c>
      <c r="BC174" s="22">
        <f>Constants!$H41*'Activity data'!BC6*Constants!$H59*FracLEACHMM*MMLeachEF*NtoN2O*kgtoGg</f>
        <v>3.1807097275066677E-2</v>
      </c>
      <c r="BD174" s="22">
        <f>Constants!$H41*'Activity data'!BD6*Constants!$H59*FracLEACHMM*MMLeachEF*NtoN2O*kgtoGg</f>
        <v>3.2215513647364621E-2</v>
      </c>
      <c r="BE174" s="22">
        <f>Constants!$H41*'Activity data'!BE6*Constants!$H59*FracLEACHMM*MMLeachEF*NtoN2O*kgtoGg</f>
        <v>3.2634068366867316E-2</v>
      </c>
      <c r="BF174" s="22">
        <f>Constants!$H41*'Activity data'!BF6*Constants!$H59*FracLEACHMM*MMLeachEF*NtoN2O*kgtoGg</f>
        <v>3.3070751391404231E-2</v>
      </c>
      <c r="BG174" s="22">
        <f>Constants!$H41*'Activity data'!BG6*Constants!$H59*FracLEACHMM*MMLeachEF*NtoN2O*kgtoGg</f>
        <v>3.3520851170012973E-2</v>
      </c>
      <c r="BH174" s="22">
        <f>Constants!$H41*'Activity data'!BH6*Constants!$H59*FracLEACHMM*MMLeachEF*NtoN2O*kgtoGg</f>
        <v>3.3982583401056733E-2</v>
      </c>
      <c r="BI174" s="22">
        <f>Constants!$H41*'Activity data'!BI6*Constants!$H59*FracLEACHMM*MMLeachEF*NtoN2O*kgtoGg</f>
        <v>3.4454285486842907E-2</v>
      </c>
      <c r="BJ174" s="22">
        <f>Constants!$H41*'Activity data'!BJ6*Constants!$H59*FracLEACHMM*MMLeachEF*NtoN2O*kgtoGg</f>
        <v>3.4937736861897918E-2</v>
      </c>
      <c r="BK174" s="22">
        <f>Constants!$H41*'Activity data'!BK6*Constants!$H59*FracLEACHMM*MMLeachEF*NtoN2O*kgtoGg</f>
        <v>3.5441393476817566E-2</v>
      </c>
      <c r="BL174" s="22">
        <f>Constants!$H41*'Activity data'!BL6*Constants!$H59*FracLEACHMM*MMLeachEF*NtoN2O*kgtoGg</f>
        <v>3.5958518006834236E-2</v>
      </c>
      <c r="BM174" s="22">
        <f>Constants!$H41*'Activity data'!BM6*Constants!$H59*FracLEACHMM*MMLeachEF*NtoN2O*kgtoGg</f>
        <v>3.6489657611549271E-2</v>
      </c>
      <c r="BN174" s="22">
        <f>Constants!$H41*'Activity data'!BN6*Constants!$H59*FracLEACHMM*MMLeachEF*NtoN2O*kgtoGg</f>
        <v>3.7017632116381934E-2</v>
      </c>
      <c r="BO174" s="22">
        <f>Constants!$H41*'Activity data'!BO6*Constants!$H59*FracLEACHMM*MMLeachEF*NtoN2O*kgtoGg</f>
        <v>3.7560416221545587E-2</v>
      </c>
      <c r="BP174" s="22">
        <f>Constants!$H41*'Activity data'!BP6*Constants!$H59*FracLEACHMM*MMLeachEF*NtoN2O*kgtoGg</f>
        <v>3.8118842513723293E-2</v>
      </c>
    </row>
    <row r="175" spans="1:68" x14ac:dyDescent="0.25">
      <c r="A175" t="str">
        <f t="shared" si="58"/>
        <v>3C Aggregated and non-CO2 emissions on land</v>
      </c>
      <c r="B175" t="str">
        <f t="shared" si="65"/>
        <v>3C6 Indirect N2O from manure management (N2O)</v>
      </c>
      <c r="C175" t="str">
        <f t="shared" ref="C175:C188" si="67">C174</f>
        <v>Leaching/runoff</v>
      </c>
      <c r="D175" t="str">
        <f t="shared" si="66"/>
        <v xml:space="preserve"> - Non-lactating</v>
      </c>
      <c r="E175" t="str">
        <f t="shared" si="64"/>
        <v>Leaching/runoff - Non-lactating</v>
      </c>
      <c r="F175" t="str">
        <f t="shared" si="47"/>
        <v>N2O</v>
      </c>
      <c r="G175" t="str">
        <f t="shared" si="48"/>
        <v>Gg N2O</v>
      </c>
      <c r="H175" s="22">
        <f>Constants!$H42*'Activity data'!H7*Constants!$H60*FracLEACHMM*MMLeachEF*NtoN2O*kgtoGg</f>
        <v>1.3979514898089494E-3</v>
      </c>
      <c r="I175" s="22">
        <f>Constants!$H42*'Activity data'!I7*Constants!$H60*FracLEACHMM*MMLeachEF*NtoN2O*kgtoGg</f>
        <v>1.5889950208478596E-3</v>
      </c>
      <c r="J175" s="22">
        <f>Constants!$H42*'Activity data'!J7*Constants!$H60*FracLEACHMM*MMLeachEF*NtoN2O*kgtoGg</f>
        <v>1.3744848308576839E-3</v>
      </c>
      <c r="K175" s="22">
        <f>Constants!$H42*'Activity data'!K7*Constants!$H60*FracLEACHMM*MMLeachEF*NtoN2O*kgtoGg</f>
        <v>1.4384418628230538E-3</v>
      </c>
      <c r="L175" s="22">
        <f>Constants!$H42*'Activity data'!L7*Constants!$H60*FracLEACHMM*MMLeachEF*NtoN2O*kgtoGg</f>
        <v>1.280618195052625E-3</v>
      </c>
      <c r="M175" s="22">
        <f>Constants!$H42*'Activity data'!M7*Constants!$H60*FracLEACHMM*MMLeachEF*NtoN2O*kgtoGg</f>
        <v>1.3915085449205237E-3</v>
      </c>
      <c r="N175" s="22">
        <f>Constants!$H42*'Activity data'!N7*Constants!$H60*FracLEACHMM*MMLeachEF*NtoN2O*kgtoGg</f>
        <v>1.4149752038717883E-3</v>
      </c>
      <c r="O175" s="22">
        <f>Constants!$H42*'Activity data'!O7*Constants!$H60*FracLEACHMM*MMLeachEF*NtoN2O*kgtoGg</f>
        <v>1.367214321112061E-3</v>
      </c>
      <c r="P175" s="22">
        <f>Constants!$H42*'Activity data'!P7*Constants!$H60*FracLEACHMM*MMLeachEF*NtoN2O*kgtoGg</f>
        <v>1.2968143442582665E-3</v>
      </c>
      <c r="Q175" s="22">
        <f>Constants!$H42*'Activity data'!Q7*Constants!$H60*FracLEACHMM*MMLeachEF*NtoN2O*kgtoGg</f>
        <v>1.3663867562548632E-3</v>
      </c>
      <c r="R175" s="22">
        <f>Constants!$H42*'Activity data'!R7*Constants!$H60*FracLEACHMM*MMLeachEF*NtoN2O*kgtoGg</f>
        <v>1.6934424258273329E-3</v>
      </c>
      <c r="S175" s="22">
        <f>Constants!$H42*'Activity data'!S7*Constants!$H60*FracLEACHMM*MMLeachEF*NtoN2O*kgtoGg</f>
        <v>1.669975766876068E-3</v>
      </c>
      <c r="T175" s="22">
        <f>Constants!$H42*'Activity data'!T7*Constants!$H60*FracLEACHMM*MMLeachEF*NtoN2O*kgtoGg</f>
        <v>1.5331360634853108E-3</v>
      </c>
      <c r="U175" s="22">
        <f>Constants!$H42*'Activity data'!U7*Constants!$H60*FracLEACHMM*MMLeachEF*NtoN2O*kgtoGg</f>
        <v>1.2968143442582665E-3</v>
      </c>
      <c r="V175" s="22">
        <f>Constants!$H42*'Activity data'!V7*Constants!$H60*FracLEACHMM*MMLeachEF*NtoN2O*kgtoGg</f>
        <v>1.21021821819883E-3</v>
      </c>
      <c r="W175" s="22">
        <f>Constants!$H42*'Activity data'!W7*Constants!$H60*FracLEACHMM*MMLeachEF*NtoN2O*kgtoGg</f>
        <v>1.3211085680667292E-3</v>
      </c>
      <c r="X175" s="22">
        <f>Constants!$H42*'Activity data'!X7*Constants!$H60*FracLEACHMM*MMLeachEF*NtoN2O*kgtoGg</f>
        <v>1.3049124188610874E-3</v>
      </c>
      <c r="Y175" s="22">
        <f>Constants!$H42*'Activity data'!Y7*Constants!$H60*FracLEACHMM*MMLeachEF*NtoN2O*kgtoGg</f>
        <v>1.3202810032095314E-3</v>
      </c>
      <c r="Z175" s="22">
        <f>Constants!$H42*'Activity data'!Z7*Constants!$H60*FracLEACHMM*MMLeachEF*NtoN2O*kgtoGg</f>
        <v>1.5445443975169234E-3</v>
      </c>
      <c r="AA175" s="22">
        <f>Constants!$H42*'Activity data'!AA7*Constants!$H60*FracLEACHMM*MMLeachEF*NtoN2O*kgtoGg</f>
        <v>1.6076738646250944E-3</v>
      </c>
      <c r="AB175" s="22">
        <f>Constants!$H42*'Activity data'!AB7*Constants!$H60*FracLEACHMM*MMLeachEF*NtoN2O*kgtoGg</f>
        <v>1.6076738646250944E-3</v>
      </c>
      <c r="AC175" s="22">
        <f>Constants!$H42*'Activity data'!AC7*Constants!$H60*FracLEACHMM*MMLeachEF*NtoN2O*kgtoGg</f>
        <v>1.5129796639628376E-3</v>
      </c>
      <c r="AD175" s="22">
        <f>Constants!$H42*'Activity data'!AD7*Constants!$H60*FracLEACHMM*MMLeachEF*NtoN2O*kgtoGg</f>
        <v>1.5393963420931118E-3</v>
      </c>
      <c r="AE175" s="22">
        <f>Constants!$H42*'Activity data'!AE7*Constants!$H60*FracLEACHMM*MMLeachEF*NtoN2O*kgtoGg</f>
        <v>1.5527600734759489E-3</v>
      </c>
      <c r="AF175" s="22">
        <f>Constants!$H42*'Activity data'!AF7*Constants!$H60*FracLEACHMM*MMLeachEF*NtoN2O*kgtoGg</f>
        <v>1.5629602389080775E-3</v>
      </c>
      <c r="AG175" s="22">
        <f>Constants!$H42*'Activity data'!AG7*Constants!$H60*FracLEACHMM*MMLeachEF*NtoN2O*kgtoGg</f>
        <v>1.5698577279773726E-3</v>
      </c>
      <c r="AH175" s="22">
        <f>Constants!$H42*'Activity data'!AH7*Constants!$H60*FracLEACHMM*MMLeachEF*NtoN2O*kgtoGg</f>
        <v>1.5740658871643983E-3</v>
      </c>
      <c r="AI175" s="22">
        <f>Constants!$H42*'Activity data'!AI7*Constants!$H60*FracLEACHMM*MMLeachEF*NtoN2O*kgtoGg</f>
        <v>1.5805741971259466E-3</v>
      </c>
      <c r="AJ175" s="22">
        <f>Constants!$H42*'Activity data'!AJ7*Constants!$H60*FracLEACHMM*MMLeachEF*NtoN2O*kgtoGg</f>
        <v>1.5861490877141075E-3</v>
      </c>
      <c r="AK175" s="22">
        <f>Constants!$H42*'Activity data'!AK7*Constants!$H60*FracLEACHMM*MMLeachEF*NtoN2O*kgtoGg</f>
        <v>1.5908490136924279E-3</v>
      </c>
      <c r="AL175" s="22">
        <f>Constants!$H42*'Activity data'!AL7*Constants!$H60*FracLEACHMM*MMLeachEF*NtoN2O*kgtoGg</f>
        <v>1.5447385599531866E-3</v>
      </c>
      <c r="AM175" s="22">
        <f>Constants!$H42*'Activity data'!AM7*Constants!$H60*FracLEACHMM*MMLeachEF*NtoN2O*kgtoGg</f>
        <v>1.5572505644844846E-3</v>
      </c>
      <c r="AN175" s="22">
        <f>Constants!$H42*'Activity data'!AN7*Constants!$H60*FracLEACHMM*MMLeachEF*NtoN2O*kgtoGg</f>
        <v>1.5691436607608185E-3</v>
      </c>
      <c r="AO175" s="22">
        <f>Constants!$H42*'Activity data'!AO7*Constants!$H60*FracLEACHMM*MMLeachEF*NtoN2O*kgtoGg</f>
        <v>1.5810770904248715E-3</v>
      </c>
      <c r="AP175" s="22">
        <f>Constants!$H42*'Activity data'!AP7*Constants!$H60*FracLEACHMM*MMLeachEF*NtoN2O*kgtoGg</f>
        <v>1.5924921002692873E-3</v>
      </c>
      <c r="AQ175" s="22">
        <f>Constants!$H42*'Activity data'!AQ7*Constants!$H60*FracLEACHMM*MMLeachEF*NtoN2O*kgtoGg</f>
        <v>1.6043534374143983E-3</v>
      </c>
      <c r="AR175" s="22">
        <f>Constants!$H42*'Activity data'!AR7*Constants!$H60*FracLEACHMM*MMLeachEF*NtoN2O*kgtoGg</f>
        <v>1.6184006164334172E-3</v>
      </c>
      <c r="AS175" s="22">
        <f>Constants!$H42*'Activity data'!AS7*Constants!$H60*FracLEACHMM*MMLeachEF*NtoN2O*kgtoGg</f>
        <v>1.632208533770863E-3</v>
      </c>
      <c r="AT175" s="22">
        <f>Constants!$H42*'Activity data'!AT7*Constants!$H60*FracLEACHMM*MMLeachEF*NtoN2O*kgtoGg</f>
        <v>1.6465803320339202E-3</v>
      </c>
      <c r="AU175" s="22">
        <f>Constants!$H42*'Activity data'!AU7*Constants!$H60*FracLEACHMM*MMLeachEF*NtoN2O*kgtoGg</f>
        <v>1.6613276571435433E-3</v>
      </c>
      <c r="AV175" s="22">
        <f>Constants!$H42*'Activity data'!AV7*Constants!$H60*FracLEACHMM*MMLeachEF*NtoN2O*kgtoGg</f>
        <v>1.6764810588718075E-3</v>
      </c>
      <c r="AW175" s="22">
        <f>Constants!$H42*'Activity data'!AW7*Constants!$H60*FracLEACHMM*MMLeachEF*NtoN2O*kgtoGg</f>
        <v>1.6945341529121271E-3</v>
      </c>
      <c r="AX175" s="22">
        <f>Constants!$H42*'Activity data'!AX7*Constants!$H60*FracLEACHMM*MMLeachEF*NtoN2O*kgtoGg</f>
        <v>1.711543031512022E-3</v>
      </c>
      <c r="AY175" s="22">
        <f>Constants!$H42*'Activity data'!AY7*Constants!$H60*FracLEACHMM*MMLeachEF*NtoN2O*kgtoGg</f>
        <v>1.7302156935820833E-3</v>
      </c>
      <c r="AZ175" s="22">
        <f>Constants!$H42*'Activity data'!AZ7*Constants!$H60*FracLEACHMM*MMLeachEF*NtoN2O*kgtoGg</f>
        <v>1.7499226276932363E-3</v>
      </c>
      <c r="BA175" s="22">
        <f>Constants!$H42*'Activity data'!BA7*Constants!$H60*FracLEACHMM*MMLeachEF*NtoN2O*kgtoGg</f>
        <v>1.770673095080252E-3</v>
      </c>
      <c r="BB175" s="22">
        <f>Constants!$H42*'Activity data'!BB7*Constants!$H60*FracLEACHMM*MMLeachEF*NtoN2O*kgtoGg</f>
        <v>1.7917362150443538E-3</v>
      </c>
      <c r="BC175" s="22">
        <f>Constants!$H42*'Activity data'!BC7*Constants!$H60*FracLEACHMM*MMLeachEF*NtoN2O*kgtoGg</f>
        <v>1.813371758280999E-3</v>
      </c>
      <c r="BD175" s="22">
        <f>Constants!$H42*'Activity data'!BD7*Constants!$H60*FracLEACHMM*MMLeachEF*NtoN2O*kgtoGg</f>
        <v>1.8350186441561632E-3</v>
      </c>
      <c r="BE175" s="22">
        <f>Constants!$H42*'Activity data'!BE7*Constants!$H60*FracLEACHMM*MMLeachEF*NtoN2O*kgtoGg</f>
        <v>1.8572028827424075E-3</v>
      </c>
      <c r="BF175" s="22">
        <f>Constants!$H42*'Activity data'!BF7*Constants!$H60*FracLEACHMM*MMLeachEF*NtoN2O*kgtoGg</f>
        <v>1.8803479578102498E-3</v>
      </c>
      <c r="BG175" s="22">
        <f>Constants!$H42*'Activity data'!BG7*Constants!$H60*FracLEACHMM*MMLeachEF*NtoN2O*kgtoGg</f>
        <v>1.904204147720462E-3</v>
      </c>
      <c r="BH175" s="22">
        <f>Constants!$H42*'Activity data'!BH7*Constants!$H60*FracLEACHMM*MMLeachEF*NtoN2O*kgtoGg</f>
        <v>1.9286768809119647E-3</v>
      </c>
      <c r="BI175" s="22">
        <f>Constants!$H42*'Activity data'!BI7*Constants!$H60*FracLEACHMM*MMLeachEF*NtoN2O*kgtoGg</f>
        <v>1.9536780363765189E-3</v>
      </c>
      <c r="BJ175" s="22">
        <f>Constants!$H42*'Activity data'!BJ7*Constants!$H60*FracLEACHMM*MMLeachEF*NtoN2O*kgtoGg</f>
        <v>1.9793019277086032E-3</v>
      </c>
      <c r="BK175" s="22">
        <f>Constants!$H42*'Activity data'!BK7*Constants!$H60*FracLEACHMM*MMLeachEF*NtoN2O*kgtoGg</f>
        <v>2.0059967372288334E-3</v>
      </c>
      <c r="BL175" s="22">
        <f>Constants!$H42*'Activity data'!BL7*Constants!$H60*FracLEACHMM*MMLeachEF*NtoN2O*kgtoGg</f>
        <v>2.0334053732282541E-3</v>
      </c>
      <c r="BM175" s="22">
        <f>Constants!$H42*'Activity data'!BM7*Constants!$H60*FracLEACHMM*MMLeachEF*NtoN2O*kgtoGg</f>
        <v>2.0615568362618132E-3</v>
      </c>
      <c r="BN175" s="22">
        <f>Constants!$H42*'Activity data'!BN7*Constants!$H60*FracLEACHMM*MMLeachEF*NtoN2O*kgtoGg</f>
        <v>2.0895405426612501E-3</v>
      </c>
      <c r="BO175" s="22">
        <f>Constants!$H42*'Activity data'!BO7*Constants!$H60*FracLEACHMM*MMLeachEF*NtoN2O*kgtoGg</f>
        <v>2.1183091875449545E-3</v>
      </c>
      <c r="BP175" s="22">
        <f>Constants!$H42*'Activity data'!BP7*Constants!$H60*FracLEACHMM*MMLeachEF*NtoN2O*kgtoGg</f>
        <v>2.1479068996749741E-3</v>
      </c>
    </row>
    <row r="176" spans="1:68" x14ac:dyDescent="0.25">
      <c r="A176" t="str">
        <f t="shared" si="58"/>
        <v>3C Aggregated and non-CO2 emissions on land</v>
      </c>
      <c r="B176" t="str">
        <f t="shared" si="65"/>
        <v>3C6 Indirect N2O from manure management (N2O)</v>
      </c>
      <c r="C176" t="str">
        <f t="shared" si="67"/>
        <v>Leaching/runoff</v>
      </c>
      <c r="D176" t="str">
        <f t="shared" si="66"/>
        <v xml:space="preserve"> - Commercial cattle</v>
      </c>
      <c r="E176" t="str">
        <f t="shared" si="64"/>
        <v>Leaching/runoff - Commercial cattle</v>
      </c>
      <c r="F176" t="str">
        <f t="shared" si="47"/>
        <v>N2O</v>
      </c>
      <c r="G176" t="str">
        <f t="shared" si="48"/>
        <v>Gg N2O</v>
      </c>
      <c r="H176" s="22">
        <f>Constants!$H43*'Activity data'!H8*Constants!$H61*FracLEACHMM*MMLeachEF*NtoN2O*kgtoGg</f>
        <v>3.4690652670041754E-2</v>
      </c>
      <c r="I176" s="22">
        <f>Constants!$H43*'Activity data'!I8*Constants!$H61*FracLEACHMM*MMLeachEF*NtoN2O*kgtoGg</f>
        <v>3.3193333041221122E-2</v>
      </c>
      <c r="J176" s="22">
        <f>Constants!$H43*'Activity data'!J8*Constants!$H61*FracLEACHMM*MMLeachEF*NtoN2O*kgtoGg</f>
        <v>3.3181272656772016E-2</v>
      </c>
      <c r="K176" s="22">
        <f>Constants!$H43*'Activity data'!K8*Constants!$H61*FracLEACHMM*MMLeachEF*NtoN2O*kgtoGg</f>
        <v>3.104225915494201E-2</v>
      </c>
      <c r="L176" s="22">
        <f>Constants!$H43*'Activity data'!L8*Constants!$H61*FracLEACHMM*MMLeachEF*NtoN2O*kgtoGg</f>
        <v>3.1978083922954904E-2</v>
      </c>
      <c r="M176" s="22">
        <f>Constants!$H43*'Activity data'!M8*Constants!$H61*FracLEACHMM*MMLeachEF*NtoN2O*kgtoGg</f>
        <v>3.2705167353371874E-2</v>
      </c>
      <c r="N176" s="22">
        <f>Constants!$H43*'Activity data'!N8*Constants!$H61*FracLEACHMM*MMLeachEF*NtoN2O*kgtoGg</f>
        <v>3.4061884272349123E-2</v>
      </c>
      <c r="O176" s="22">
        <f>Constants!$H43*'Activity data'!O8*Constants!$H61*FracLEACHMM*MMLeachEF*NtoN2O*kgtoGg</f>
        <v>3.5352192745309145E-2</v>
      </c>
      <c r="P176" s="22">
        <f>Constants!$H43*'Activity data'!P8*Constants!$H61*FracLEACHMM*MMLeachEF*NtoN2O*kgtoGg</f>
        <v>3.565838402476177E-2</v>
      </c>
      <c r="Q176" s="22">
        <f>Constants!$H43*'Activity data'!Q8*Constants!$H61*FracLEACHMM*MMLeachEF*NtoN2O*kgtoGg</f>
        <v>3.5081368416034292E-2</v>
      </c>
      <c r="R176" s="22">
        <f>Constants!$H43*'Activity data'!R8*Constants!$H61*FracLEACHMM*MMLeachEF*NtoN2O*kgtoGg</f>
        <v>3.2698246626430616E-2</v>
      </c>
      <c r="S176" s="22">
        <f>Constants!$H43*'Activity data'!S8*Constants!$H61*FracLEACHMM*MMLeachEF*NtoN2O*kgtoGg</f>
        <v>3.2868160650378141E-2</v>
      </c>
      <c r="T176" s="22">
        <f>Constants!$H43*'Activity data'!T8*Constants!$H61*FracLEACHMM*MMLeachEF*NtoN2O*kgtoGg</f>
        <v>3.0633427388426761E-2</v>
      </c>
      <c r="U176" s="22">
        <f>Constants!$H43*'Activity data'!U8*Constants!$H61*FracLEACHMM*MMLeachEF*NtoN2O*kgtoGg</f>
        <v>3.1434705082669871E-2</v>
      </c>
      <c r="V176" s="22">
        <f>Constants!$H43*'Activity data'!V8*Constants!$H61*FracLEACHMM*MMLeachEF*NtoN2O*kgtoGg</f>
        <v>3.1724510523335088E-2</v>
      </c>
      <c r="W176" s="22">
        <f>Constants!$H43*'Activity data'!W8*Constants!$H61*FracLEACHMM*MMLeachEF*NtoN2O*kgtoGg</f>
        <v>3.1993604670874635E-2</v>
      </c>
      <c r="X176" s="22">
        <f>Constants!$H43*'Activity data'!X8*Constants!$H61*FracLEACHMM*MMLeachEF*NtoN2O*kgtoGg</f>
        <v>3.1264791058722347E-2</v>
      </c>
      <c r="Y176" s="22">
        <f>Constants!$H43*'Activity data'!Y8*Constants!$H61*FracLEACHMM*MMLeachEF*NtoN2O*kgtoGg</f>
        <v>3.2180769624477204E-2</v>
      </c>
      <c r="Z176" s="22">
        <f>Constants!$H43*'Activity data'!Z8*Constants!$H61*FracLEACHMM*MMLeachEF*NtoN2O*kgtoGg</f>
        <v>3.1286531555542049E-2</v>
      </c>
      <c r="AA176" s="22">
        <f>Constants!$H43*'Activity data'!AA8*Constants!$H61*FracLEACHMM*MMLeachEF*NtoN2O*kgtoGg</f>
        <v>3.0761209366798613E-2</v>
      </c>
      <c r="AB176" s="22">
        <f>Constants!$H43*'Activity data'!AB8*Constants!$H61*FracLEACHMM*MMLeachEF*NtoN2O*kgtoGg</f>
        <v>3.0664507898168103E-2</v>
      </c>
      <c r="AC176" s="22">
        <f>Constants!$H43*'Activity data'!AC8*Constants!$H61*FracLEACHMM*MMLeachEF*NtoN2O*kgtoGg</f>
        <v>3.0554397945153043E-2</v>
      </c>
      <c r="AD176" s="22">
        <f>Constants!$H43*'Activity data'!AD8*Constants!$H61*FracLEACHMM*MMLeachEF*NtoN2O*kgtoGg</f>
        <v>3.0323610750187417E-2</v>
      </c>
      <c r="AE176" s="22">
        <f>Constants!$H43*'Activity data'!AE8*Constants!$H61*FracLEACHMM*MMLeachEF*NtoN2O*kgtoGg</f>
        <v>3.0153197450010487E-2</v>
      </c>
      <c r="AF176" s="22">
        <f>Constants!$H43*'Activity data'!AF8*Constants!$H61*FracLEACHMM*MMLeachEF*NtoN2O*kgtoGg</f>
        <v>3.0032739296541922E-2</v>
      </c>
      <c r="AG176" s="22">
        <f>Constants!$H43*'Activity data'!AG8*Constants!$H61*FracLEACHMM*MMLeachEF*NtoN2O*kgtoGg</f>
        <v>2.9960183797125679E-2</v>
      </c>
      <c r="AH176" s="22">
        <f>Constants!$H43*'Activity data'!AH8*Constants!$H61*FracLEACHMM*MMLeachEF*NtoN2O*kgtoGg</f>
        <v>2.9926663248516727E-2</v>
      </c>
      <c r="AI176" s="22">
        <f>Constants!$H43*'Activity data'!AI8*Constants!$H61*FracLEACHMM*MMLeachEF*NtoN2O*kgtoGg</f>
        <v>2.9862870099515517E-2</v>
      </c>
      <c r="AJ176" s="22">
        <f>Constants!$H43*'Activity data'!AJ8*Constants!$H61*FracLEACHMM*MMLeachEF*NtoN2O*kgtoGg</f>
        <v>2.9812189185941088E-2</v>
      </c>
      <c r="AK176" s="22">
        <f>Constants!$H43*'Activity data'!AK8*Constants!$H61*FracLEACHMM*MMLeachEF*NtoN2O*kgtoGg</f>
        <v>2.9773416310661785E-2</v>
      </c>
      <c r="AL176" s="22">
        <f>Constants!$H43*'Activity data'!AL8*Constants!$H61*FracLEACHMM*MMLeachEF*NtoN2O*kgtoGg</f>
        <v>3.0442257698957077E-2</v>
      </c>
      <c r="AM176" s="22">
        <f>Constants!$H43*'Activity data'!AM8*Constants!$H61*FracLEACHMM*MMLeachEF*NtoN2O*kgtoGg</f>
        <v>3.0282406554256444E-2</v>
      </c>
      <c r="AN176" s="22">
        <f>Constants!$H43*'Activity data'!AN8*Constants!$H61*FracLEACHMM*MMLeachEF*NtoN2O*kgtoGg</f>
        <v>3.0136967098826222E-2</v>
      </c>
      <c r="AO176" s="22">
        <f>Constants!$H43*'Activity data'!AO8*Constants!$H61*FracLEACHMM*MMLeachEF*NtoN2O*kgtoGg</f>
        <v>2.9995710203381928E-2</v>
      </c>
      <c r="AP176" s="22">
        <f>Constants!$H43*'Activity data'!AP8*Constants!$H61*FracLEACHMM*MMLeachEF*NtoN2O*kgtoGg</f>
        <v>2.9865777928538426E-2</v>
      </c>
      <c r="AQ176" s="22">
        <f>Constants!$H43*'Activity data'!AQ8*Constants!$H61*FracLEACHMM*MMLeachEF*NtoN2O*kgtoGg</f>
        <v>2.9733902332829451E-2</v>
      </c>
      <c r="AR176" s="22">
        <f>Constants!$H43*'Activity data'!AR8*Constants!$H61*FracLEACHMM*MMLeachEF*NtoN2O*kgtoGg</f>
        <v>2.9580573495957923E-2</v>
      </c>
      <c r="AS176" s="22">
        <f>Constants!$H43*'Activity data'!AS8*Constants!$H61*FracLEACHMM*MMLeachEF*NtoN2O*kgtoGg</f>
        <v>2.9435361284780609E-2</v>
      </c>
      <c r="AT176" s="22">
        <f>Constants!$H43*'Activity data'!AT8*Constants!$H61*FracLEACHMM*MMLeachEF*NtoN2O*kgtoGg</f>
        <v>2.9288332022398934E-2</v>
      </c>
      <c r="AU176" s="22">
        <f>Constants!$H43*'Activity data'!AU8*Constants!$H61*FracLEACHMM*MMLeachEF*NtoN2O*kgtoGg</f>
        <v>2.9141931548655176E-2</v>
      </c>
      <c r="AV176" s="22">
        <f>Constants!$H43*'Activity data'!AV8*Constants!$H61*FracLEACHMM*MMLeachEF*NtoN2O*kgtoGg</f>
        <v>2.8995927988485069E-2</v>
      </c>
      <c r="AW176" s="22">
        <f>Constants!$H43*'Activity data'!AW8*Constants!$H61*FracLEACHMM*MMLeachEF*NtoN2O*kgtoGg</f>
        <v>2.9265734653715125E-2</v>
      </c>
      <c r="AX176" s="22">
        <f>Constants!$H43*'Activity data'!AX8*Constants!$H61*FracLEACHMM*MMLeachEF*NtoN2O*kgtoGg</f>
        <v>2.9393441130506733E-2</v>
      </c>
      <c r="AY176" s="22">
        <f>Constants!$H43*'Activity data'!AY8*Constants!$H61*FracLEACHMM*MMLeachEF*NtoN2O*kgtoGg</f>
        <v>2.9564681005107493E-2</v>
      </c>
      <c r="AZ176" s="22">
        <f>Constants!$H43*'Activity data'!AZ8*Constants!$H61*FracLEACHMM*MMLeachEF*NtoN2O*kgtoGg</f>
        <v>2.9728366117704009E-2</v>
      </c>
      <c r="BA176" s="22">
        <f>Constants!$H43*'Activity data'!BA8*Constants!$H61*FracLEACHMM*MMLeachEF*NtoN2O*kgtoGg</f>
        <v>2.987829153968782E-2</v>
      </c>
      <c r="BB176" s="22">
        <f>Constants!$H43*'Activity data'!BB8*Constants!$H61*FracLEACHMM*MMLeachEF*NtoN2O*kgtoGg</f>
        <v>2.9959885642987596E-2</v>
      </c>
      <c r="BC176" s="22">
        <f>Constants!$H43*'Activity data'!BC8*Constants!$H61*FracLEACHMM*MMLeachEF*NtoN2O*kgtoGg</f>
        <v>2.9990563198909238E-2</v>
      </c>
      <c r="BD176" s="22">
        <f>Constants!$H43*'Activity data'!BD8*Constants!$H61*FracLEACHMM*MMLeachEF*NtoN2O*kgtoGg</f>
        <v>2.9935655775750698E-2</v>
      </c>
      <c r="BE176" s="22">
        <f>Constants!$H43*'Activity data'!BE8*Constants!$H61*FracLEACHMM*MMLeachEF*NtoN2O*kgtoGg</f>
        <v>2.9822926054198992E-2</v>
      </c>
      <c r="BF176" s="22">
        <f>Constants!$H43*'Activity data'!BF8*Constants!$H61*FracLEACHMM*MMLeachEF*NtoN2O*kgtoGg</f>
        <v>2.9670340010576585E-2</v>
      </c>
      <c r="BG176" s="22">
        <f>Constants!$H43*'Activity data'!BG8*Constants!$H61*FracLEACHMM*MMLeachEF*NtoN2O*kgtoGg</f>
        <v>2.9777547662849745E-2</v>
      </c>
      <c r="BH176" s="22">
        <f>Constants!$H43*'Activity data'!BH8*Constants!$H61*FracLEACHMM*MMLeachEF*NtoN2O*kgtoGg</f>
        <v>2.9842965181844788E-2</v>
      </c>
      <c r="BI176" s="22">
        <f>Constants!$H43*'Activity data'!BI8*Constants!$H61*FracLEACHMM*MMLeachEF*NtoN2O*kgtoGg</f>
        <v>2.9859525116006112E-2</v>
      </c>
      <c r="BJ176" s="22">
        <f>Constants!$H43*'Activity data'!BJ8*Constants!$H61*FracLEACHMM*MMLeachEF*NtoN2O*kgtoGg</f>
        <v>2.9828798357268753E-2</v>
      </c>
      <c r="BK176" s="22">
        <f>Constants!$H43*'Activity data'!BK8*Constants!$H61*FracLEACHMM*MMLeachEF*NtoN2O*kgtoGg</f>
        <v>2.9766794303203944E-2</v>
      </c>
      <c r="BL176" s="22">
        <f>Constants!$H43*'Activity data'!BL8*Constants!$H61*FracLEACHMM*MMLeachEF*NtoN2O*kgtoGg</f>
        <v>2.9656769046535462E-2</v>
      </c>
      <c r="BM176" s="22">
        <f>Constants!$H43*'Activity data'!BM8*Constants!$H61*FracLEACHMM*MMLeachEF*NtoN2O*kgtoGg</f>
        <v>2.9492976942301803E-2</v>
      </c>
      <c r="BN176" s="22">
        <f>Constants!$H43*'Activity data'!BN8*Constants!$H61*FracLEACHMM*MMLeachEF*NtoN2O*kgtoGg</f>
        <v>2.9237498789032042E-2</v>
      </c>
      <c r="BO176" s="22">
        <f>Constants!$H43*'Activity data'!BO8*Constants!$H61*FracLEACHMM*MMLeachEF*NtoN2O*kgtoGg</f>
        <v>2.892545261395256E-2</v>
      </c>
      <c r="BP176" s="22">
        <f>Constants!$H43*'Activity data'!BP8*Constants!$H61*FracLEACHMM*MMLeachEF*NtoN2O*kgtoGg</f>
        <v>2.8554497782957423E-2</v>
      </c>
    </row>
    <row r="177" spans="1:68" x14ac:dyDescent="0.25">
      <c r="A177" t="str">
        <f t="shared" si="58"/>
        <v>3C Aggregated and non-CO2 emissions on land</v>
      </c>
      <c r="B177" t="str">
        <f t="shared" si="65"/>
        <v>3C6 Indirect N2O from manure management (N2O)</v>
      </c>
      <c r="C177" t="str">
        <f t="shared" si="67"/>
        <v>Leaching/runoff</v>
      </c>
      <c r="D177" t="str">
        <f t="shared" si="66"/>
        <v xml:space="preserve"> - Subsistence cattle</v>
      </c>
      <c r="E177" t="str">
        <f t="shared" si="64"/>
        <v>Leaching/runoff - Subsistence cattle</v>
      </c>
      <c r="F177" t="str">
        <f t="shared" si="47"/>
        <v>N2O</v>
      </c>
      <c r="G177" t="str">
        <f t="shared" si="48"/>
        <v>Gg N2O</v>
      </c>
      <c r="H177" s="22">
        <f>Constants!$H44*'Activity data'!H9*Constants!$H62*FracLEACHMM*MMLeachEF*NtoN2O*kgtoGg</f>
        <v>4.3343828228009279E-2</v>
      </c>
      <c r="I177" s="22">
        <f>Constants!$H44*'Activity data'!I9*Constants!$H62*FracLEACHMM*MMLeachEF*NtoN2O*kgtoGg</f>
        <v>4.669554780978856E-2</v>
      </c>
      <c r="J177" s="22">
        <f>Constants!$H44*'Activity data'!J9*Constants!$H62*FracLEACHMM*MMLeachEF*NtoN2O*kgtoGg</f>
        <v>4.7152600480031191E-2</v>
      </c>
      <c r="K177" s="22">
        <f>Constants!$H44*'Activity data'!K9*Constants!$H62*FracLEACHMM*MMLeachEF*NtoN2O*kgtoGg</f>
        <v>4.7152600480031184E-2</v>
      </c>
      <c r="L177" s="22">
        <f>Constants!$H44*'Activity data'!L9*Constants!$H62*FracLEACHMM*MMLeachEF*NtoN2O*kgtoGg</f>
        <v>4.1439442101998333E-2</v>
      </c>
      <c r="M177" s="22">
        <f>Constants!$H44*'Activity data'!M9*Constants!$H62*FracLEACHMM*MMLeachEF*NtoN2O*kgtoGg</f>
        <v>4.0906213986715255E-2</v>
      </c>
      <c r="N177" s="22">
        <f>Constants!$H44*'Activity data'!N9*Constants!$H62*FracLEACHMM*MMLeachEF*NtoN2O*kgtoGg</f>
        <v>4.1896494772240972E-2</v>
      </c>
      <c r="O177" s="22">
        <f>Constants!$H44*'Activity data'!O9*Constants!$H62*FracLEACHMM*MMLeachEF*NtoN2O*kgtoGg</f>
        <v>4.3115301892887967E-2</v>
      </c>
      <c r="P177" s="22">
        <f>Constants!$H44*'Activity data'!P9*Constants!$H62*FracLEACHMM*MMLeachEF*NtoN2O*kgtoGg</f>
        <v>4.5019688018898933E-2</v>
      </c>
      <c r="Q177" s="22">
        <f>Constants!$H44*'Activity data'!Q9*Constants!$H62*FracLEACHMM*MMLeachEF*NtoN2O*kgtoGg</f>
        <v>4.6619372364748113E-2</v>
      </c>
      <c r="R177" s="22">
        <f>Constants!$H44*'Activity data'!R9*Constants!$H62*FracLEACHMM*MMLeachEF*NtoN2O*kgtoGg</f>
        <v>4.7914354930435575E-2</v>
      </c>
      <c r="S177" s="22">
        <f>Constants!$H44*'Activity data'!S9*Constants!$H62*FracLEACHMM*MMLeachEF*NtoN2O*kgtoGg</f>
        <v>4.6924074144909886E-2</v>
      </c>
      <c r="T177" s="22">
        <f>Constants!$H44*'Activity data'!T9*Constants!$H62*FracLEACHMM*MMLeachEF*NtoN2O*kgtoGg</f>
        <v>5.0656670951891337E-2</v>
      </c>
      <c r="U177" s="22">
        <f>Constants!$H44*'Activity data'!U9*Constants!$H62*FracLEACHMM*MMLeachEF*NtoN2O*kgtoGg</f>
        <v>5.0580495506850912E-2</v>
      </c>
      <c r="V177" s="22">
        <f>Constants!$H44*'Activity data'!V9*Constants!$H62*FracLEACHMM*MMLeachEF*NtoN2O*kgtoGg</f>
        <v>4.9514039276284783E-2</v>
      </c>
      <c r="W177" s="22">
        <f>Constants!$H44*'Activity data'!W9*Constants!$H62*FracLEACHMM*MMLeachEF*NtoN2O*kgtoGg</f>
        <v>4.8904635715961257E-2</v>
      </c>
      <c r="X177" s="22">
        <f>Constants!$H44*'Activity data'!X9*Constants!$H62*FracLEACHMM*MMLeachEF*NtoN2O*kgtoGg</f>
        <v>5.0047267391567847E-2</v>
      </c>
      <c r="Y177" s="22">
        <f>Constants!$H44*'Activity data'!Y9*Constants!$H62*FracLEACHMM*MMLeachEF*NtoN2O*kgtoGg</f>
        <v>5.1723127182457473E-2</v>
      </c>
      <c r="Z177" s="22">
        <f>Constants!$H44*'Activity data'!Z9*Constants!$H62*FracLEACHMM*MMLeachEF*NtoN2O*kgtoGg</f>
        <v>5.2713407967983177E-2</v>
      </c>
      <c r="AA177" s="22">
        <f>Constants!$H44*'Activity data'!AA9*Constants!$H62*FracLEACHMM*MMLeachEF*NtoN2O*kgtoGg</f>
        <v>5.2561057077902311E-2</v>
      </c>
      <c r="AB177" s="22">
        <f>Constants!$H44*'Activity data'!AB9*Constants!$H62*FracLEACHMM*MMLeachEF*NtoN2O*kgtoGg</f>
        <v>5.19516535175788E-2</v>
      </c>
      <c r="AC177" s="22">
        <f>Constants!$H44*'Activity data'!AC9*Constants!$H62*FracLEACHMM*MMLeachEF*NtoN2O*kgtoGg</f>
        <v>5.1799302627497927E-2</v>
      </c>
      <c r="AD177" s="22">
        <f>Constants!$H44*'Activity data'!AD9*Constants!$H62*FracLEACHMM*MMLeachEF*NtoN2O*kgtoGg</f>
        <v>5.1397764795312363E-2</v>
      </c>
      <c r="AE177" s="22">
        <f>Constants!$H44*'Activity data'!AE9*Constants!$H62*FracLEACHMM*MMLeachEF*NtoN2O*kgtoGg</f>
        <v>5.1532564050489012E-2</v>
      </c>
      <c r="AF177" s="22">
        <f>Constants!$H44*'Activity data'!AF9*Constants!$H62*FracLEACHMM*MMLeachEF*NtoN2O*kgtoGg</f>
        <v>5.1668587497583546E-2</v>
      </c>
      <c r="AG177" s="22">
        <f>Constants!$H44*'Activity data'!AG9*Constants!$H62*FracLEACHMM*MMLeachEF*NtoN2O*kgtoGg</f>
        <v>5.1805846254207352E-2</v>
      </c>
      <c r="AH177" s="22">
        <f>Constants!$H44*'Activity data'!AH9*Constants!$H62*FracLEACHMM*MMLeachEF*NtoN2O*kgtoGg</f>
        <v>5.195544221096482E-2</v>
      </c>
      <c r="AI177" s="22">
        <f>Constants!$H44*'Activity data'!AI9*Constants!$H62*FracLEACHMM*MMLeachEF*NtoN2O*kgtoGg</f>
        <v>5.2105038167722287E-2</v>
      </c>
      <c r="AJ177" s="22">
        <f>Constants!$H44*'Activity data'!AJ9*Constants!$H62*FracLEACHMM*MMLeachEF*NtoN2O*kgtoGg</f>
        <v>5.2254634124479747E-2</v>
      </c>
      <c r="AK177" s="22">
        <f>Constants!$H44*'Activity data'!AK9*Constants!$H62*FracLEACHMM*MMLeachEF*NtoN2O*kgtoGg</f>
        <v>5.2404230081237214E-2</v>
      </c>
      <c r="AL177" s="22">
        <f>Constants!$H44*'Activity data'!AL9*Constants!$H62*FracLEACHMM*MMLeachEF*NtoN2O*kgtoGg</f>
        <v>5.2553826037994689E-2</v>
      </c>
      <c r="AM177" s="22">
        <f>Constants!$H44*'Activity data'!AM9*Constants!$H62*FracLEACHMM*MMLeachEF*NtoN2O*kgtoGg</f>
        <v>5.2705457681782586E-2</v>
      </c>
      <c r="AN177" s="22">
        <f>Constants!$H44*'Activity data'!AN9*Constants!$H62*FracLEACHMM*MMLeachEF*NtoN2O*kgtoGg</f>
        <v>5.2857089322771625E-2</v>
      </c>
      <c r="AO177" s="22">
        <f>Constants!$H44*'Activity data'!AO9*Constants!$H62*FracLEACHMM*MMLeachEF*NtoN2O*kgtoGg</f>
        <v>5.3008720963760643E-2</v>
      </c>
      <c r="AP177" s="22">
        <f>Constants!$H44*'Activity data'!AP9*Constants!$H62*FracLEACHMM*MMLeachEF*NtoN2O*kgtoGg</f>
        <v>5.3160352604749682E-2</v>
      </c>
      <c r="AQ177" s="22">
        <f>Constants!$H44*'Activity data'!AQ9*Constants!$H62*FracLEACHMM*MMLeachEF*NtoN2O*kgtoGg</f>
        <v>5.3311984248537565E-2</v>
      </c>
      <c r="AR177" s="22">
        <f>Constants!$H44*'Activity data'!AR9*Constants!$H62*FracLEACHMM*MMLeachEF*NtoN2O*kgtoGg</f>
        <v>5.347626086570529E-2</v>
      </c>
      <c r="AS177" s="22">
        <f>Constants!$H44*'Activity data'!AS9*Constants!$H62*FracLEACHMM*MMLeachEF*NtoN2O*kgtoGg</f>
        <v>5.364053748287298E-2</v>
      </c>
      <c r="AT177" s="22">
        <f>Constants!$H44*'Activity data'!AT9*Constants!$H62*FracLEACHMM*MMLeachEF*NtoN2O*kgtoGg</f>
        <v>5.3804814100040704E-2</v>
      </c>
      <c r="AU177" s="22">
        <f>Constants!$H44*'Activity data'!AU9*Constants!$H62*FracLEACHMM*MMLeachEF*NtoN2O*kgtoGg</f>
        <v>5.3969090717208401E-2</v>
      </c>
      <c r="AV177" s="22">
        <f>Constants!$H44*'Activity data'!AV9*Constants!$H62*FracLEACHMM*MMLeachEF*NtoN2O*kgtoGg</f>
        <v>5.4133367334376112E-2</v>
      </c>
      <c r="AW177" s="22">
        <f>Constants!$H44*'Activity data'!AW9*Constants!$H62*FracLEACHMM*MMLeachEF*NtoN2O*kgtoGg</f>
        <v>5.4292066738036722E-2</v>
      </c>
      <c r="AX177" s="22">
        <f>Constants!$H44*'Activity data'!AX9*Constants!$H62*FracLEACHMM*MMLeachEF*NtoN2O*kgtoGg</f>
        <v>5.4450766138898481E-2</v>
      </c>
      <c r="AY177" s="22">
        <f>Constants!$H44*'Activity data'!AY9*Constants!$H62*FracLEACHMM*MMLeachEF*NtoN2O*kgtoGg</f>
        <v>5.4609465542559105E-2</v>
      </c>
      <c r="AZ177" s="22">
        <f>Constants!$H44*'Activity data'!AZ9*Constants!$H62*FracLEACHMM*MMLeachEF*NtoN2O*kgtoGg</f>
        <v>5.476816494342085E-2</v>
      </c>
      <c r="BA177" s="22">
        <f>Constants!$H44*'Activity data'!BA9*Constants!$H62*FracLEACHMM*MMLeachEF*NtoN2O*kgtoGg</f>
        <v>5.4926864344282601E-2</v>
      </c>
      <c r="BB177" s="22">
        <f>Constants!$H44*'Activity data'!BB9*Constants!$H62*FracLEACHMM*MMLeachEF*NtoN2O*kgtoGg</f>
        <v>5.5091802963753531E-2</v>
      </c>
      <c r="BC177" s="22">
        <f>Constants!$H44*'Activity data'!BC9*Constants!$H62*FracLEACHMM*MMLeachEF*NtoN2O*kgtoGg</f>
        <v>5.5256741583224453E-2</v>
      </c>
      <c r="BD177" s="22">
        <f>Constants!$H44*'Activity data'!BD9*Constants!$H62*FracLEACHMM*MMLeachEF*NtoN2O*kgtoGg</f>
        <v>5.542168019989651E-2</v>
      </c>
      <c r="BE177" s="22">
        <f>Constants!$H44*'Activity data'!BE9*Constants!$H62*FracLEACHMM*MMLeachEF*NtoN2O*kgtoGg</f>
        <v>5.5586618819367446E-2</v>
      </c>
      <c r="BF177" s="22">
        <f>Constants!$H44*'Activity data'!BF9*Constants!$H62*FracLEACHMM*MMLeachEF*NtoN2O*kgtoGg</f>
        <v>5.5751557438838382E-2</v>
      </c>
      <c r="BG177" s="22">
        <f>Constants!$H44*'Activity data'!BG9*Constants!$H62*FracLEACHMM*MMLeachEF*NtoN2O*kgtoGg</f>
        <v>5.5939839549133105E-2</v>
      </c>
      <c r="BH177" s="22">
        <f>Constants!$H44*'Activity data'!BH9*Constants!$H62*FracLEACHMM*MMLeachEF*NtoN2O*kgtoGg</f>
        <v>5.6128121656628949E-2</v>
      </c>
      <c r="BI177" s="22">
        <f>Constants!$H44*'Activity data'!BI9*Constants!$H62*FracLEACHMM*MMLeachEF*NtoN2O*kgtoGg</f>
        <v>5.6316403766923678E-2</v>
      </c>
      <c r="BJ177" s="22">
        <f>Constants!$H44*'Activity data'!BJ9*Constants!$H62*FracLEACHMM*MMLeachEF*NtoN2O*kgtoGg</f>
        <v>5.6504685877218401E-2</v>
      </c>
      <c r="BK177" s="22">
        <f>Constants!$H44*'Activity data'!BK9*Constants!$H62*FracLEACHMM*MMLeachEF*NtoN2O*kgtoGg</f>
        <v>5.6692967987513131E-2</v>
      </c>
      <c r="BL177" s="22">
        <f>Constants!$H44*'Activity data'!BL9*Constants!$H62*FracLEACHMM*MMLeachEF*NtoN2O*kgtoGg</f>
        <v>5.6874604840073097E-2</v>
      </c>
      <c r="BM177" s="22">
        <f>Constants!$H44*'Activity data'!BM9*Constants!$H62*FracLEACHMM*MMLeachEF*NtoN2O*kgtoGg</f>
        <v>5.7056241692633097E-2</v>
      </c>
      <c r="BN177" s="22">
        <f>Constants!$H44*'Activity data'!BN9*Constants!$H62*FracLEACHMM*MMLeachEF*NtoN2O*kgtoGg</f>
        <v>5.7237878547991942E-2</v>
      </c>
      <c r="BO177" s="22">
        <f>Constants!$H44*'Activity data'!BO9*Constants!$H62*FracLEACHMM*MMLeachEF*NtoN2O*kgtoGg</f>
        <v>5.7419515400551922E-2</v>
      </c>
      <c r="BP177" s="22">
        <f>Constants!$H44*'Activity data'!BP9*Constants!$H62*FracLEACHMM*MMLeachEF*NtoN2O*kgtoGg</f>
        <v>5.7601152253111888E-2</v>
      </c>
    </row>
    <row r="178" spans="1:68" x14ac:dyDescent="0.25">
      <c r="A178" t="str">
        <f t="shared" si="58"/>
        <v>3C Aggregated and non-CO2 emissions on land</v>
      </c>
      <c r="B178" t="str">
        <f t="shared" si="65"/>
        <v>3C6 Indirect N2O from manure management (N2O)</v>
      </c>
      <c r="C178" t="str">
        <f t="shared" si="67"/>
        <v>Leaching/runoff</v>
      </c>
      <c r="D178" t="str">
        <f t="shared" si="66"/>
        <v xml:space="preserve"> - Feedlot</v>
      </c>
      <c r="E178" t="str">
        <f t="shared" si="64"/>
        <v>Leaching/runoff - Feedlot</v>
      </c>
      <c r="F178" t="str">
        <f t="shared" si="47"/>
        <v>N2O</v>
      </c>
      <c r="G178" t="str">
        <f t="shared" si="48"/>
        <v>Gg N2O</v>
      </c>
      <c r="H178" s="22">
        <f>Constants!$H45*'Activity data'!H10*Constants!$H63*FracLEACHMM*MMLeachEF*NtoN2O*kgtoGg</f>
        <v>3.2554021499999995E-2</v>
      </c>
      <c r="I178" s="22">
        <f>Constants!$H45*'Activity data'!I10*Constants!$H63*FracLEACHMM*MMLeachEF*NtoN2O*kgtoGg</f>
        <v>3.2554021499999995E-2</v>
      </c>
      <c r="J178" s="22">
        <f>Constants!$H45*'Activity data'!J10*Constants!$H63*FracLEACHMM*MMLeachEF*NtoN2O*kgtoGg</f>
        <v>3.2554021499999995E-2</v>
      </c>
      <c r="K178" s="22">
        <f>Constants!$H45*'Activity data'!K10*Constants!$H63*FracLEACHMM*MMLeachEF*NtoN2O*kgtoGg</f>
        <v>3.2554021499999995E-2</v>
      </c>
      <c r="L178" s="22">
        <f>Constants!$H45*'Activity data'!L10*Constants!$H63*FracLEACHMM*MMLeachEF*NtoN2O*kgtoGg</f>
        <v>3.2554021499999995E-2</v>
      </c>
      <c r="M178" s="22">
        <f>Constants!$H45*'Activity data'!M10*Constants!$H63*FracLEACHMM*MMLeachEF*NtoN2O*kgtoGg</f>
        <v>3.2554021499999995E-2</v>
      </c>
      <c r="N178" s="22">
        <f>Constants!$H45*'Activity data'!N10*Constants!$H63*FracLEACHMM*MMLeachEF*NtoN2O*kgtoGg</f>
        <v>3.2554021499999995E-2</v>
      </c>
      <c r="O178" s="22">
        <f>Constants!$H45*'Activity data'!O10*Constants!$H63*FracLEACHMM*MMLeachEF*NtoN2O*kgtoGg</f>
        <v>3.2554021499999995E-2</v>
      </c>
      <c r="P178" s="22">
        <f>Constants!$H45*'Activity data'!P10*Constants!$H63*FracLEACHMM*MMLeachEF*NtoN2O*kgtoGg</f>
        <v>3.2554021499999995E-2</v>
      </c>
      <c r="Q178" s="22">
        <f>Constants!$H45*'Activity data'!Q10*Constants!$H63*FracLEACHMM*MMLeachEF*NtoN2O*kgtoGg</f>
        <v>3.2554021499999995E-2</v>
      </c>
      <c r="R178" s="22">
        <f>Constants!$H45*'Activity data'!R10*Constants!$H63*FracLEACHMM*MMLeachEF*NtoN2O*kgtoGg</f>
        <v>3.2554021499999995E-2</v>
      </c>
      <c r="S178" s="22">
        <f>Constants!$H45*'Activity data'!S10*Constants!$H63*FracLEACHMM*MMLeachEF*NtoN2O*kgtoGg</f>
        <v>3.2554021499999995E-2</v>
      </c>
      <c r="T178" s="22">
        <f>Constants!$H45*'Activity data'!T10*Constants!$H63*FracLEACHMM*MMLeachEF*NtoN2O*kgtoGg</f>
        <v>3.2554021499999995E-2</v>
      </c>
      <c r="U178" s="22">
        <f>Constants!$H45*'Activity data'!U10*Constants!$H63*FracLEACHMM*MMLeachEF*NtoN2O*kgtoGg</f>
        <v>3.2554021499999995E-2</v>
      </c>
      <c r="V178" s="22">
        <f>Constants!$H45*'Activity data'!V10*Constants!$H63*FracLEACHMM*MMLeachEF*NtoN2O*kgtoGg</f>
        <v>3.2554021499999995E-2</v>
      </c>
      <c r="W178" s="22">
        <f>Constants!$H45*'Activity data'!W10*Constants!$H63*FracLEACHMM*MMLeachEF*NtoN2O*kgtoGg</f>
        <v>3.2554021499999995E-2</v>
      </c>
      <c r="X178" s="22">
        <f>Constants!$H45*'Activity data'!X10*Constants!$H63*FracLEACHMM*MMLeachEF*NtoN2O*kgtoGg</f>
        <v>3.2554021499999995E-2</v>
      </c>
      <c r="Y178" s="22">
        <f>Constants!$H45*'Activity data'!Y10*Constants!$H63*FracLEACHMM*MMLeachEF*NtoN2O*kgtoGg</f>
        <v>3.2554021499999995E-2</v>
      </c>
      <c r="Z178" s="22">
        <f>Constants!$H45*'Activity data'!Z10*Constants!$H63*FracLEACHMM*MMLeachEF*NtoN2O*kgtoGg</f>
        <v>3.0317695864706243E-2</v>
      </c>
      <c r="AA178" s="22">
        <f>Constants!$H45*'Activity data'!AA10*Constants!$H63*FracLEACHMM*MMLeachEF*NtoN2O*kgtoGg</f>
        <v>3.1067342637581243E-2</v>
      </c>
      <c r="AB178" s="22">
        <f>Constants!$H45*'Activity data'!AB10*Constants!$H63*FracLEACHMM*MMLeachEF*NtoN2O*kgtoGg</f>
        <v>3.0990059132174997E-2</v>
      </c>
      <c r="AC178" s="22">
        <f>Constants!$H45*'Activity data'!AC10*Constants!$H63*FracLEACHMM*MMLeachEF*NtoN2O*kgtoGg</f>
        <v>3.5793934653262499E-2</v>
      </c>
      <c r="AD178" s="22">
        <f>Constants!$H45*'Activity data'!AD10*Constants!$H63*FracLEACHMM*MMLeachEF*NtoN2O*kgtoGg</f>
        <v>3.6867752692860377E-2</v>
      </c>
      <c r="AE178" s="22">
        <f>Constants!$H45*'Activity data'!AE10*Constants!$H63*FracLEACHMM*MMLeachEF*NtoN2O*kgtoGg</f>
        <v>3.7973785273646185E-2</v>
      </c>
      <c r="AF178" s="22">
        <f>Constants!$H45*'Activity data'!AF10*Constants!$H63*FracLEACHMM*MMLeachEF*NtoN2O*kgtoGg</f>
        <v>3.9112998831855574E-2</v>
      </c>
      <c r="AG178" s="22">
        <f>Constants!$H45*'Activity data'!AG10*Constants!$H63*FracLEACHMM*MMLeachEF*NtoN2O*kgtoGg</f>
        <v>4.0286388796811234E-2</v>
      </c>
      <c r="AH178" s="22">
        <f>Constants!$H45*'Activity data'!AH10*Constants!$H63*FracLEACHMM*MMLeachEF*NtoN2O*kgtoGg</f>
        <v>4.1494980460715571E-2</v>
      </c>
      <c r="AI178" s="22">
        <f>Constants!$H45*'Activity data'!AI10*Constants!$H63*FracLEACHMM*MMLeachEF*NtoN2O*kgtoGg</f>
        <v>4.2739829874537047E-2</v>
      </c>
      <c r="AJ178" s="22">
        <f>Constants!$H45*'Activity data'!AJ10*Constants!$H63*FracLEACHMM*MMLeachEF*NtoN2O*kgtoGg</f>
        <v>4.4022024770773154E-2</v>
      </c>
      <c r="AK178" s="22">
        <f>Constants!$H45*'Activity data'!AK10*Constants!$H63*FracLEACHMM*MMLeachEF*NtoN2O*kgtoGg</f>
        <v>4.5342685513896343E-2</v>
      </c>
      <c r="AL178" s="22">
        <f>Constants!$H45*'Activity data'!AL10*Constants!$H63*FracLEACHMM*MMLeachEF*NtoN2O*kgtoGg</f>
        <v>4.6702966079313228E-2</v>
      </c>
      <c r="AM178" s="22">
        <f>Constants!$H45*'Activity data'!AM10*Constants!$H63*FracLEACHMM*MMLeachEF*NtoN2O*kgtoGg</f>
        <v>4.8104055061692637E-2</v>
      </c>
      <c r="AN178" s="22">
        <f>Constants!$H45*'Activity data'!AN10*Constants!$H63*FracLEACHMM*MMLeachEF*NtoN2O*kgtoGg</f>
        <v>4.9547176713543417E-2</v>
      </c>
      <c r="AO178" s="22">
        <f>Constants!$H45*'Activity data'!AO10*Constants!$H63*FracLEACHMM*MMLeachEF*NtoN2O*kgtoGg</f>
        <v>5.1033592014949725E-2</v>
      </c>
      <c r="AP178" s="22">
        <f>Constants!$H45*'Activity data'!AP10*Constants!$H63*FracLEACHMM*MMLeachEF*NtoN2O*kgtoGg</f>
        <v>5.2564599775398221E-2</v>
      </c>
      <c r="AQ178" s="22">
        <f>Constants!$H45*'Activity data'!AQ10*Constants!$H63*FracLEACHMM*MMLeachEF*NtoN2O*kgtoGg</f>
        <v>5.414153776866016E-2</v>
      </c>
      <c r="AR178" s="22">
        <f>Constants!$H45*'Activity data'!AR10*Constants!$H63*FracLEACHMM*MMLeachEF*NtoN2O*kgtoGg</f>
        <v>5.5765783901719962E-2</v>
      </c>
      <c r="AS178" s="22">
        <f>Constants!$H45*'Activity data'!AS10*Constants!$H63*FracLEACHMM*MMLeachEF*NtoN2O*kgtoGg</f>
        <v>5.7438757418771573E-2</v>
      </c>
      <c r="AT178" s="22">
        <f>Constants!$H45*'Activity data'!AT10*Constants!$H63*FracLEACHMM*MMLeachEF*NtoN2O*kgtoGg</f>
        <v>5.9161920141334721E-2</v>
      </c>
      <c r="AU178" s="22">
        <f>Constants!$H45*'Activity data'!AU10*Constants!$H63*FracLEACHMM*MMLeachEF*NtoN2O*kgtoGg</f>
        <v>6.0936777745574759E-2</v>
      </c>
      <c r="AV178" s="22">
        <f>Constants!$H45*'Activity data'!AV10*Constants!$H63*FracLEACHMM*MMLeachEF*NtoN2O*kgtoGg</f>
        <v>6.2764881077942009E-2</v>
      </c>
      <c r="AW178" s="22">
        <f>Constants!$H45*'Activity data'!AW10*Constants!$H63*FracLEACHMM*MMLeachEF*NtoN2O*kgtoGg</f>
        <v>6.4647827510280267E-2</v>
      </c>
      <c r="AX178" s="22">
        <f>Constants!$H45*'Activity data'!AX10*Constants!$H63*FracLEACHMM*MMLeachEF*NtoN2O*kgtoGg</f>
        <v>6.6587262335588676E-2</v>
      </c>
      <c r="AY178" s="22">
        <f>Constants!$H45*'Activity data'!AY10*Constants!$H63*FracLEACHMM*MMLeachEF*NtoN2O*kgtoGg</f>
        <v>6.858488020565634E-2</v>
      </c>
      <c r="AZ178" s="22">
        <f>Constants!$H45*'Activity data'!AZ10*Constants!$H63*FracLEACHMM*MMLeachEF*NtoN2O*kgtoGg</f>
        <v>7.0642426611826042E-2</v>
      </c>
      <c r="BA178" s="22">
        <f>Constants!$H45*'Activity data'!BA10*Constants!$H63*FracLEACHMM*MMLeachEF*NtoN2O*kgtoGg</f>
        <v>7.2761699410180819E-2</v>
      </c>
      <c r="BB178" s="22">
        <f>Constants!$H45*'Activity data'!BB10*Constants!$H63*FracLEACHMM*MMLeachEF*NtoN2O*kgtoGg</f>
        <v>7.4944550392486251E-2</v>
      </c>
      <c r="BC178" s="22">
        <f>Constants!$H45*'Activity data'!BC10*Constants!$H63*FracLEACHMM*MMLeachEF*NtoN2O*kgtoGg</f>
        <v>7.7192886904260835E-2</v>
      </c>
      <c r="BD178" s="22">
        <f>Constants!$H45*'Activity data'!BD10*Constants!$H63*FracLEACHMM*MMLeachEF*NtoN2O*kgtoGg</f>
        <v>7.7509574999999997E-2</v>
      </c>
      <c r="BE178" s="22">
        <f>Constants!$H45*'Activity data'!BE10*Constants!$H63*FracLEACHMM*MMLeachEF*NtoN2O*kgtoGg</f>
        <v>7.7509574999999997E-2</v>
      </c>
      <c r="BF178" s="22">
        <f>Constants!$H45*'Activity data'!BF10*Constants!$H63*FracLEACHMM*MMLeachEF*NtoN2O*kgtoGg</f>
        <v>7.7509574999999997E-2</v>
      </c>
      <c r="BG178" s="22">
        <f>Constants!$H45*'Activity data'!BG10*Constants!$H63*FracLEACHMM*MMLeachEF*NtoN2O*kgtoGg</f>
        <v>7.7509574999999997E-2</v>
      </c>
      <c r="BH178" s="22">
        <f>Constants!$H45*'Activity data'!BH10*Constants!$H63*FracLEACHMM*MMLeachEF*NtoN2O*kgtoGg</f>
        <v>7.7509574999999997E-2</v>
      </c>
      <c r="BI178" s="22">
        <f>Constants!$H45*'Activity data'!BI10*Constants!$H63*FracLEACHMM*MMLeachEF*NtoN2O*kgtoGg</f>
        <v>7.7509574999999997E-2</v>
      </c>
      <c r="BJ178" s="22">
        <f>Constants!$H45*'Activity data'!BJ10*Constants!$H63*FracLEACHMM*MMLeachEF*NtoN2O*kgtoGg</f>
        <v>7.7509574999999997E-2</v>
      </c>
      <c r="BK178" s="22">
        <f>Constants!$H45*'Activity data'!BK10*Constants!$H63*FracLEACHMM*MMLeachEF*NtoN2O*kgtoGg</f>
        <v>7.7509574999999997E-2</v>
      </c>
      <c r="BL178" s="22">
        <f>Constants!$H45*'Activity data'!BL10*Constants!$H63*FracLEACHMM*MMLeachEF*NtoN2O*kgtoGg</f>
        <v>7.7509574999999997E-2</v>
      </c>
      <c r="BM178" s="22">
        <f>Constants!$H45*'Activity data'!BM10*Constants!$H63*FracLEACHMM*MMLeachEF*NtoN2O*kgtoGg</f>
        <v>7.7509574999999997E-2</v>
      </c>
      <c r="BN178" s="22">
        <f>Constants!$H45*'Activity data'!BN10*Constants!$H63*FracLEACHMM*MMLeachEF*NtoN2O*kgtoGg</f>
        <v>7.7509574999999997E-2</v>
      </c>
      <c r="BO178" s="22">
        <f>Constants!$H45*'Activity data'!BO10*Constants!$H63*FracLEACHMM*MMLeachEF*NtoN2O*kgtoGg</f>
        <v>7.7509574999999997E-2</v>
      </c>
      <c r="BP178" s="22">
        <f>Constants!$H45*'Activity data'!BP10*Constants!$H63*FracLEACHMM*MMLeachEF*NtoN2O*kgtoGg</f>
        <v>7.7509574999999997E-2</v>
      </c>
    </row>
    <row r="179" spans="1:68" x14ac:dyDescent="0.25">
      <c r="A179" t="str">
        <f t="shared" si="58"/>
        <v>3C Aggregated and non-CO2 emissions on land</v>
      </c>
      <c r="B179" t="str">
        <f t="shared" si="65"/>
        <v>3C6 Indirect N2O from manure management (N2O)</v>
      </c>
      <c r="C179" t="str">
        <f t="shared" si="67"/>
        <v>Leaching/runoff</v>
      </c>
      <c r="D179" t="str">
        <f t="shared" si="66"/>
        <v xml:space="preserve"> - Commercial sheep</v>
      </c>
      <c r="E179" t="str">
        <f t="shared" si="64"/>
        <v>Leaching/runoff - Commercial sheep</v>
      </c>
      <c r="F179" t="str">
        <f t="shared" si="47"/>
        <v>N2O</v>
      </c>
      <c r="G179" t="str">
        <f t="shared" si="48"/>
        <v>Gg N2O</v>
      </c>
      <c r="H179" s="22">
        <f>Constants!$H46*'Activity data'!H11*Constants!$H64*FracLEACHMM*MMLeachEF*NtoN2O*kgtoGg</f>
        <v>6.9270979206507962E-3</v>
      </c>
      <c r="I179" s="22">
        <f>Constants!$H46*'Activity data'!I11*Constants!$H64*FracLEACHMM*MMLeachEF*NtoN2O*kgtoGg</f>
        <v>6.6156222878065631E-3</v>
      </c>
      <c r="J179" s="22">
        <f>Constants!$H46*'Activity data'!J11*Constants!$H64*FracLEACHMM*MMLeachEF*NtoN2O*kgtoGg</f>
        <v>6.3422723815345083E-3</v>
      </c>
      <c r="K179" s="22">
        <f>Constants!$H46*'Activity data'!K11*Constants!$H64*FracLEACHMM*MMLeachEF*NtoN2O*kgtoGg</f>
        <v>5.9314387945930795E-3</v>
      </c>
      <c r="L179" s="22">
        <f>Constants!$H46*'Activity data'!L11*Constants!$H64*FracLEACHMM*MMLeachEF*NtoN2O*kgtoGg</f>
        <v>5.9732615613177133E-3</v>
      </c>
      <c r="M179" s="22">
        <f>Constants!$H46*'Activity data'!M11*Constants!$H64*FracLEACHMM*MMLeachEF*NtoN2O*kgtoGg</f>
        <v>5.8877675077922183E-3</v>
      </c>
      <c r="N179" s="22">
        <f>Constants!$H46*'Activity data'!N11*Constants!$H64*FracLEACHMM*MMLeachEF*NtoN2O*kgtoGg</f>
        <v>5.90740803360213E-3</v>
      </c>
      <c r="O179" s="22">
        <f>Constants!$H46*'Activity data'!O11*Constants!$H64*FracLEACHMM*MMLeachEF*NtoN2O*kgtoGg</f>
        <v>5.7789358883043596E-3</v>
      </c>
      <c r="P179" s="22">
        <f>Constants!$H46*'Activity data'!P11*Constants!$H64*FracLEACHMM*MMLeachEF*NtoN2O*kgtoGg</f>
        <v>5.7948793739618174E-3</v>
      </c>
      <c r="Q179" s="22">
        <f>Constants!$H46*'Activity data'!Q11*Constants!$H64*FracLEACHMM*MMLeachEF*NtoN2O*kgtoGg</f>
        <v>5.6525433280923453E-3</v>
      </c>
      <c r="R179" s="22">
        <f>Constants!$H46*'Activity data'!R11*Constants!$H64*FracLEACHMM*MMLeachEF*NtoN2O*kgtoGg</f>
        <v>5.449899314735971E-3</v>
      </c>
      <c r="S179" s="22">
        <f>Constants!$H46*'Activity data'!S11*Constants!$H64*FracLEACHMM*MMLeachEF*NtoN2O*kgtoGg</f>
        <v>5.3140330891332929E-3</v>
      </c>
      <c r="T179" s="22">
        <f>Constants!$H46*'Activity data'!T11*Constants!$H64*FracLEACHMM*MMLeachEF*NtoN2O*kgtoGg</f>
        <v>5.2253041254744018E-3</v>
      </c>
      <c r="U179" s="22">
        <f>Constants!$H46*'Activity data'!U11*Constants!$H64*FracLEACHMM*MMLeachEF*NtoN2O*kgtoGg</f>
        <v>5.2435582612271421E-3</v>
      </c>
      <c r="V179" s="22">
        <f>Constants!$H46*'Activity data'!V11*Constants!$H64*FracLEACHMM*MMLeachEF*NtoN2O*kgtoGg</f>
        <v>5.1502079973776843E-3</v>
      </c>
      <c r="W179" s="22">
        <f>Constants!$H46*'Activity data'!W11*Constants!$H64*FracLEACHMM*MMLeachEF*NtoN2O*kgtoGg</f>
        <v>5.1379615518726812E-3</v>
      </c>
      <c r="X179" s="22">
        <f>Constants!$H46*'Activity data'!X11*Constants!$H64*FracLEACHMM*MMLeachEF*NtoN2O*kgtoGg</f>
        <v>5.0707216340999273E-3</v>
      </c>
      <c r="Y179" s="22">
        <f>Constants!$H46*'Activity data'!Y11*Constants!$H64*FracLEACHMM*MMLeachEF*NtoN2O*kgtoGg</f>
        <v>5.0658692688998318E-3</v>
      </c>
      <c r="Z179" s="22">
        <f>Constants!$H46*'Activity data'!Z11*Constants!$H64*FracLEACHMM*MMLeachEF*NtoN2O*kgtoGg</f>
        <v>5.0822748845763448E-3</v>
      </c>
      <c r="AA179" s="22">
        <f>Constants!$H46*'Activity data'!AA11*Constants!$H64*FracLEACHMM*MMLeachEF*NtoN2O*kgtoGg</f>
        <v>5.0642518138331325E-3</v>
      </c>
      <c r="AB179" s="22">
        <f>Constants!$H46*'Activity data'!AB11*Constants!$H64*FracLEACHMM*MMLeachEF*NtoN2O*kgtoGg</f>
        <v>4.9662802497931072E-3</v>
      </c>
      <c r="AC179" s="22">
        <f>Constants!$H46*'Activity data'!AC11*Constants!$H64*FracLEACHMM*MMLeachEF*NtoN2O*kgtoGg</f>
        <v>4.9274613281923407E-3</v>
      </c>
      <c r="AD179" s="22">
        <f>Constants!$H46*'Activity data'!AD11*Constants!$H64*FracLEACHMM*MMLeachEF*NtoN2O*kgtoGg</f>
        <v>5.0589582954756211E-3</v>
      </c>
      <c r="AE179" s="22">
        <f>Constants!$H46*'Activity data'!AE11*Constants!$H64*FracLEACHMM*MMLeachEF*NtoN2O*kgtoGg</f>
        <v>5.0422564216253659E-3</v>
      </c>
      <c r="AF179" s="22">
        <f>Constants!$H46*'Activity data'!AF11*Constants!$H64*FracLEACHMM*MMLeachEF*NtoN2O*kgtoGg</f>
        <v>5.0259724181563039E-3</v>
      </c>
      <c r="AG179" s="22">
        <f>Constants!$H46*'Activity data'!AG11*Constants!$H64*FracLEACHMM*MMLeachEF*NtoN2O*kgtoGg</f>
        <v>5.0101155019940781E-3</v>
      </c>
      <c r="AH179" s="22">
        <f>Constants!$H46*'Activity data'!AH11*Constants!$H64*FracLEACHMM*MMLeachEF*NtoN2O*kgtoGg</f>
        <v>4.993412822425645E-3</v>
      </c>
      <c r="AI179" s="22">
        <f>Constants!$H46*'Activity data'!AI11*Constants!$H64*FracLEACHMM*MMLeachEF*NtoN2O*kgtoGg</f>
        <v>4.9767071642722758E-3</v>
      </c>
      <c r="AJ179" s="22">
        <f>Constants!$H46*'Activity data'!AJ11*Constants!$H64*FracLEACHMM*MMLeachEF*NtoN2O*kgtoGg</f>
        <v>4.9603269458929821E-3</v>
      </c>
      <c r="AK179" s="22">
        <f>Constants!$H46*'Activity data'!AK11*Constants!$H64*FracLEACHMM*MMLeachEF*NtoN2O*kgtoGg</f>
        <v>4.944256378286287E-3</v>
      </c>
      <c r="AL179" s="22">
        <f>Constants!$H46*'Activity data'!AL11*Constants!$H64*FracLEACHMM*MMLeachEF*NtoN2O*kgtoGg</f>
        <v>4.9331801773578321E-3</v>
      </c>
      <c r="AM179" s="22">
        <f>Constants!$H46*'Activity data'!AM11*Constants!$H64*FracLEACHMM*MMLeachEF*NtoN2O*kgtoGg</f>
        <v>4.9165602849560374E-3</v>
      </c>
      <c r="AN179" s="22">
        <f>Constants!$H46*'Activity data'!AN11*Constants!$H64*FracLEACHMM*MMLeachEF*NtoN2O*kgtoGg</f>
        <v>4.9002170122895376E-3</v>
      </c>
      <c r="AO179" s="22">
        <f>Constants!$H46*'Activity data'!AO11*Constants!$H64*FracLEACHMM*MMLeachEF*NtoN2O*kgtoGg</f>
        <v>4.8840850013344012E-3</v>
      </c>
      <c r="AP179" s="22">
        <f>Constants!$H46*'Activity data'!AP11*Constants!$H64*FracLEACHMM*MMLeachEF*NtoN2O*kgtoGg</f>
        <v>4.868208762268969E-3</v>
      </c>
      <c r="AQ179" s="22">
        <f>Constants!$H46*'Activity data'!AQ11*Constants!$H64*FracLEACHMM*MMLeachEF*NtoN2O*kgtoGg</f>
        <v>4.8524964360652911E-3</v>
      </c>
      <c r="AR179" s="22">
        <f>Constants!$H46*'Activity data'!AR11*Constants!$H64*FracLEACHMM*MMLeachEF*NtoN2O*kgtoGg</f>
        <v>4.8355914389788465E-3</v>
      </c>
      <c r="AS179" s="22">
        <f>Constants!$H46*'Activity data'!AS11*Constants!$H64*FracLEACHMM*MMLeachEF*NtoN2O*kgtoGg</f>
        <v>4.8189352930878664E-3</v>
      </c>
      <c r="AT179" s="22">
        <f>Constants!$H46*'Activity data'!AT11*Constants!$H64*FracLEACHMM*MMLeachEF*NtoN2O*kgtoGg</f>
        <v>4.8024504578155301E-3</v>
      </c>
      <c r="AU179" s="22">
        <f>Constants!$H46*'Activity data'!AU11*Constants!$H64*FracLEACHMM*MMLeachEF*NtoN2O*kgtoGg</f>
        <v>4.7861480271440575E-3</v>
      </c>
      <c r="AV179" s="22">
        <f>Constants!$H46*'Activity data'!AV11*Constants!$H64*FracLEACHMM*MMLeachEF*NtoN2O*kgtoGg</f>
        <v>4.7700197643728856E-3</v>
      </c>
      <c r="AW179" s="22">
        <f>Constants!$H46*'Activity data'!AW11*Constants!$H64*FracLEACHMM*MMLeachEF*NtoN2O*kgtoGg</f>
        <v>4.7543291461460239E-3</v>
      </c>
      <c r="AX179" s="22">
        <f>Constants!$H46*'Activity data'!AX11*Constants!$H64*FracLEACHMM*MMLeachEF*NtoN2O*kgtoGg</f>
        <v>4.7543291461460239E-3</v>
      </c>
      <c r="AY179" s="22">
        <f>Constants!$H46*'Activity data'!AY11*Constants!$H64*FracLEACHMM*MMLeachEF*NtoN2O*kgtoGg</f>
        <v>4.7543291461460239E-3</v>
      </c>
      <c r="AZ179" s="22">
        <f>Constants!$H46*'Activity data'!AZ11*Constants!$H64*FracLEACHMM*MMLeachEF*NtoN2O*kgtoGg</f>
        <v>4.7543291461460239E-3</v>
      </c>
      <c r="BA179" s="22">
        <f>Constants!$H46*'Activity data'!BA11*Constants!$H64*FracLEACHMM*MMLeachEF*NtoN2O*kgtoGg</f>
        <v>4.7543291461460239E-3</v>
      </c>
      <c r="BB179" s="22">
        <f>Constants!$H46*'Activity data'!BB11*Constants!$H64*FracLEACHMM*MMLeachEF*NtoN2O*kgtoGg</f>
        <v>4.7543291461460239E-3</v>
      </c>
      <c r="BC179" s="22">
        <f>Constants!$H46*'Activity data'!BC11*Constants!$H64*FracLEACHMM*MMLeachEF*NtoN2O*kgtoGg</f>
        <v>4.7543291461460239E-3</v>
      </c>
      <c r="BD179" s="22">
        <f>Constants!$H46*'Activity data'!BD11*Constants!$H64*FracLEACHMM*MMLeachEF*NtoN2O*kgtoGg</f>
        <v>4.7543291461460239E-3</v>
      </c>
      <c r="BE179" s="22">
        <f>Constants!$H46*'Activity data'!BE11*Constants!$H64*FracLEACHMM*MMLeachEF*NtoN2O*kgtoGg</f>
        <v>4.7543291461460239E-3</v>
      </c>
      <c r="BF179" s="22">
        <f>Constants!$H46*'Activity data'!BF11*Constants!$H64*FracLEACHMM*MMLeachEF*NtoN2O*kgtoGg</f>
        <v>4.7543291461460239E-3</v>
      </c>
      <c r="BG179" s="22">
        <f>Constants!$H46*'Activity data'!BG11*Constants!$H64*FracLEACHMM*MMLeachEF*NtoN2O*kgtoGg</f>
        <v>4.7543291461460239E-3</v>
      </c>
      <c r="BH179" s="22">
        <f>Constants!$H46*'Activity data'!BH11*Constants!$H64*FracLEACHMM*MMLeachEF*NtoN2O*kgtoGg</f>
        <v>4.7543291461460239E-3</v>
      </c>
      <c r="BI179" s="22">
        <f>Constants!$H46*'Activity data'!BI11*Constants!$H64*FracLEACHMM*MMLeachEF*NtoN2O*kgtoGg</f>
        <v>4.7543291461460239E-3</v>
      </c>
      <c r="BJ179" s="22">
        <f>Constants!$H46*'Activity data'!BJ11*Constants!$H64*FracLEACHMM*MMLeachEF*NtoN2O*kgtoGg</f>
        <v>4.7543291461460239E-3</v>
      </c>
      <c r="BK179" s="22">
        <f>Constants!$H46*'Activity data'!BK11*Constants!$H64*FracLEACHMM*MMLeachEF*NtoN2O*kgtoGg</f>
        <v>4.7543291461460239E-3</v>
      </c>
      <c r="BL179" s="22">
        <f>Constants!$H46*'Activity data'!BL11*Constants!$H64*FracLEACHMM*MMLeachEF*NtoN2O*kgtoGg</f>
        <v>4.7543291461460239E-3</v>
      </c>
      <c r="BM179" s="22">
        <f>Constants!$H46*'Activity data'!BM11*Constants!$H64*FracLEACHMM*MMLeachEF*NtoN2O*kgtoGg</f>
        <v>4.7543291461460239E-3</v>
      </c>
      <c r="BN179" s="22">
        <f>Constants!$H46*'Activity data'!BN11*Constants!$H64*FracLEACHMM*MMLeachEF*NtoN2O*kgtoGg</f>
        <v>4.7543291461460239E-3</v>
      </c>
      <c r="BO179" s="22">
        <f>Constants!$H46*'Activity data'!BO11*Constants!$H64*FracLEACHMM*MMLeachEF*NtoN2O*kgtoGg</f>
        <v>4.7543291461460239E-3</v>
      </c>
      <c r="BP179" s="22">
        <f>Constants!$H46*'Activity data'!BP11*Constants!$H64*FracLEACHMM*MMLeachEF*NtoN2O*kgtoGg</f>
        <v>4.7543291461460239E-3</v>
      </c>
    </row>
    <row r="180" spans="1:68" x14ac:dyDescent="0.25">
      <c r="A180" t="str">
        <f t="shared" si="58"/>
        <v>3C Aggregated and non-CO2 emissions on land</v>
      </c>
      <c r="B180" t="str">
        <f t="shared" si="65"/>
        <v>3C6 Indirect N2O from manure management (N2O)</v>
      </c>
      <c r="C180" t="str">
        <f t="shared" si="67"/>
        <v>Leaching/runoff</v>
      </c>
      <c r="D180" t="str">
        <f t="shared" si="66"/>
        <v xml:space="preserve"> - Subsistence sheep</v>
      </c>
      <c r="E180" t="str">
        <f t="shared" si="64"/>
        <v>Leaching/runoff - Subsistence sheep</v>
      </c>
      <c r="F180" t="str">
        <f t="shared" si="47"/>
        <v>N2O</v>
      </c>
      <c r="G180" t="str">
        <f t="shared" si="48"/>
        <v>Gg N2O</v>
      </c>
      <c r="H180" s="22">
        <f>Constants!$H47*'Activity data'!H12*Constants!$H65*FracLEACHMM*MMLeachEF*NtoN2O*kgtoGg</f>
        <v>5.3816678004133863E-3</v>
      </c>
      <c r="I180" s="22">
        <f>Constants!$H47*'Activity data'!I12*Constants!$H65*FracLEACHMM*MMLeachEF*NtoN2O*kgtoGg</f>
        <v>5.1396821372839546E-3</v>
      </c>
      <c r="J180" s="22">
        <f>Constants!$H47*'Activity data'!J12*Constants!$H65*FracLEACHMM*MMLeachEF*NtoN2O*kgtoGg</f>
        <v>4.9273163809915805E-3</v>
      </c>
      <c r="K180" s="22">
        <f>Constants!$H47*'Activity data'!K12*Constants!$H65*FracLEACHMM*MMLeachEF*NtoN2O*kgtoGg</f>
        <v>4.6081394454989032E-3</v>
      </c>
      <c r="L180" s="22">
        <f>Constants!$H47*'Activity data'!L12*Constants!$H65*FracLEACHMM*MMLeachEF*NtoN2O*kgtoGg</f>
        <v>4.640631585726222E-3</v>
      </c>
      <c r="M180" s="22">
        <f>Constants!$H47*'Activity data'!M12*Constants!$H65*FracLEACHMM*MMLeachEF*NtoN2O*kgtoGg</f>
        <v>4.574211188576453E-3</v>
      </c>
      <c r="N180" s="22">
        <f>Constants!$H47*'Activity data'!N12*Constants!$H65*FracLEACHMM*MMLeachEF*NtoN2O*kgtoGg</f>
        <v>4.5894699284622113E-3</v>
      </c>
      <c r="O180" s="22">
        <f>Constants!$H47*'Activity data'!O12*Constants!$H65*FracLEACHMM*MMLeachEF*NtoN2O*kgtoGg</f>
        <v>4.4896598181506653E-3</v>
      </c>
      <c r="P180" s="22">
        <f>Constants!$H47*'Activity data'!P12*Constants!$H65*FracLEACHMM*MMLeachEF*NtoN2O*kgtoGg</f>
        <v>4.5020463246461771E-3</v>
      </c>
      <c r="Q180" s="22">
        <f>Constants!$H47*'Activity data'!Q12*Constants!$H65*FracLEACHMM*MMLeachEF*NtoN2O*kgtoGg</f>
        <v>4.3914653391211545E-3</v>
      </c>
      <c r="R180" s="22">
        <f>Constants!$H47*'Activity data'!R12*Constants!$H65*FracLEACHMM*MMLeachEF*NtoN2O*kgtoGg</f>
        <v>4.2340310464175105E-3</v>
      </c>
      <c r="S180" s="22">
        <f>Constants!$H47*'Activity data'!S12*Constants!$H65*FracLEACHMM*MMLeachEF*NtoN2O*kgtoGg</f>
        <v>4.1284764693254421E-3</v>
      </c>
      <c r="T180" s="22">
        <f>Constants!$H47*'Activity data'!T12*Constants!$H65*FracLEACHMM*MMLeachEF*NtoN2O*kgtoGg</f>
        <v>4.0595428679591952E-3</v>
      </c>
      <c r="U180" s="22">
        <f>Constants!$H47*'Activity data'!U12*Constants!$H65*FracLEACHMM*MMLeachEF*NtoN2O*kgtoGg</f>
        <v>4.0737245203236053E-3</v>
      </c>
      <c r="V180" s="22">
        <f>Constants!$H47*'Activity data'!V12*Constants!$H65*FracLEACHMM*MMLeachEF*NtoN2O*kgtoGg</f>
        <v>4.0012006272195314E-3</v>
      </c>
      <c r="W180" s="22">
        <f>Constants!$H47*'Activity data'!W12*Constants!$H65*FracLEACHMM*MMLeachEF*NtoN2O*kgtoGg</f>
        <v>3.9916863541142947E-3</v>
      </c>
      <c r="X180" s="22">
        <f>Constants!$H47*'Activity data'!X12*Constants!$H65*FracLEACHMM*MMLeachEF*NtoN2O*kgtoGg</f>
        <v>3.939447609328935E-3</v>
      </c>
      <c r="Y180" s="22">
        <f>Constants!$H47*'Activity data'!Y12*Constants!$H65*FracLEACHMM*MMLeachEF*NtoN2O*kgtoGg</f>
        <v>3.9356778030042172E-3</v>
      </c>
      <c r="Z180" s="22">
        <f>Constants!$H47*'Activity data'!Z12*Constants!$H65*FracLEACHMM*MMLeachEF*NtoN2O*kgtoGg</f>
        <v>3.9484233386734985E-3</v>
      </c>
      <c r="AA180" s="22">
        <f>Constants!$H47*'Activity data'!AA12*Constants!$H65*FracLEACHMM*MMLeachEF*NtoN2O*kgtoGg</f>
        <v>3.9344212008959783E-3</v>
      </c>
      <c r="AB180" s="22">
        <f>Constants!$H47*'Activity data'!AB12*Constants!$H65*FracLEACHMM*MMLeachEF*NtoN2O*kgtoGg</f>
        <v>3.8583070160540809E-3</v>
      </c>
      <c r="AC180" s="22">
        <f>Constants!$H47*'Activity data'!AC12*Constants!$H65*FracLEACHMM*MMLeachEF*NtoN2O*kgtoGg</f>
        <v>3.8281485654563466E-3</v>
      </c>
      <c r="AD180" s="22">
        <f>Constants!$H47*'Activity data'!AD12*Constants!$H65*FracLEACHMM*MMLeachEF*NtoN2O*kgtoGg</f>
        <v>3.9427061062941599E-3</v>
      </c>
      <c r="AE180" s="22">
        <f>Constants!$H47*'Activity data'!AE12*Constants!$H65*FracLEACHMM*MMLeachEF*NtoN2O*kgtoGg</f>
        <v>3.9296894779351464E-3</v>
      </c>
      <c r="AF180" s="22">
        <f>Constants!$H47*'Activity data'!AF12*Constants!$H65*FracLEACHMM*MMLeachEF*NtoN2O*kgtoGg</f>
        <v>3.9169985174325054E-3</v>
      </c>
      <c r="AG180" s="22">
        <f>Constants!$H47*'Activity data'!AG12*Constants!$H65*FracLEACHMM*MMLeachEF*NtoN2O*kgtoGg</f>
        <v>3.9046404080099162E-3</v>
      </c>
      <c r="AH180" s="22">
        <f>Constants!$H47*'Activity data'!AH12*Constants!$H65*FracLEACHMM*MMLeachEF*NtoN2O*kgtoGg</f>
        <v>3.8916231517133332E-3</v>
      </c>
      <c r="AI180" s="22">
        <f>Constants!$H47*'Activity data'!AI12*Constants!$H65*FracLEACHMM*MMLeachEF*NtoN2O*kgtoGg</f>
        <v>3.8786035740524813E-3</v>
      </c>
      <c r="AJ180" s="22">
        <f>Constants!$H47*'Activity data'!AJ12*Constants!$H65*FracLEACHMM*MMLeachEF*NtoN2O*kgtoGg</f>
        <v>3.8658376283272067E-3</v>
      </c>
      <c r="AK180" s="22">
        <f>Constants!$H47*'Activity data'!AK12*Constants!$H65*FracLEACHMM*MMLeachEF*NtoN2O*kgtoGg</f>
        <v>3.853313009357488E-3</v>
      </c>
      <c r="AL180" s="22">
        <f>Constants!$H47*'Activity data'!AL12*Constants!$H65*FracLEACHMM*MMLeachEF*NtoN2O*kgtoGg</f>
        <v>3.8446807569283243E-3</v>
      </c>
      <c r="AM180" s="22">
        <f>Constants!$H47*'Activity data'!AM12*Constants!$H65*FracLEACHMM*MMLeachEF*NtoN2O*kgtoGg</f>
        <v>3.8317280209239344E-3</v>
      </c>
      <c r="AN180" s="22">
        <f>Constants!$H47*'Activity data'!AN12*Constants!$H65*FracLEACHMM*MMLeachEF*NtoN2O*kgtoGg</f>
        <v>3.8189908688907453E-3</v>
      </c>
      <c r="AO180" s="22">
        <f>Constants!$H47*'Activity data'!AO12*Constants!$H65*FracLEACHMM*MMLeachEF*NtoN2O*kgtoGg</f>
        <v>3.8064183639629017E-3</v>
      </c>
      <c r="AP180" s="22">
        <f>Constants!$H47*'Activity data'!AP12*Constants!$H65*FracLEACHMM*MMLeachEF*NtoN2O*kgtoGg</f>
        <v>3.7940451952091199E-3</v>
      </c>
      <c r="AQ180" s="22">
        <f>Constants!$H47*'Activity data'!AQ12*Constants!$H65*FracLEACHMM*MMLeachEF*NtoN2O*kgtoGg</f>
        <v>3.7817997721696114E-3</v>
      </c>
      <c r="AR180" s="22">
        <f>Constants!$H47*'Activity data'!AR12*Constants!$H65*FracLEACHMM*MMLeachEF*NtoN2O*kgtoGg</f>
        <v>3.7686248394370732E-3</v>
      </c>
      <c r="AS180" s="22">
        <f>Constants!$H47*'Activity data'!AS12*Constants!$H65*FracLEACHMM*MMLeachEF*NtoN2O*kgtoGg</f>
        <v>3.7556438492260201E-3</v>
      </c>
      <c r="AT180" s="22">
        <f>Constants!$H47*'Activity data'!AT12*Constants!$H65*FracLEACHMM*MMLeachEF*NtoN2O*kgtoGg</f>
        <v>3.7427963701812486E-3</v>
      </c>
      <c r="AU180" s="22">
        <f>Constants!$H47*'Activity data'!AU12*Constants!$H65*FracLEACHMM*MMLeachEF*NtoN2O*kgtoGg</f>
        <v>3.7300910484130631E-3</v>
      </c>
      <c r="AV180" s="22">
        <f>Constants!$H47*'Activity data'!AV12*Constants!$H65*FracLEACHMM*MMLeachEF*NtoN2O*kgtoGg</f>
        <v>3.7175214646375495E-3</v>
      </c>
      <c r="AW180" s="22">
        <f>Constants!$H47*'Activity data'!AW12*Constants!$H65*FracLEACHMM*MMLeachEF*NtoN2O*kgtoGg</f>
        <v>3.7052929597396322E-3</v>
      </c>
      <c r="AX180" s="22">
        <f>Constants!$H47*'Activity data'!AX12*Constants!$H65*FracLEACHMM*MMLeachEF*NtoN2O*kgtoGg</f>
        <v>3.7052929597396322E-3</v>
      </c>
      <c r="AY180" s="22">
        <f>Constants!$H47*'Activity data'!AY12*Constants!$H65*FracLEACHMM*MMLeachEF*NtoN2O*kgtoGg</f>
        <v>3.7052929597396322E-3</v>
      </c>
      <c r="AZ180" s="22">
        <f>Constants!$H47*'Activity data'!AZ12*Constants!$H65*FracLEACHMM*MMLeachEF*NtoN2O*kgtoGg</f>
        <v>3.7052929597396322E-3</v>
      </c>
      <c r="BA180" s="22">
        <f>Constants!$H47*'Activity data'!BA12*Constants!$H65*FracLEACHMM*MMLeachEF*NtoN2O*kgtoGg</f>
        <v>3.7052929597396322E-3</v>
      </c>
      <c r="BB180" s="22">
        <f>Constants!$H47*'Activity data'!BB12*Constants!$H65*FracLEACHMM*MMLeachEF*NtoN2O*kgtoGg</f>
        <v>3.7052929597396322E-3</v>
      </c>
      <c r="BC180" s="22">
        <f>Constants!$H47*'Activity data'!BC12*Constants!$H65*FracLEACHMM*MMLeachEF*NtoN2O*kgtoGg</f>
        <v>3.7052929597396322E-3</v>
      </c>
      <c r="BD180" s="22">
        <f>Constants!$H47*'Activity data'!BD12*Constants!$H65*FracLEACHMM*MMLeachEF*NtoN2O*kgtoGg</f>
        <v>3.7052929597396322E-3</v>
      </c>
      <c r="BE180" s="22">
        <f>Constants!$H47*'Activity data'!BE12*Constants!$H65*FracLEACHMM*MMLeachEF*NtoN2O*kgtoGg</f>
        <v>3.7052929597396322E-3</v>
      </c>
      <c r="BF180" s="22">
        <f>Constants!$H47*'Activity data'!BF12*Constants!$H65*FracLEACHMM*MMLeachEF*NtoN2O*kgtoGg</f>
        <v>3.7052929597396322E-3</v>
      </c>
      <c r="BG180" s="22">
        <f>Constants!$H47*'Activity data'!BG12*Constants!$H65*FracLEACHMM*MMLeachEF*NtoN2O*kgtoGg</f>
        <v>3.7052929597396322E-3</v>
      </c>
      <c r="BH180" s="22">
        <f>Constants!$H47*'Activity data'!BH12*Constants!$H65*FracLEACHMM*MMLeachEF*NtoN2O*kgtoGg</f>
        <v>3.7052929597396322E-3</v>
      </c>
      <c r="BI180" s="22">
        <f>Constants!$H47*'Activity data'!BI12*Constants!$H65*FracLEACHMM*MMLeachEF*NtoN2O*kgtoGg</f>
        <v>3.7052929597396322E-3</v>
      </c>
      <c r="BJ180" s="22">
        <f>Constants!$H47*'Activity data'!BJ12*Constants!$H65*FracLEACHMM*MMLeachEF*NtoN2O*kgtoGg</f>
        <v>3.7052929597396322E-3</v>
      </c>
      <c r="BK180" s="22">
        <f>Constants!$H47*'Activity data'!BK12*Constants!$H65*FracLEACHMM*MMLeachEF*NtoN2O*kgtoGg</f>
        <v>3.7052929597396322E-3</v>
      </c>
      <c r="BL180" s="22">
        <f>Constants!$H47*'Activity data'!BL12*Constants!$H65*FracLEACHMM*MMLeachEF*NtoN2O*kgtoGg</f>
        <v>3.7052929597396322E-3</v>
      </c>
      <c r="BM180" s="22">
        <f>Constants!$H47*'Activity data'!BM12*Constants!$H65*FracLEACHMM*MMLeachEF*NtoN2O*kgtoGg</f>
        <v>3.7052929597396322E-3</v>
      </c>
      <c r="BN180" s="22">
        <f>Constants!$H47*'Activity data'!BN12*Constants!$H65*FracLEACHMM*MMLeachEF*NtoN2O*kgtoGg</f>
        <v>3.7052929597396322E-3</v>
      </c>
      <c r="BO180" s="22">
        <f>Constants!$H47*'Activity data'!BO12*Constants!$H65*FracLEACHMM*MMLeachEF*NtoN2O*kgtoGg</f>
        <v>3.7052929597396322E-3</v>
      </c>
      <c r="BP180" s="22">
        <f>Constants!$H47*'Activity data'!BP12*Constants!$H65*FracLEACHMM*MMLeachEF*NtoN2O*kgtoGg</f>
        <v>3.7052929597396322E-3</v>
      </c>
    </row>
    <row r="181" spans="1:68" x14ac:dyDescent="0.25">
      <c r="A181" t="str">
        <f t="shared" si="58"/>
        <v>3C Aggregated and non-CO2 emissions on land</v>
      </c>
      <c r="B181" t="str">
        <f t="shared" si="65"/>
        <v>3C6 Indirect N2O from manure management (N2O)</v>
      </c>
      <c r="C181" t="str">
        <f t="shared" si="67"/>
        <v>Leaching/runoff</v>
      </c>
      <c r="D181" t="str">
        <f t="shared" si="66"/>
        <v xml:space="preserve"> - Commercial goats</v>
      </c>
      <c r="E181" t="str">
        <f t="shared" si="64"/>
        <v>Leaching/runoff - Commercial goats</v>
      </c>
      <c r="F181" t="str">
        <f t="shared" si="47"/>
        <v>N2O</v>
      </c>
      <c r="G181" t="str">
        <f t="shared" si="48"/>
        <v>Gg N2O</v>
      </c>
      <c r="H181" s="22">
        <f>Constants!$H48*'Activity data'!H13*Constants!$H66*FracLEACHMM*MMLeachEF*NtoN2O*kgtoGg</f>
        <v>7.2865318808700474E-4</v>
      </c>
      <c r="I181" s="22">
        <f>Constants!$H48*'Activity data'!I13*Constants!$H66*FracLEACHMM*MMLeachEF*NtoN2O*kgtoGg</f>
        <v>6.4433535341651871E-4</v>
      </c>
      <c r="J181" s="22">
        <f>Constants!$H48*'Activity data'!J13*Constants!$H66*FracLEACHMM*MMLeachEF*NtoN2O*kgtoGg</f>
        <v>6.0020639321514246E-4</v>
      </c>
      <c r="K181" s="22">
        <f>Constants!$H48*'Activity data'!K13*Constants!$H66*FracLEACHMM*MMLeachEF*NtoN2O*kgtoGg</f>
        <v>5.6710967306411041E-4</v>
      </c>
      <c r="L181" s="22">
        <f>Constants!$H48*'Activity data'!L13*Constants!$H66*FracLEACHMM*MMLeachEF*NtoN2O*kgtoGg</f>
        <v>6.138653570869968E-4</v>
      </c>
      <c r="M181" s="22">
        <f>Constants!$H48*'Activity data'!M13*Constants!$H66*FracLEACHMM*MMLeachEF*NtoN2O*kgtoGg</f>
        <v>6.2227087331583042E-4</v>
      </c>
      <c r="N181" s="22">
        <f>Constants!$H48*'Activity data'!N13*Constants!$H66*FracLEACHMM*MMLeachEF*NtoN2O*kgtoGg</f>
        <v>6.3198975145541928E-4</v>
      </c>
      <c r="O181" s="22">
        <f>Constants!$H48*'Activity data'!O13*Constants!$H66*FracLEACHMM*MMLeachEF*NtoN2O*kgtoGg</f>
        <v>6.2883768286960682E-4</v>
      </c>
      <c r="P181" s="22">
        <f>Constants!$H48*'Activity data'!P13*Constants!$H66*FracLEACHMM*MMLeachEF*NtoN2O*kgtoGg</f>
        <v>6.1990682187647121E-4</v>
      </c>
      <c r="Q181" s="22">
        <f>Constants!$H48*'Activity data'!Q13*Constants!$H66*FracLEACHMM*MMLeachEF*NtoN2O*kgtoGg</f>
        <v>6.1071328850118467E-4</v>
      </c>
      <c r="R181" s="22">
        <f>Constants!$H48*'Activity data'!R13*Constants!$H66*FracLEACHMM*MMLeachEF*NtoN2O*kgtoGg</f>
        <v>6.1859345996571587E-4</v>
      </c>
      <c r="S181" s="22">
        <f>Constants!$H48*'Activity data'!S13*Constants!$H66*FracLEACHMM*MMLeachEF*NtoN2O*kgtoGg</f>
        <v>6.3750587148059137E-4</v>
      </c>
      <c r="T181" s="22">
        <f>Constants!$H48*'Activity data'!T13*Constants!$H66*FracLEACHMM*MMLeachEF*NtoN2O*kgtoGg</f>
        <v>5.8208199884672053E-4</v>
      </c>
      <c r="U181" s="22">
        <f>Constants!$H48*'Activity data'!U13*Constants!$H66*FracLEACHMM*MMLeachEF*NtoN2O*kgtoGg</f>
        <v>5.6737234544626167E-4</v>
      </c>
      <c r="V181" s="22">
        <f>Constants!$H48*'Activity data'!V13*Constants!$H66*FracLEACHMM*MMLeachEF*NtoN2O*kgtoGg</f>
        <v>5.6842303497486597E-4</v>
      </c>
      <c r="W181" s="22">
        <f>Constants!$H48*'Activity data'!W13*Constants!$H66*FracLEACHMM*MMLeachEF*NtoN2O*kgtoGg</f>
        <v>5.6106820827463643E-4</v>
      </c>
      <c r="X181" s="22">
        <f>Constants!$H48*'Activity data'!X13*Constants!$H66*FracLEACHMM*MMLeachEF*NtoN2O*kgtoGg</f>
        <v>5.7288846547143355E-4</v>
      </c>
      <c r="Y181" s="22">
        <f>Constants!$H48*'Activity data'!Y13*Constants!$H66*FracLEACHMM*MMLeachEF*NtoN2O*kgtoGg</f>
        <v>5.558147606316157E-4</v>
      </c>
      <c r="Z181" s="22">
        <f>Constants!$H48*'Activity data'!Z13*Constants!$H66*FracLEACHMM*MMLeachEF*NtoN2O*kgtoGg</f>
        <v>5.5528941586731361E-4</v>
      </c>
      <c r="AA181" s="22">
        <f>Constants!$H48*'Activity data'!AA13*Constants!$H66*FracLEACHMM*MMLeachEF*NtoN2O*kgtoGg</f>
        <v>5.4557053772772487E-4</v>
      </c>
      <c r="AB181" s="22">
        <f>Constants!$H48*'Activity data'!AB13*Constants!$H66*FracLEACHMM*MMLeachEF*NtoN2O*kgtoGg</f>
        <v>5.3900372817394858E-4</v>
      </c>
      <c r="AC181" s="22">
        <f>Constants!$H48*'Activity data'!AC13*Constants!$H66*FracLEACHMM*MMLeachEF*NtoN2O*kgtoGg</f>
        <v>5.3401295291307879E-4</v>
      </c>
      <c r="AD181" s="22">
        <f>Constants!$H48*'Activity data'!AD13*Constants!$H66*FracLEACHMM*MMLeachEF*NtoN2O*kgtoGg</f>
        <v>5.3995048160355118E-4</v>
      </c>
      <c r="AE181" s="22">
        <f>Constants!$H48*'Activity data'!AE13*Constants!$H66*FracLEACHMM*MMLeachEF*NtoN2O*kgtoGg</f>
        <v>5.3800380697019358E-4</v>
      </c>
      <c r="AF181" s="22">
        <f>Constants!$H48*'Activity data'!AF13*Constants!$H66*FracLEACHMM*MMLeachEF*NtoN2O*kgtoGg</f>
        <v>5.3607930915642102E-4</v>
      </c>
      <c r="AG181" s="22">
        <f>Constants!$H48*'Activity data'!AG13*Constants!$H66*FracLEACHMM*MMLeachEF*NtoN2O*kgtoGg</f>
        <v>5.341797684097722E-4</v>
      </c>
      <c r="AH181" s="22">
        <f>Constants!$H48*'Activity data'!AH13*Constants!$H66*FracLEACHMM*MMLeachEF*NtoN2O*kgtoGg</f>
        <v>5.3215130711934365E-4</v>
      </c>
      <c r="AI181" s="22">
        <f>Constants!$H48*'Activity data'!AI13*Constants!$H66*FracLEACHMM*MMLeachEF*NtoN2O*kgtoGg</f>
        <v>5.3009376083287341E-4</v>
      </c>
      <c r="AJ181" s="22">
        <f>Constants!$H48*'Activity data'!AJ13*Constants!$H66*FracLEACHMM*MMLeachEF*NtoN2O*kgtoGg</f>
        <v>5.2804801304589177E-4</v>
      </c>
      <c r="AK181" s="22">
        <f>Constants!$H48*'Activity data'!AK13*Constants!$H66*FracLEACHMM*MMLeachEF*NtoN2O*kgtoGg</f>
        <v>5.2601334322838276E-4</v>
      </c>
      <c r="AL181" s="22">
        <f>Constants!$H48*'Activity data'!AL13*Constants!$H66*FracLEACHMM*MMLeachEF*NtoN2O*kgtoGg</f>
        <v>5.2459489677341537E-4</v>
      </c>
      <c r="AM181" s="22">
        <f>Constants!$H48*'Activity data'!AM13*Constants!$H66*FracLEACHMM*MMLeachEF*NtoN2O*kgtoGg</f>
        <v>5.2244155076982244E-4</v>
      </c>
      <c r="AN181" s="22">
        <f>Constants!$H48*'Activity data'!AN13*Constants!$H66*FracLEACHMM*MMLeachEF*NtoN2O*kgtoGg</f>
        <v>5.2029446886603435E-4</v>
      </c>
      <c r="AO181" s="22">
        <f>Constants!$H48*'Activity data'!AO13*Constants!$H66*FracLEACHMM*MMLeachEF*NtoN2O*kgtoGg</f>
        <v>5.1814598085150919E-4</v>
      </c>
      <c r="AP181" s="22">
        <f>Constants!$H48*'Activity data'!AP13*Constants!$H66*FracLEACHMM*MMLeachEF*NtoN2O*kgtoGg</f>
        <v>5.1600288532192948E-4</v>
      </c>
      <c r="AQ181" s="22">
        <f>Constants!$H48*'Activity data'!AQ13*Constants!$H66*FracLEACHMM*MMLeachEF*NtoN2O*kgtoGg</f>
        <v>5.1385353502831623E-4</v>
      </c>
      <c r="AR181" s="22">
        <f>Constants!$H48*'Activity data'!AR13*Constants!$H66*FracLEACHMM*MMLeachEF*NtoN2O*kgtoGg</f>
        <v>5.1150907301252685E-4</v>
      </c>
      <c r="AS181" s="22">
        <f>Constants!$H48*'Activity data'!AS13*Constants!$H66*FracLEACHMM*MMLeachEF*NtoN2O*kgtoGg</f>
        <v>5.0916626941266961E-4</v>
      </c>
      <c r="AT181" s="22">
        <f>Constants!$H48*'Activity data'!AT13*Constants!$H66*FracLEACHMM*MMLeachEF*NtoN2O*kgtoGg</f>
        <v>5.0681499946542716E-4</v>
      </c>
      <c r="AU181" s="22">
        <f>Constants!$H48*'Activity data'!AU13*Constants!$H66*FracLEACHMM*MMLeachEF*NtoN2O*kgtoGg</f>
        <v>5.0445744295363388E-4</v>
      </c>
      <c r="AV181" s="22">
        <f>Constants!$H48*'Activity data'!AV13*Constants!$H66*FracLEACHMM*MMLeachEF*NtoN2O*kgtoGg</f>
        <v>5.0209302608644258E-4</v>
      </c>
      <c r="AW181" s="22">
        <f>Constants!$H48*'Activity data'!AW13*Constants!$H66*FracLEACHMM*MMLeachEF*NtoN2O*kgtoGg</f>
        <v>5.023412017424216E-4</v>
      </c>
      <c r="AX181" s="22">
        <f>Constants!$H48*'Activity data'!AX13*Constants!$H66*FracLEACHMM*MMLeachEF*NtoN2O*kgtoGg</f>
        <v>5.0247735374327456E-4</v>
      </c>
      <c r="AY181" s="22">
        <f>Constants!$H48*'Activity data'!AY13*Constants!$H66*FracLEACHMM*MMLeachEF*NtoN2O*kgtoGg</f>
        <v>5.0257676577900197E-4</v>
      </c>
      <c r="AZ181" s="22">
        <f>Constants!$H48*'Activity data'!AZ13*Constants!$H66*FracLEACHMM*MMLeachEF*NtoN2O*kgtoGg</f>
        <v>5.0262256812382835E-4</v>
      </c>
      <c r="BA181" s="22">
        <f>Constants!$H48*'Activity data'!BA13*Constants!$H66*FracLEACHMM*MMLeachEF*NtoN2O*kgtoGg</f>
        <v>5.0261566375382608E-4</v>
      </c>
      <c r="BB181" s="22">
        <f>Constants!$H48*'Activity data'!BB13*Constants!$H66*FracLEACHMM*MMLeachEF*NtoN2O*kgtoGg</f>
        <v>5.0269727637908756E-4</v>
      </c>
      <c r="BC181" s="22">
        <f>Constants!$H48*'Activity data'!BC13*Constants!$H66*FracLEACHMM*MMLeachEF*NtoN2O*kgtoGg</f>
        <v>5.02709842199772E-4</v>
      </c>
      <c r="BD181" s="22">
        <f>Constants!$H48*'Activity data'!BD13*Constants!$H66*FracLEACHMM*MMLeachEF*NtoN2O*kgtoGg</f>
        <v>5.0263692213484829E-4</v>
      </c>
      <c r="BE181" s="22">
        <f>Constants!$H48*'Activity data'!BE13*Constants!$H66*FracLEACHMM*MMLeachEF*NtoN2O*kgtoGg</f>
        <v>5.0249402277213675E-4</v>
      </c>
      <c r="BF181" s="22">
        <f>Constants!$H48*'Activity data'!BF13*Constants!$H66*FracLEACHMM*MMLeachEF*NtoN2O*kgtoGg</f>
        <v>5.0229423369945857E-4</v>
      </c>
      <c r="BG181" s="22">
        <f>Constants!$H48*'Activity data'!BG13*Constants!$H66*FracLEACHMM*MMLeachEF*NtoN2O*kgtoGg</f>
        <v>5.0387740163239944E-4</v>
      </c>
      <c r="BH181" s="22">
        <f>Constants!$H48*'Activity data'!BH13*Constants!$H66*FracLEACHMM*MMLeachEF*NtoN2O*kgtoGg</f>
        <v>5.0540835249951682E-4</v>
      </c>
      <c r="BI181" s="22">
        <f>Constants!$H48*'Activity data'!BI13*Constants!$H66*FracLEACHMM*MMLeachEF*NtoN2O*kgtoGg</f>
        <v>5.0688476889207174E-4</v>
      </c>
      <c r="BJ181" s="22">
        <f>Constants!$H48*'Activity data'!BJ13*Constants!$H66*FracLEACHMM*MMLeachEF*NtoN2O*kgtoGg</f>
        <v>5.0831005976173667E-4</v>
      </c>
      <c r="BK181" s="22">
        <f>Constants!$H48*'Activity data'!BK13*Constants!$H66*FracLEACHMM*MMLeachEF*NtoN2O*kgtoGg</f>
        <v>5.0969939129513319E-4</v>
      </c>
      <c r="BL181" s="22">
        <f>Constants!$H48*'Activity data'!BL13*Constants!$H66*FracLEACHMM*MMLeachEF*NtoN2O*kgtoGg</f>
        <v>5.108859178193034E-4</v>
      </c>
      <c r="BM181" s="22">
        <f>Constants!$H48*'Activity data'!BM13*Constants!$H66*FracLEACHMM*MMLeachEF*NtoN2O*kgtoGg</f>
        <v>5.1203056264159663E-4</v>
      </c>
      <c r="BN181" s="22">
        <f>Constants!$H48*'Activity data'!BN13*Constants!$H66*FracLEACHMM*MMLeachEF*NtoN2O*kgtoGg</f>
        <v>5.1310288184037804E-4</v>
      </c>
      <c r="BO181" s="22">
        <f>Constants!$H48*'Activity data'!BO13*Constants!$H66*FracLEACHMM*MMLeachEF*NtoN2O*kgtoGg</f>
        <v>5.1413543936750948E-4</v>
      </c>
      <c r="BP181" s="22">
        <f>Constants!$H48*'Activity data'!BP13*Constants!$H66*FracLEACHMM*MMLeachEF*NtoN2O*kgtoGg</f>
        <v>5.1513072928777994E-4</v>
      </c>
    </row>
    <row r="182" spans="1:68" x14ac:dyDescent="0.25">
      <c r="A182" t="str">
        <f t="shared" si="58"/>
        <v>3C Aggregated and non-CO2 emissions on land</v>
      </c>
      <c r="B182" t="str">
        <f t="shared" si="65"/>
        <v>3C6 Indirect N2O from manure management (N2O)</v>
      </c>
      <c r="C182" t="str">
        <f t="shared" si="67"/>
        <v>Leaching/runoff</v>
      </c>
      <c r="D182" t="str">
        <f t="shared" si="66"/>
        <v xml:space="preserve"> - Subsistence goats</v>
      </c>
      <c r="E182" t="str">
        <f t="shared" si="64"/>
        <v>Leaching/runoff - Subsistence goats</v>
      </c>
      <c r="F182" t="str">
        <f t="shared" si="47"/>
        <v>N2O</v>
      </c>
      <c r="G182" t="str">
        <f t="shared" si="48"/>
        <v>Gg N2O</v>
      </c>
      <c r="H182" s="22">
        <f>Constants!$H49*'Activity data'!H14*Constants!$H67*FracLEACHMM*MMLeachEF*NtoN2O*kgtoGg</f>
        <v>9.1435792098573387E-3</v>
      </c>
      <c r="I182" s="22">
        <f>Constants!$H49*'Activity data'!I14*Constants!$H67*FracLEACHMM*MMLeachEF*NtoN2O*kgtoGg</f>
        <v>8.0855082198197752E-3</v>
      </c>
      <c r="J182" s="22">
        <f>Constants!$H49*'Activity data'!J14*Constants!$H67*FracLEACHMM*MMLeachEF*NtoN2O*kgtoGg</f>
        <v>7.5317514399870309E-3</v>
      </c>
      <c r="K182" s="22">
        <f>Constants!$H49*'Activity data'!K14*Constants!$H67*FracLEACHMM*MMLeachEF*NtoN2O*kgtoGg</f>
        <v>7.1164338551124723E-3</v>
      </c>
      <c r="L182" s="22">
        <f>Constants!$H49*'Activity data'!L14*Constants!$H67*FracLEACHMM*MMLeachEF*NtoN2O*kgtoGg</f>
        <v>7.7031523480304998E-3</v>
      </c>
      <c r="M182" s="22">
        <f>Constants!$H49*'Activity data'!M14*Constants!$H67*FracLEACHMM*MMLeachEF*NtoN2O*kgtoGg</f>
        <v>7.808629829903403E-3</v>
      </c>
      <c r="N182" s="22">
        <f>Constants!$H49*'Activity data'!N14*Constants!$H67*FracLEACHMM*MMLeachEF*NtoN2O*kgtoGg</f>
        <v>7.9305881683189496E-3</v>
      </c>
      <c r="O182" s="22">
        <f>Constants!$H49*'Activity data'!O14*Constants!$H67*FracLEACHMM*MMLeachEF*NtoN2O*kgtoGg</f>
        <v>7.8910341126166086E-3</v>
      </c>
      <c r="P182" s="22">
        <f>Constants!$H49*'Activity data'!P14*Constants!$H67*FracLEACHMM*MMLeachEF*NtoN2O*kgtoGg</f>
        <v>7.7789642881266486E-3</v>
      </c>
      <c r="Q182" s="22">
        <f>Constants!$H49*'Activity data'!Q14*Constants!$H67*FracLEACHMM*MMLeachEF*NtoN2O*kgtoGg</f>
        <v>7.6635982923281606E-3</v>
      </c>
      <c r="R182" s="22">
        <f>Constants!$H49*'Activity data'!R14*Constants!$H67*FracLEACHMM*MMLeachEF*NtoN2O*kgtoGg</f>
        <v>7.7624834315840096E-3</v>
      </c>
      <c r="S182" s="22">
        <f>Constants!$H49*'Activity data'!S14*Constants!$H67*FracLEACHMM*MMLeachEF*NtoN2O*kgtoGg</f>
        <v>7.9998077657980407E-3</v>
      </c>
      <c r="T182" s="22">
        <f>Constants!$H49*'Activity data'!T14*Constants!$H67*FracLEACHMM*MMLeachEF*NtoN2O*kgtoGg</f>
        <v>7.3043156196985837E-3</v>
      </c>
      <c r="U182" s="22">
        <f>Constants!$H49*'Activity data'!U14*Constants!$H67*FracLEACHMM*MMLeachEF*NtoN2O*kgtoGg</f>
        <v>7.1197300264210003E-3</v>
      </c>
      <c r="V182" s="22">
        <f>Constants!$H49*'Activity data'!V14*Constants!$H67*FracLEACHMM*MMLeachEF*NtoN2O*kgtoGg</f>
        <v>7.1329147116551139E-3</v>
      </c>
      <c r="W182" s="22">
        <f>Constants!$H49*'Activity data'!W14*Constants!$H67*FracLEACHMM*MMLeachEF*NtoN2O*kgtoGg</f>
        <v>7.0406219150163226E-3</v>
      </c>
      <c r="X182" s="22">
        <f>Constants!$H49*'Activity data'!X14*Constants!$H67*FracLEACHMM*MMLeachEF*NtoN2O*kgtoGg</f>
        <v>7.1889496239000948E-3</v>
      </c>
      <c r="Y182" s="22">
        <f>Constants!$H49*'Activity data'!Y14*Constants!$H67*FracLEACHMM*MMLeachEF*NtoN2O*kgtoGg</f>
        <v>6.9746984888457595E-3</v>
      </c>
      <c r="Z182" s="22">
        <f>Constants!$H49*'Activity data'!Z14*Constants!$H67*FracLEACHMM*MMLeachEF*NtoN2O*kgtoGg</f>
        <v>6.9681061462287001E-3</v>
      </c>
      <c r="AA182" s="22">
        <f>Constants!$H49*'Activity data'!AA14*Constants!$H67*FracLEACHMM*MMLeachEF*NtoN2O*kgtoGg</f>
        <v>6.846147807813157E-3</v>
      </c>
      <c r="AB182" s="22">
        <f>Constants!$H49*'Activity data'!AB14*Constants!$H67*FracLEACHMM*MMLeachEF*NtoN2O*kgtoGg</f>
        <v>6.7637435250999514E-3</v>
      </c>
      <c r="AC182" s="22">
        <f>Constants!$H49*'Activity data'!AC14*Constants!$H67*FracLEACHMM*MMLeachEF*NtoN2O*kgtoGg</f>
        <v>6.7011162702379145E-3</v>
      </c>
      <c r="AD182" s="22">
        <f>Constants!$H49*'Activity data'!AD14*Constants!$H67*FracLEACHMM*MMLeachEF*NtoN2O*kgtoGg</f>
        <v>6.7748388322283453E-3</v>
      </c>
      <c r="AE182" s="22">
        <f>Constants!$H49*'Activity data'!AE14*Constants!$H67*FracLEACHMM*MMLeachEF*NtoN2O*kgtoGg</f>
        <v>6.7504136166778054E-3</v>
      </c>
      <c r="AF182" s="22">
        <f>Constants!$H49*'Activity data'!AF14*Constants!$H67*FracLEACHMM*MMLeachEF*NtoN2O*kgtoGg</f>
        <v>6.7262666569740852E-3</v>
      </c>
      <c r="AG182" s="22">
        <f>Constants!$H49*'Activity data'!AG14*Constants!$H67*FracLEACHMM*MMLeachEF*NtoN2O*kgtoGg</f>
        <v>6.702432837295701E-3</v>
      </c>
      <c r="AH182" s="22">
        <f>Constants!$H49*'Activity data'!AH14*Constants!$H67*FracLEACHMM*MMLeachEF*NtoN2O*kgtoGg</f>
        <v>6.6769814324200982E-3</v>
      </c>
      <c r="AI182" s="22">
        <f>Constants!$H49*'Activity data'!AI14*Constants!$H67*FracLEACHMM*MMLeachEF*NtoN2O*kgtoGg</f>
        <v>6.6511650937823618E-3</v>
      </c>
      <c r="AJ182" s="22">
        <f>Constants!$H49*'Activity data'!AJ14*Constants!$H67*FracLEACHMM*MMLeachEF*NtoN2O*kgtoGg</f>
        <v>6.625496792668847E-3</v>
      </c>
      <c r="AK182" s="22">
        <f>Constants!$H49*'Activity data'!AK14*Constants!$H67*FracLEACHMM*MMLeachEF*NtoN2O*kgtoGg</f>
        <v>6.5999674884824966E-3</v>
      </c>
      <c r="AL182" s="22">
        <f>Constants!$H49*'Activity data'!AL14*Constants!$H67*FracLEACHMM*MMLeachEF*NtoN2O*kgtoGg</f>
        <v>6.5821700302859405E-3</v>
      </c>
      <c r="AM182" s="22">
        <f>Constants!$H49*'Activity data'!AM14*Constants!$H67*FracLEACHMM*MMLeachEF*NtoN2O*kgtoGg</f>
        <v>6.5551516783788552E-3</v>
      </c>
      <c r="AN182" s="22">
        <f>Constants!$H49*'Activity data'!AN14*Constants!$H67*FracLEACHMM*MMLeachEF*NtoN2O*kgtoGg</f>
        <v>6.5282119230617407E-3</v>
      </c>
      <c r="AO182" s="22">
        <f>Constants!$H49*'Activity data'!AO14*Constants!$H67*FracLEACHMM*MMLeachEF*NtoN2O*kgtoGg</f>
        <v>6.5012545250645124E-3</v>
      </c>
      <c r="AP182" s="22">
        <f>Constants!$H49*'Activity data'!AP14*Constants!$H67*FracLEACHMM*MMLeachEF*NtoN2O*kgtoGg</f>
        <v>6.4743647873762491E-3</v>
      </c>
      <c r="AQ182" s="22">
        <f>Constants!$H49*'Activity data'!AQ14*Constants!$H67*FracLEACHMM*MMLeachEF*NtoN2O*kgtoGg</f>
        <v>6.4473965702353192E-3</v>
      </c>
      <c r="AR182" s="22">
        <f>Constants!$H49*'Activity data'!AR14*Constants!$H67*FracLEACHMM*MMLeachEF*NtoN2O*kgtoGg</f>
        <v>6.4179802573577317E-3</v>
      </c>
      <c r="AS182" s="22">
        <f>Constants!$H49*'Activity data'!AS14*Constants!$H67*FracLEACHMM*MMLeachEF*NtoN2O*kgtoGg</f>
        <v>6.3885847528709879E-3</v>
      </c>
      <c r="AT182" s="22">
        <f>Constants!$H49*'Activity data'!AT14*Constants!$H67*FracLEACHMM*MMLeachEF*NtoN2O*kgtoGg</f>
        <v>6.3590830198670244E-3</v>
      </c>
      <c r="AU182" s="22">
        <f>Constants!$H49*'Activity data'!AU14*Constants!$H67*FracLEACHMM*MMLeachEF*NtoN2O*kgtoGg</f>
        <v>6.3295024084045878E-3</v>
      </c>
      <c r="AV182" s="22">
        <f>Constants!$H49*'Activity data'!AV14*Constants!$H67*FracLEACHMM*MMLeachEF*NtoN2O*kgtoGg</f>
        <v>6.3295024084045878E-3</v>
      </c>
      <c r="AW182" s="22">
        <f>Constants!$H49*'Activity data'!AW14*Constants!$H67*FracLEACHMM*MMLeachEF*NtoN2O*kgtoGg</f>
        <v>6.3295024084045878E-3</v>
      </c>
      <c r="AX182" s="22">
        <f>Constants!$H49*'Activity data'!AX14*Constants!$H67*FracLEACHMM*MMLeachEF*NtoN2O*kgtoGg</f>
        <v>6.3295024084045878E-3</v>
      </c>
      <c r="AY182" s="22">
        <f>Constants!$H49*'Activity data'!AY14*Constants!$H67*FracLEACHMM*MMLeachEF*NtoN2O*kgtoGg</f>
        <v>6.3295024084045878E-3</v>
      </c>
      <c r="AZ182" s="22">
        <f>Constants!$H49*'Activity data'!AZ14*Constants!$H67*FracLEACHMM*MMLeachEF*NtoN2O*kgtoGg</f>
        <v>6.3295024084045878E-3</v>
      </c>
      <c r="BA182" s="22">
        <f>Constants!$H49*'Activity data'!BA14*Constants!$H67*FracLEACHMM*MMLeachEF*NtoN2O*kgtoGg</f>
        <v>6.3295024084045878E-3</v>
      </c>
      <c r="BB182" s="22">
        <f>Constants!$H49*'Activity data'!BB14*Constants!$H67*FracLEACHMM*MMLeachEF*NtoN2O*kgtoGg</f>
        <v>6.3295024084045878E-3</v>
      </c>
      <c r="BC182" s="22">
        <f>Constants!$H49*'Activity data'!BC14*Constants!$H67*FracLEACHMM*MMLeachEF*NtoN2O*kgtoGg</f>
        <v>6.3295024084045878E-3</v>
      </c>
      <c r="BD182" s="22">
        <f>Constants!$H49*'Activity data'!BD14*Constants!$H67*FracLEACHMM*MMLeachEF*NtoN2O*kgtoGg</f>
        <v>6.3295024084045878E-3</v>
      </c>
      <c r="BE182" s="22">
        <f>Constants!$H49*'Activity data'!BE14*Constants!$H67*FracLEACHMM*MMLeachEF*NtoN2O*kgtoGg</f>
        <v>6.3295024084045878E-3</v>
      </c>
      <c r="BF182" s="22">
        <f>Constants!$H49*'Activity data'!BF14*Constants!$H67*FracLEACHMM*MMLeachEF*NtoN2O*kgtoGg</f>
        <v>6.3295024084045878E-3</v>
      </c>
      <c r="BG182" s="22">
        <f>Constants!$H49*'Activity data'!BG14*Constants!$H67*FracLEACHMM*MMLeachEF*NtoN2O*kgtoGg</f>
        <v>6.3295024084045878E-3</v>
      </c>
      <c r="BH182" s="22">
        <f>Constants!$H49*'Activity data'!BH14*Constants!$H67*FracLEACHMM*MMLeachEF*NtoN2O*kgtoGg</f>
        <v>6.3295024084045878E-3</v>
      </c>
      <c r="BI182" s="22">
        <f>Constants!$H49*'Activity data'!BI14*Constants!$H67*FracLEACHMM*MMLeachEF*NtoN2O*kgtoGg</f>
        <v>6.3295024084045878E-3</v>
      </c>
      <c r="BJ182" s="22">
        <f>Constants!$H49*'Activity data'!BJ14*Constants!$H67*FracLEACHMM*MMLeachEF*NtoN2O*kgtoGg</f>
        <v>6.3295024084045878E-3</v>
      </c>
      <c r="BK182" s="22">
        <f>Constants!$H49*'Activity data'!BK14*Constants!$H67*FracLEACHMM*MMLeachEF*NtoN2O*kgtoGg</f>
        <v>6.3295024084045878E-3</v>
      </c>
      <c r="BL182" s="22">
        <f>Constants!$H49*'Activity data'!BL14*Constants!$H67*FracLEACHMM*MMLeachEF*NtoN2O*kgtoGg</f>
        <v>6.3295024084045878E-3</v>
      </c>
      <c r="BM182" s="22">
        <f>Constants!$H49*'Activity data'!BM14*Constants!$H67*FracLEACHMM*MMLeachEF*NtoN2O*kgtoGg</f>
        <v>6.3295024084045878E-3</v>
      </c>
      <c r="BN182" s="22">
        <f>Constants!$H49*'Activity data'!BN14*Constants!$H67*FracLEACHMM*MMLeachEF*NtoN2O*kgtoGg</f>
        <v>6.3295024084045878E-3</v>
      </c>
      <c r="BO182" s="22">
        <f>Constants!$H49*'Activity data'!BO14*Constants!$H67*FracLEACHMM*MMLeachEF*NtoN2O*kgtoGg</f>
        <v>6.3295024084045878E-3</v>
      </c>
      <c r="BP182" s="22">
        <f>Constants!$H49*'Activity data'!BP14*Constants!$H67*FracLEACHMM*MMLeachEF*NtoN2O*kgtoGg</f>
        <v>6.3295024084045878E-3</v>
      </c>
    </row>
    <row r="183" spans="1:68" x14ac:dyDescent="0.25">
      <c r="A183" t="str">
        <f t="shared" si="58"/>
        <v>3C Aggregated and non-CO2 emissions on land</v>
      </c>
      <c r="B183" t="str">
        <f t="shared" si="65"/>
        <v>3C6 Indirect N2O from manure management (N2O)</v>
      </c>
      <c r="C183" t="str">
        <f t="shared" si="67"/>
        <v>Leaching/runoff</v>
      </c>
      <c r="D183" t="str">
        <f t="shared" si="66"/>
        <v xml:space="preserve"> - Horses</v>
      </c>
      <c r="E183" t="str">
        <f t="shared" si="64"/>
        <v>Leaching/runoff - Horses</v>
      </c>
      <c r="F183" t="str">
        <f t="shared" si="47"/>
        <v>N2O</v>
      </c>
      <c r="G183" t="str">
        <f t="shared" si="48"/>
        <v>Gg N2O</v>
      </c>
      <c r="H183" s="22">
        <f>Constants!$H50*'Activity data'!H15*Constants!$H68*FracLEACHMM*MMLeachEF*NtoN2O*kgtoGg</f>
        <v>0</v>
      </c>
      <c r="I183" s="22">
        <f>Constants!$H50*'Activity data'!I15*Constants!$H68*FracLEACHMM*MMLeachEF*NtoN2O*kgtoGg</f>
        <v>0</v>
      </c>
      <c r="J183" s="22">
        <f>Constants!$H50*'Activity data'!J15*Constants!$H68*FracLEACHMM*MMLeachEF*NtoN2O*kgtoGg</f>
        <v>0</v>
      </c>
      <c r="K183" s="22">
        <f>Constants!$H50*'Activity data'!K15*Constants!$H68*FracLEACHMM*MMLeachEF*NtoN2O*kgtoGg</f>
        <v>0</v>
      </c>
      <c r="L183" s="22">
        <f>Constants!$H50*'Activity data'!L15*Constants!$H68*FracLEACHMM*MMLeachEF*NtoN2O*kgtoGg</f>
        <v>0</v>
      </c>
      <c r="M183" s="22">
        <f>Constants!$H50*'Activity data'!M15*Constants!$H68*FracLEACHMM*MMLeachEF*NtoN2O*kgtoGg</f>
        <v>0</v>
      </c>
      <c r="N183" s="22">
        <f>Constants!$H50*'Activity data'!N15*Constants!$H68*FracLEACHMM*MMLeachEF*NtoN2O*kgtoGg</f>
        <v>0</v>
      </c>
      <c r="O183" s="22">
        <f>Constants!$H50*'Activity data'!O15*Constants!$H68*FracLEACHMM*MMLeachEF*NtoN2O*kgtoGg</f>
        <v>0</v>
      </c>
      <c r="P183" s="22">
        <f>Constants!$H50*'Activity data'!P15*Constants!$H68*FracLEACHMM*MMLeachEF*NtoN2O*kgtoGg</f>
        <v>0</v>
      </c>
      <c r="Q183" s="22">
        <f>Constants!$H50*'Activity data'!Q15*Constants!$H68*FracLEACHMM*MMLeachEF*NtoN2O*kgtoGg</f>
        <v>0</v>
      </c>
      <c r="R183" s="22">
        <f>Constants!$H50*'Activity data'!R15*Constants!$H68*FracLEACHMM*MMLeachEF*NtoN2O*kgtoGg</f>
        <v>0</v>
      </c>
      <c r="S183" s="22">
        <f>Constants!$H50*'Activity data'!S15*Constants!$H68*FracLEACHMM*MMLeachEF*NtoN2O*kgtoGg</f>
        <v>0</v>
      </c>
      <c r="T183" s="22">
        <f>Constants!$H50*'Activity data'!T15*Constants!$H68*FracLEACHMM*MMLeachEF*NtoN2O*kgtoGg</f>
        <v>0</v>
      </c>
      <c r="U183" s="22">
        <f>Constants!$H50*'Activity data'!U15*Constants!$H68*FracLEACHMM*MMLeachEF*NtoN2O*kgtoGg</f>
        <v>0</v>
      </c>
      <c r="V183" s="22">
        <f>Constants!$H50*'Activity data'!V15*Constants!$H68*FracLEACHMM*MMLeachEF*NtoN2O*kgtoGg</f>
        <v>0</v>
      </c>
      <c r="W183" s="22">
        <f>Constants!$H50*'Activity data'!W15*Constants!$H68*FracLEACHMM*MMLeachEF*NtoN2O*kgtoGg</f>
        <v>0</v>
      </c>
      <c r="X183" s="22">
        <f>Constants!$H50*'Activity data'!X15*Constants!$H68*FracLEACHMM*MMLeachEF*NtoN2O*kgtoGg</f>
        <v>0</v>
      </c>
      <c r="Y183" s="22">
        <f>Constants!$H50*'Activity data'!Y15*Constants!$H68*FracLEACHMM*MMLeachEF*NtoN2O*kgtoGg</f>
        <v>0</v>
      </c>
      <c r="Z183" s="22">
        <f>Constants!$H50*'Activity data'!Z15*Constants!$H68*FracLEACHMM*MMLeachEF*NtoN2O*kgtoGg</f>
        <v>0</v>
      </c>
      <c r="AA183" s="22">
        <f>Constants!$H50*'Activity data'!AA15*Constants!$H68*FracLEACHMM*MMLeachEF*NtoN2O*kgtoGg</f>
        <v>0</v>
      </c>
      <c r="AB183" s="22">
        <f>Constants!$H50*'Activity data'!AB15*Constants!$H68*FracLEACHMM*MMLeachEF*NtoN2O*kgtoGg</f>
        <v>0</v>
      </c>
      <c r="AC183" s="22">
        <f>Constants!$H50*'Activity data'!AC15*Constants!$H68*FracLEACHMM*MMLeachEF*NtoN2O*kgtoGg</f>
        <v>0</v>
      </c>
      <c r="AD183" s="22">
        <f>Constants!$H50*'Activity data'!AD15*Constants!$H68*FracLEACHMM*MMLeachEF*NtoN2O*kgtoGg</f>
        <v>0</v>
      </c>
      <c r="AE183" s="22">
        <f>Constants!$H50*'Activity data'!AE15*Constants!$H68*FracLEACHMM*MMLeachEF*NtoN2O*kgtoGg</f>
        <v>0</v>
      </c>
      <c r="AF183" s="22">
        <f>Constants!$H50*'Activity data'!AF15*Constants!$H68*FracLEACHMM*MMLeachEF*NtoN2O*kgtoGg</f>
        <v>0</v>
      </c>
      <c r="AG183" s="22">
        <f>Constants!$H50*'Activity data'!AG15*Constants!$H68*FracLEACHMM*MMLeachEF*NtoN2O*kgtoGg</f>
        <v>0</v>
      </c>
      <c r="AH183" s="22">
        <f>Constants!$H50*'Activity data'!AH15*Constants!$H68*FracLEACHMM*MMLeachEF*NtoN2O*kgtoGg</f>
        <v>0</v>
      </c>
      <c r="AI183" s="22">
        <f>Constants!$H50*'Activity data'!AI15*Constants!$H68*FracLEACHMM*MMLeachEF*NtoN2O*kgtoGg</f>
        <v>0</v>
      </c>
      <c r="AJ183" s="22">
        <f>Constants!$H50*'Activity data'!AJ15*Constants!$H68*FracLEACHMM*MMLeachEF*NtoN2O*kgtoGg</f>
        <v>0</v>
      </c>
      <c r="AK183" s="22">
        <f>Constants!$H50*'Activity data'!AK15*Constants!$H68*FracLEACHMM*MMLeachEF*NtoN2O*kgtoGg</f>
        <v>0</v>
      </c>
      <c r="AL183" s="22">
        <f>Constants!$H50*'Activity data'!AL15*Constants!$H68*FracLEACHMM*MMLeachEF*NtoN2O*kgtoGg</f>
        <v>0</v>
      </c>
      <c r="AM183" s="22">
        <f>Constants!$H50*'Activity data'!AM15*Constants!$H68*FracLEACHMM*MMLeachEF*NtoN2O*kgtoGg</f>
        <v>0</v>
      </c>
      <c r="AN183" s="22">
        <f>Constants!$H50*'Activity data'!AN15*Constants!$H68*FracLEACHMM*MMLeachEF*NtoN2O*kgtoGg</f>
        <v>0</v>
      </c>
      <c r="AO183" s="22">
        <f>Constants!$H50*'Activity data'!AO15*Constants!$H68*FracLEACHMM*MMLeachEF*NtoN2O*kgtoGg</f>
        <v>0</v>
      </c>
      <c r="AP183" s="22">
        <f>Constants!$H50*'Activity data'!AP15*Constants!$H68*FracLEACHMM*MMLeachEF*NtoN2O*kgtoGg</f>
        <v>0</v>
      </c>
      <c r="AQ183" s="22">
        <f>Constants!$H50*'Activity data'!AQ15*Constants!$H68*FracLEACHMM*MMLeachEF*NtoN2O*kgtoGg</f>
        <v>0</v>
      </c>
      <c r="AR183" s="22">
        <f>Constants!$H50*'Activity data'!AR15*Constants!$H68*FracLEACHMM*MMLeachEF*NtoN2O*kgtoGg</f>
        <v>0</v>
      </c>
      <c r="AS183" s="22">
        <f>Constants!$H50*'Activity data'!AS15*Constants!$H68*FracLEACHMM*MMLeachEF*NtoN2O*kgtoGg</f>
        <v>0</v>
      </c>
      <c r="AT183" s="22">
        <f>Constants!$H50*'Activity data'!AT15*Constants!$H68*FracLEACHMM*MMLeachEF*NtoN2O*kgtoGg</f>
        <v>0</v>
      </c>
      <c r="AU183" s="22">
        <f>Constants!$H50*'Activity data'!AU15*Constants!$H68*FracLEACHMM*MMLeachEF*NtoN2O*kgtoGg</f>
        <v>0</v>
      </c>
      <c r="AV183" s="22">
        <f>Constants!$H50*'Activity data'!AV15*Constants!$H68*FracLEACHMM*MMLeachEF*NtoN2O*kgtoGg</f>
        <v>0</v>
      </c>
      <c r="AW183" s="22">
        <f>Constants!$H50*'Activity data'!AW15*Constants!$H68*FracLEACHMM*MMLeachEF*NtoN2O*kgtoGg</f>
        <v>0</v>
      </c>
      <c r="AX183" s="22">
        <f>Constants!$H50*'Activity data'!AX15*Constants!$H68*FracLEACHMM*MMLeachEF*NtoN2O*kgtoGg</f>
        <v>0</v>
      </c>
      <c r="AY183" s="22">
        <f>Constants!$H50*'Activity data'!AY15*Constants!$H68*FracLEACHMM*MMLeachEF*NtoN2O*kgtoGg</f>
        <v>0</v>
      </c>
      <c r="AZ183" s="22">
        <f>Constants!$H50*'Activity data'!AZ15*Constants!$H68*FracLEACHMM*MMLeachEF*NtoN2O*kgtoGg</f>
        <v>0</v>
      </c>
      <c r="BA183" s="22">
        <f>Constants!$H50*'Activity data'!BA15*Constants!$H68*FracLEACHMM*MMLeachEF*NtoN2O*kgtoGg</f>
        <v>0</v>
      </c>
      <c r="BB183" s="22">
        <f>Constants!$H50*'Activity data'!BB15*Constants!$H68*FracLEACHMM*MMLeachEF*NtoN2O*kgtoGg</f>
        <v>0</v>
      </c>
      <c r="BC183" s="22">
        <f>Constants!$H50*'Activity data'!BC15*Constants!$H68*FracLEACHMM*MMLeachEF*NtoN2O*kgtoGg</f>
        <v>0</v>
      </c>
      <c r="BD183" s="22">
        <f>Constants!$H50*'Activity data'!BD15*Constants!$H68*FracLEACHMM*MMLeachEF*NtoN2O*kgtoGg</f>
        <v>0</v>
      </c>
      <c r="BE183" s="22">
        <f>Constants!$H50*'Activity data'!BE15*Constants!$H68*FracLEACHMM*MMLeachEF*NtoN2O*kgtoGg</f>
        <v>0</v>
      </c>
      <c r="BF183" s="22">
        <f>Constants!$H50*'Activity data'!BF15*Constants!$H68*FracLEACHMM*MMLeachEF*NtoN2O*kgtoGg</f>
        <v>0</v>
      </c>
      <c r="BG183" s="22">
        <f>Constants!$H50*'Activity data'!BG15*Constants!$H68*FracLEACHMM*MMLeachEF*NtoN2O*kgtoGg</f>
        <v>0</v>
      </c>
      <c r="BH183" s="22">
        <f>Constants!$H50*'Activity data'!BH15*Constants!$H68*FracLEACHMM*MMLeachEF*NtoN2O*kgtoGg</f>
        <v>0</v>
      </c>
      <c r="BI183" s="22">
        <f>Constants!$H50*'Activity data'!BI15*Constants!$H68*FracLEACHMM*MMLeachEF*NtoN2O*kgtoGg</f>
        <v>0</v>
      </c>
      <c r="BJ183" s="22">
        <f>Constants!$H50*'Activity data'!BJ15*Constants!$H68*FracLEACHMM*MMLeachEF*NtoN2O*kgtoGg</f>
        <v>0</v>
      </c>
      <c r="BK183" s="22">
        <f>Constants!$H50*'Activity data'!BK15*Constants!$H68*FracLEACHMM*MMLeachEF*NtoN2O*kgtoGg</f>
        <v>0</v>
      </c>
      <c r="BL183" s="22">
        <f>Constants!$H50*'Activity data'!BL15*Constants!$H68*FracLEACHMM*MMLeachEF*NtoN2O*kgtoGg</f>
        <v>0</v>
      </c>
      <c r="BM183" s="22">
        <f>Constants!$H50*'Activity data'!BM15*Constants!$H68*FracLEACHMM*MMLeachEF*NtoN2O*kgtoGg</f>
        <v>0</v>
      </c>
      <c r="BN183" s="22">
        <f>Constants!$H50*'Activity data'!BN15*Constants!$H68*FracLEACHMM*MMLeachEF*NtoN2O*kgtoGg</f>
        <v>0</v>
      </c>
      <c r="BO183" s="22">
        <f>Constants!$H50*'Activity data'!BO15*Constants!$H68*FracLEACHMM*MMLeachEF*NtoN2O*kgtoGg</f>
        <v>0</v>
      </c>
      <c r="BP183" s="22">
        <f>Constants!$H50*'Activity data'!BP15*Constants!$H68*FracLEACHMM*MMLeachEF*NtoN2O*kgtoGg</f>
        <v>0</v>
      </c>
    </row>
    <row r="184" spans="1:68" x14ac:dyDescent="0.25">
      <c r="A184" t="str">
        <f t="shared" si="58"/>
        <v>3C Aggregated and non-CO2 emissions on land</v>
      </c>
      <c r="B184" t="str">
        <f t="shared" si="65"/>
        <v>3C6 Indirect N2O from manure management (N2O)</v>
      </c>
      <c r="C184" t="str">
        <f t="shared" si="67"/>
        <v>Leaching/runoff</v>
      </c>
      <c r="D184" t="str">
        <f t="shared" si="66"/>
        <v xml:space="preserve"> - Mules &amp; Asses</v>
      </c>
      <c r="E184" t="str">
        <f t="shared" si="64"/>
        <v>Leaching/runoff - Mules &amp; Asses</v>
      </c>
      <c r="F184" t="str">
        <f t="shared" si="47"/>
        <v>N2O</v>
      </c>
      <c r="G184" t="str">
        <f t="shared" si="48"/>
        <v>Gg N2O</v>
      </c>
      <c r="H184" s="22">
        <f>Constants!$H51*'Activity data'!H16*Constants!$H69*FracLEACHMM*MMLeachEF*NtoN2O*kgtoGg</f>
        <v>0</v>
      </c>
      <c r="I184" s="22">
        <f>Constants!$H51*'Activity data'!I16*Constants!$H69*FracLEACHMM*MMLeachEF*NtoN2O*kgtoGg</f>
        <v>0</v>
      </c>
      <c r="J184" s="22">
        <f>Constants!$H51*'Activity data'!J16*Constants!$H69*FracLEACHMM*MMLeachEF*NtoN2O*kgtoGg</f>
        <v>0</v>
      </c>
      <c r="K184" s="22">
        <f>Constants!$H51*'Activity data'!K16*Constants!$H69*FracLEACHMM*MMLeachEF*NtoN2O*kgtoGg</f>
        <v>0</v>
      </c>
      <c r="L184" s="22">
        <f>Constants!$H51*'Activity data'!L16*Constants!$H69*FracLEACHMM*MMLeachEF*NtoN2O*kgtoGg</f>
        <v>0</v>
      </c>
      <c r="M184" s="22">
        <f>Constants!$H51*'Activity data'!M16*Constants!$H69*FracLEACHMM*MMLeachEF*NtoN2O*kgtoGg</f>
        <v>0</v>
      </c>
      <c r="N184" s="22">
        <f>Constants!$H51*'Activity data'!N16*Constants!$H69*FracLEACHMM*MMLeachEF*NtoN2O*kgtoGg</f>
        <v>0</v>
      </c>
      <c r="O184" s="22">
        <f>Constants!$H51*'Activity data'!O16*Constants!$H69*FracLEACHMM*MMLeachEF*NtoN2O*kgtoGg</f>
        <v>0</v>
      </c>
      <c r="P184" s="22">
        <f>Constants!$H51*'Activity data'!P16*Constants!$H69*FracLEACHMM*MMLeachEF*NtoN2O*kgtoGg</f>
        <v>0</v>
      </c>
      <c r="Q184" s="22">
        <f>Constants!$H51*'Activity data'!Q16*Constants!$H69*FracLEACHMM*MMLeachEF*NtoN2O*kgtoGg</f>
        <v>0</v>
      </c>
      <c r="R184" s="22">
        <f>Constants!$H51*'Activity data'!R16*Constants!$H69*FracLEACHMM*MMLeachEF*NtoN2O*kgtoGg</f>
        <v>0</v>
      </c>
      <c r="S184" s="22">
        <f>Constants!$H51*'Activity data'!S16*Constants!$H69*FracLEACHMM*MMLeachEF*NtoN2O*kgtoGg</f>
        <v>0</v>
      </c>
      <c r="T184" s="22">
        <f>Constants!$H51*'Activity data'!T16*Constants!$H69*FracLEACHMM*MMLeachEF*NtoN2O*kgtoGg</f>
        <v>0</v>
      </c>
      <c r="U184" s="22">
        <f>Constants!$H51*'Activity data'!U16*Constants!$H69*FracLEACHMM*MMLeachEF*NtoN2O*kgtoGg</f>
        <v>0</v>
      </c>
      <c r="V184" s="22">
        <f>Constants!$H51*'Activity data'!V16*Constants!$H69*FracLEACHMM*MMLeachEF*NtoN2O*kgtoGg</f>
        <v>0</v>
      </c>
      <c r="W184" s="22">
        <f>Constants!$H51*'Activity data'!W16*Constants!$H69*FracLEACHMM*MMLeachEF*NtoN2O*kgtoGg</f>
        <v>0</v>
      </c>
      <c r="X184" s="22">
        <f>Constants!$H51*'Activity data'!X16*Constants!$H69*FracLEACHMM*MMLeachEF*NtoN2O*kgtoGg</f>
        <v>0</v>
      </c>
      <c r="Y184" s="22">
        <f>Constants!$H51*'Activity data'!Y16*Constants!$H69*FracLEACHMM*MMLeachEF*NtoN2O*kgtoGg</f>
        <v>0</v>
      </c>
      <c r="Z184" s="22">
        <f>Constants!$H51*'Activity data'!Z16*Constants!$H69*FracLEACHMM*MMLeachEF*NtoN2O*kgtoGg</f>
        <v>0</v>
      </c>
      <c r="AA184" s="22">
        <f>Constants!$H51*'Activity data'!AA16*Constants!$H69*FracLEACHMM*MMLeachEF*NtoN2O*kgtoGg</f>
        <v>0</v>
      </c>
      <c r="AB184" s="22">
        <f>Constants!$H51*'Activity data'!AB16*Constants!$H69*FracLEACHMM*MMLeachEF*NtoN2O*kgtoGg</f>
        <v>0</v>
      </c>
      <c r="AC184" s="22">
        <f>Constants!$H51*'Activity data'!AC16*Constants!$H69*FracLEACHMM*MMLeachEF*NtoN2O*kgtoGg</f>
        <v>0</v>
      </c>
      <c r="AD184" s="22">
        <f>Constants!$H51*'Activity data'!AD16*Constants!$H69*FracLEACHMM*MMLeachEF*NtoN2O*kgtoGg</f>
        <v>0</v>
      </c>
      <c r="AE184" s="22">
        <f>Constants!$H51*'Activity data'!AE16*Constants!$H69*FracLEACHMM*MMLeachEF*NtoN2O*kgtoGg</f>
        <v>0</v>
      </c>
      <c r="AF184" s="22">
        <f>Constants!$H51*'Activity data'!AF16*Constants!$H69*FracLEACHMM*MMLeachEF*NtoN2O*kgtoGg</f>
        <v>0</v>
      </c>
      <c r="AG184" s="22">
        <f>Constants!$H51*'Activity data'!AG16*Constants!$H69*FracLEACHMM*MMLeachEF*NtoN2O*kgtoGg</f>
        <v>0</v>
      </c>
      <c r="AH184" s="22">
        <f>Constants!$H51*'Activity data'!AH16*Constants!$H69*FracLEACHMM*MMLeachEF*NtoN2O*kgtoGg</f>
        <v>0</v>
      </c>
      <c r="AI184" s="22">
        <f>Constants!$H51*'Activity data'!AI16*Constants!$H69*FracLEACHMM*MMLeachEF*NtoN2O*kgtoGg</f>
        <v>0</v>
      </c>
      <c r="AJ184" s="22">
        <f>Constants!$H51*'Activity data'!AJ16*Constants!$H69*FracLEACHMM*MMLeachEF*NtoN2O*kgtoGg</f>
        <v>0</v>
      </c>
      <c r="AK184" s="22">
        <f>Constants!$H51*'Activity data'!AK16*Constants!$H69*FracLEACHMM*MMLeachEF*NtoN2O*kgtoGg</f>
        <v>0</v>
      </c>
      <c r="AL184" s="22">
        <f>Constants!$H51*'Activity data'!AL16*Constants!$H69*FracLEACHMM*MMLeachEF*NtoN2O*kgtoGg</f>
        <v>0</v>
      </c>
      <c r="AM184" s="22">
        <f>Constants!$H51*'Activity data'!AM16*Constants!$H69*FracLEACHMM*MMLeachEF*NtoN2O*kgtoGg</f>
        <v>0</v>
      </c>
      <c r="AN184" s="22">
        <f>Constants!$H51*'Activity data'!AN16*Constants!$H69*FracLEACHMM*MMLeachEF*NtoN2O*kgtoGg</f>
        <v>0</v>
      </c>
      <c r="AO184" s="22">
        <f>Constants!$H51*'Activity data'!AO16*Constants!$H69*FracLEACHMM*MMLeachEF*NtoN2O*kgtoGg</f>
        <v>0</v>
      </c>
      <c r="AP184" s="22">
        <f>Constants!$H51*'Activity data'!AP16*Constants!$H69*FracLEACHMM*MMLeachEF*NtoN2O*kgtoGg</f>
        <v>0</v>
      </c>
      <c r="AQ184" s="22">
        <f>Constants!$H51*'Activity data'!AQ16*Constants!$H69*FracLEACHMM*MMLeachEF*NtoN2O*kgtoGg</f>
        <v>0</v>
      </c>
      <c r="AR184" s="22">
        <f>Constants!$H51*'Activity data'!AR16*Constants!$H69*FracLEACHMM*MMLeachEF*NtoN2O*kgtoGg</f>
        <v>0</v>
      </c>
      <c r="AS184" s="22">
        <f>Constants!$H51*'Activity data'!AS16*Constants!$H69*FracLEACHMM*MMLeachEF*NtoN2O*kgtoGg</f>
        <v>0</v>
      </c>
      <c r="AT184" s="22">
        <f>Constants!$H51*'Activity data'!AT16*Constants!$H69*FracLEACHMM*MMLeachEF*NtoN2O*kgtoGg</f>
        <v>0</v>
      </c>
      <c r="AU184" s="22">
        <f>Constants!$H51*'Activity data'!AU16*Constants!$H69*FracLEACHMM*MMLeachEF*NtoN2O*kgtoGg</f>
        <v>0</v>
      </c>
      <c r="AV184" s="22">
        <f>Constants!$H51*'Activity data'!AV16*Constants!$H69*FracLEACHMM*MMLeachEF*NtoN2O*kgtoGg</f>
        <v>0</v>
      </c>
      <c r="AW184" s="22">
        <f>Constants!$H51*'Activity data'!AW16*Constants!$H69*FracLEACHMM*MMLeachEF*NtoN2O*kgtoGg</f>
        <v>0</v>
      </c>
      <c r="AX184" s="22">
        <f>Constants!$H51*'Activity data'!AX16*Constants!$H69*FracLEACHMM*MMLeachEF*NtoN2O*kgtoGg</f>
        <v>0</v>
      </c>
      <c r="AY184" s="22">
        <f>Constants!$H51*'Activity data'!AY16*Constants!$H69*FracLEACHMM*MMLeachEF*NtoN2O*kgtoGg</f>
        <v>0</v>
      </c>
      <c r="AZ184" s="22">
        <f>Constants!$H51*'Activity data'!AZ16*Constants!$H69*FracLEACHMM*MMLeachEF*NtoN2O*kgtoGg</f>
        <v>0</v>
      </c>
      <c r="BA184" s="22">
        <f>Constants!$H51*'Activity data'!BA16*Constants!$H69*FracLEACHMM*MMLeachEF*NtoN2O*kgtoGg</f>
        <v>0</v>
      </c>
      <c r="BB184" s="22">
        <f>Constants!$H51*'Activity data'!BB16*Constants!$H69*FracLEACHMM*MMLeachEF*NtoN2O*kgtoGg</f>
        <v>0</v>
      </c>
      <c r="BC184" s="22">
        <f>Constants!$H51*'Activity data'!BC16*Constants!$H69*FracLEACHMM*MMLeachEF*NtoN2O*kgtoGg</f>
        <v>0</v>
      </c>
      <c r="BD184" s="22">
        <f>Constants!$H51*'Activity data'!BD16*Constants!$H69*FracLEACHMM*MMLeachEF*NtoN2O*kgtoGg</f>
        <v>0</v>
      </c>
      <c r="BE184" s="22">
        <f>Constants!$H51*'Activity data'!BE16*Constants!$H69*FracLEACHMM*MMLeachEF*NtoN2O*kgtoGg</f>
        <v>0</v>
      </c>
      <c r="BF184" s="22">
        <f>Constants!$H51*'Activity data'!BF16*Constants!$H69*FracLEACHMM*MMLeachEF*NtoN2O*kgtoGg</f>
        <v>0</v>
      </c>
      <c r="BG184" s="22">
        <f>Constants!$H51*'Activity data'!BG16*Constants!$H69*FracLEACHMM*MMLeachEF*NtoN2O*kgtoGg</f>
        <v>0</v>
      </c>
      <c r="BH184" s="22">
        <f>Constants!$H51*'Activity data'!BH16*Constants!$H69*FracLEACHMM*MMLeachEF*NtoN2O*kgtoGg</f>
        <v>0</v>
      </c>
      <c r="BI184" s="22">
        <f>Constants!$H51*'Activity data'!BI16*Constants!$H69*FracLEACHMM*MMLeachEF*NtoN2O*kgtoGg</f>
        <v>0</v>
      </c>
      <c r="BJ184" s="22">
        <f>Constants!$H51*'Activity data'!BJ16*Constants!$H69*FracLEACHMM*MMLeachEF*NtoN2O*kgtoGg</f>
        <v>0</v>
      </c>
      <c r="BK184" s="22">
        <f>Constants!$H51*'Activity data'!BK16*Constants!$H69*FracLEACHMM*MMLeachEF*NtoN2O*kgtoGg</f>
        <v>0</v>
      </c>
      <c r="BL184" s="22">
        <f>Constants!$H51*'Activity data'!BL16*Constants!$H69*FracLEACHMM*MMLeachEF*NtoN2O*kgtoGg</f>
        <v>0</v>
      </c>
      <c r="BM184" s="22">
        <f>Constants!$H51*'Activity data'!BM16*Constants!$H69*FracLEACHMM*MMLeachEF*NtoN2O*kgtoGg</f>
        <v>0</v>
      </c>
      <c r="BN184" s="22">
        <f>Constants!$H51*'Activity data'!BN16*Constants!$H69*FracLEACHMM*MMLeachEF*NtoN2O*kgtoGg</f>
        <v>0</v>
      </c>
      <c r="BO184" s="22">
        <f>Constants!$H51*'Activity data'!BO16*Constants!$H69*FracLEACHMM*MMLeachEF*NtoN2O*kgtoGg</f>
        <v>0</v>
      </c>
      <c r="BP184" s="22">
        <f>Constants!$H51*'Activity data'!BP16*Constants!$H69*FracLEACHMM*MMLeachEF*NtoN2O*kgtoGg</f>
        <v>0</v>
      </c>
    </row>
    <row r="185" spans="1:68" x14ac:dyDescent="0.25">
      <c r="A185" t="str">
        <f t="shared" si="58"/>
        <v>3C Aggregated and non-CO2 emissions on land</v>
      </c>
      <c r="B185" t="str">
        <f t="shared" si="65"/>
        <v>3C6 Indirect N2O from manure management (N2O)</v>
      </c>
      <c r="C185" t="str">
        <f t="shared" si="67"/>
        <v>Leaching/runoff</v>
      </c>
      <c r="D185" t="str">
        <f t="shared" si="66"/>
        <v xml:space="preserve"> - Commercial swine</v>
      </c>
      <c r="E185" t="str">
        <f t="shared" si="64"/>
        <v>Leaching/runoff - Commercial swine</v>
      </c>
      <c r="F185" t="str">
        <f t="shared" si="47"/>
        <v>N2O</v>
      </c>
      <c r="G185" t="str">
        <f t="shared" si="48"/>
        <v>Gg N2O</v>
      </c>
      <c r="H185" s="22">
        <f>Constants!$H52*'Activity data'!H17*Constants!$H70*FracLEACHMM*MMLeachEF*NtoN2O*kgtoGg</f>
        <v>2.473216868571429E-2</v>
      </c>
      <c r="I185" s="22">
        <f>Constants!$H52*'Activity data'!I17*Constants!$H70*FracLEACHMM*MMLeachEF*NtoN2O*kgtoGg</f>
        <v>2.7020381142857142E-2</v>
      </c>
      <c r="J185" s="22">
        <f>Constants!$H52*'Activity data'!J17*Constants!$H70*FracLEACHMM*MMLeachEF*NtoN2O*kgtoGg</f>
        <v>2.6841868114285718E-2</v>
      </c>
      <c r="K185" s="22">
        <f>Constants!$H52*'Activity data'!K17*Constants!$H70*FracLEACHMM*MMLeachEF*NtoN2O*kgtoGg</f>
        <v>2.6825639657142863E-2</v>
      </c>
      <c r="L185" s="22">
        <f>Constants!$H52*'Activity data'!L17*Constants!$H70*FracLEACHMM*MMLeachEF*NtoN2O*kgtoGg</f>
        <v>2.5478677714285716E-2</v>
      </c>
      <c r="M185" s="22">
        <f>Constants!$H52*'Activity data'!M17*Constants!$H70*FracLEACHMM*MMLeachEF*NtoN2O*kgtoGg</f>
        <v>2.572210457142857E-2</v>
      </c>
      <c r="N185" s="22">
        <f>Constants!$H52*'Activity data'!N17*Constants!$H70*FracLEACHMM*MMLeachEF*NtoN2O*kgtoGg</f>
        <v>2.7701976342857142E-2</v>
      </c>
      <c r="O185" s="22">
        <f>Constants!$H52*'Activity data'!O17*Constants!$H70*FracLEACHMM*MMLeachEF*NtoN2O*kgtoGg</f>
        <v>2.7572148685714289E-2</v>
      </c>
      <c r="P185" s="22">
        <f>Constants!$H52*'Activity data'!P17*Constants!$H70*FracLEACHMM*MMLeachEF*NtoN2O*kgtoGg</f>
        <v>2.8172601599999996E-2</v>
      </c>
      <c r="Q185" s="22">
        <f>Constants!$H52*'Activity data'!Q17*Constants!$H70*FracLEACHMM*MMLeachEF*NtoN2O*kgtoGg</f>
        <v>2.8886653714285716E-2</v>
      </c>
      <c r="R185" s="22">
        <f>Constants!$H52*'Activity data'!R17*Constants!$H70*FracLEACHMM*MMLeachEF*NtoN2O*kgtoGg</f>
        <v>2.6728268914285716E-2</v>
      </c>
      <c r="S185" s="22">
        <f>Constants!$H52*'Activity data'!S17*Constants!$H70*FracLEACHMM*MMLeachEF*NtoN2O*kgtoGg</f>
        <v>2.7231351085714284E-2</v>
      </c>
      <c r="T185" s="22">
        <f>Constants!$H52*'Activity data'!T17*Constants!$H70*FracLEACHMM*MMLeachEF*NtoN2O*kgtoGg</f>
        <v>2.775066171428571E-2</v>
      </c>
      <c r="U185" s="22">
        <f>Constants!$H52*'Activity data'!U17*Constants!$H70*FracLEACHMM*MMLeachEF*NtoN2O*kgtoGg</f>
        <v>2.6987924228571426E-2</v>
      </c>
      <c r="V185" s="22">
        <f>Constants!$H52*'Activity data'!V17*Constants!$H70*FracLEACHMM*MMLeachEF*NtoN2O*kgtoGg</f>
        <v>2.6987924228571426E-2</v>
      </c>
      <c r="W185" s="22">
        <f>Constants!$H52*'Activity data'!W17*Constants!$H70*FracLEACHMM*MMLeachEF*NtoN2O*kgtoGg</f>
        <v>2.6793182742857146E-2</v>
      </c>
      <c r="X185" s="22">
        <f>Constants!$H52*'Activity data'!X17*Constants!$H70*FracLEACHMM*MMLeachEF*NtoN2O*kgtoGg</f>
        <v>2.6322557485714288E-2</v>
      </c>
      <c r="Y185" s="22">
        <f>Constants!$H52*'Activity data'!Y17*Constants!$H70*FracLEACHMM*MMLeachEF*NtoN2O*kgtoGg</f>
        <v>2.6793182742857146E-2</v>
      </c>
      <c r="Z185" s="22">
        <f>Constants!$H52*'Activity data'!Z17*Constants!$H70*FracLEACHMM*MMLeachEF*NtoN2O*kgtoGg</f>
        <v>2.6208958285714283E-2</v>
      </c>
      <c r="AA185" s="22">
        <f>Constants!$H52*'Activity data'!AA17*Constants!$H70*FracLEACHMM*MMLeachEF*NtoN2O*kgtoGg</f>
        <v>2.617650137142857E-2</v>
      </c>
      <c r="AB185" s="22">
        <f>Constants!$H52*'Activity data'!AB17*Constants!$H70*FracLEACHMM*MMLeachEF*NtoN2O*kgtoGg</f>
        <v>2.5868160685714285E-2</v>
      </c>
      <c r="AC185" s="22">
        <f>Constants!$H52*'Activity data'!AC17*Constants!$H70*FracLEACHMM*MMLeachEF*NtoN2O*kgtoGg</f>
        <v>2.5705876114285712E-2</v>
      </c>
      <c r="AD185" s="22">
        <f>Constants!$H52*'Activity data'!AD17*Constants!$H70*FracLEACHMM*MMLeachEF*NtoN2O*kgtoGg</f>
        <v>2.5438523817345578E-2</v>
      </c>
      <c r="AE185" s="22">
        <f>Constants!$H52*'Activity data'!AE17*Constants!$H70*FracLEACHMM*MMLeachEF*NtoN2O*kgtoGg</f>
        <v>2.5335357124536686E-2</v>
      </c>
      <c r="AF185" s="22">
        <f>Constants!$H52*'Activity data'!AF17*Constants!$H70*FracLEACHMM*MMLeachEF*NtoN2O*kgtoGg</f>
        <v>2.5261377356434307E-2</v>
      </c>
      <c r="AG185" s="22">
        <f>Constants!$H52*'Activity data'!AG17*Constants!$H70*FracLEACHMM*MMLeachEF*NtoN2O*kgtoGg</f>
        <v>2.5215866103288374E-2</v>
      </c>
      <c r="AH185" s="22">
        <f>Constants!$H52*'Activity data'!AH17*Constants!$H70*FracLEACHMM*MMLeachEF*NtoN2O*kgtoGg</f>
        <v>2.5193602778400874E-2</v>
      </c>
      <c r="AI185" s="22">
        <f>Constants!$H52*'Activity data'!AI17*Constants!$H70*FracLEACHMM*MMLeachEF*NtoN2O*kgtoGg</f>
        <v>2.5153069352883407E-2</v>
      </c>
      <c r="AJ185" s="22">
        <f>Constants!$H52*'Activity data'!AJ17*Constants!$H70*FracLEACHMM*MMLeachEF*NtoN2O*kgtoGg</f>
        <v>2.5120395222275747E-2</v>
      </c>
      <c r="AK185" s="22">
        <f>Constants!$H52*'Activity data'!AK17*Constants!$H70*FracLEACHMM*MMLeachEF*NtoN2O*kgtoGg</f>
        <v>2.5094896893903103E-2</v>
      </c>
      <c r="AL185" s="22">
        <f>Constants!$H52*'Activity data'!AL17*Constants!$H70*FracLEACHMM*MMLeachEF*NtoN2O*kgtoGg</f>
        <v>2.549080018554736E-2</v>
      </c>
      <c r="AM185" s="22">
        <f>Constants!$H52*'Activity data'!AM17*Constants!$H70*FracLEACHMM*MMLeachEF*NtoN2O*kgtoGg</f>
        <v>2.5394743168487475E-2</v>
      </c>
      <c r="AN185" s="22">
        <f>Constants!$H52*'Activity data'!AN17*Constants!$H70*FracLEACHMM*MMLeachEF*NtoN2O*kgtoGg</f>
        <v>2.530654585655473E-2</v>
      </c>
      <c r="AO185" s="22">
        <f>Constants!$H52*'Activity data'!AO17*Constants!$H70*FracLEACHMM*MMLeachEF*NtoN2O*kgtoGg</f>
        <v>2.5220292009259872E-2</v>
      </c>
      <c r="AP185" s="22">
        <f>Constants!$H52*'Activity data'!AP17*Constants!$H70*FracLEACHMM*MMLeachEF*NtoN2O*kgtoGg</f>
        <v>2.5140333781752792E-2</v>
      </c>
      <c r="AQ185" s="22">
        <f>Constants!$H52*'Activity data'!AQ17*Constants!$H70*FracLEACHMM*MMLeachEF*NtoN2O*kgtoGg</f>
        <v>2.5058781029015535E-2</v>
      </c>
      <c r="AR185" s="22">
        <f>Constants!$H52*'Activity data'!AR17*Constants!$H70*FracLEACHMM*MMLeachEF*NtoN2O*kgtoGg</f>
        <v>2.4963580881666579E-2</v>
      </c>
      <c r="AS185" s="22">
        <f>Constants!$H52*'Activity data'!AS17*Constants!$H70*FracLEACHMM*MMLeachEF*NtoN2O*kgtoGg</f>
        <v>2.48727786769012E-2</v>
      </c>
      <c r="AT185" s="22">
        <f>Constants!$H52*'Activity data'!AT17*Constants!$H70*FracLEACHMM*MMLeachEF*NtoN2O*kgtoGg</f>
        <v>2.4780353894603542E-2</v>
      </c>
      <c r="AU185" s="22">
        <f>Constants!$H52*'Activity data'!AU17*Constants!$H70*FracLEACHMM*MMLeachEF*NtoN2O*kgtoGg</f>
        <v>2.4687811938597138E-2</v>
      </c>
      <c r="AV185" s="22">
        <f>Constants!$H52*'Activity data'!AV17*Constants!$H70*FracLEACHMM*MMLeachEF*NtoN2O*kgtoGg</f>
        <v>2.4595024130238272E-2</v>
      </c>
      <c r="AW185" s="22">
        <f>Constants!$H52*'Activity data'!AW17*Constants!$H70*FracLEACHMM*MMLeachEF*NtoN2O*kgtoGg</f>
        <v>2.4781975776997985E-2</v>
      </c>
      <c r="AX185" s="22">
        <f>Constants!$H52*'Activity data'!AX17*Constants!$H70*FracLEACHMM*MMLeachEF*NtoN2O*kgtoGg</f>
        <v>2.4878452789400769E-2</v>
      </c>
      <c r="AY185" s="22">
        <f>Constants!$H52*'Activity data'!AY17*Constants!$H70*FracLEACHMM*MMLeachEF*NtoN2O*kgtoGg</f>
        <v>2.5013124412497173E-2</v>
      </c>
      <c r="AZ185" s="22">
        <f>Constants!$H52*'Activity data'!AZ17*Constants!$H70*FracLEACHMM*MMLeachEF*NtoN2O*kgtoGg</f>
        <v>2.515155861697865E-2</v>
      </c>
      <c r="BA185" s="22">
        <f>Constants!$H52*'Activity data'!BA17*Constants!$H70*FracLEACHMM*MMLeachEF*NtoN2O*kgtoGg</f>
        <v>2.5290298405145784E-2</v>
      </c>
      <c r="BB185" s="22">
        <f>Constants!$H52*'Activity data'!BB17*Constants!$H70*FracLEACHMM*MMLeachEF*NtoN2O*kgtoGg</f>
        <v>2.5391917830143256E-2</v>
      </c>
      <c r="BC185" s="22">
        <f>Constants!$H52*'Activity data'!BC17*Constants!$H70*FracLEACHMM*MMLeachEF*NtoN2O*kgtoGg</f>
        <v>2.5468661232487855E-2</v>
      </c>
      <c r="BD185" s="22">
        <f>Constants!$H52*'Activity data'!BD17*Constants!$H70*FracLEACHMM*MMLeachEF*NtoN2O*kgtoGg</f>
        <v>2.5496030640467921E-2</v>
      </c>
      <c r="BE185" s="22">
        <f>Constants!$H52*'Activity data'!BE17*Constants!$H70*FracLEACHMM*MMLeachEF*NtoN2O*kgtoGg</f>
        <v>2.5494292796603341E-2</v>
      </c>
      <c r="BF185" s="22">
        <f>Constants!$H52*'Activity data'!BF17*Constants!$H70*FracLEACHMM*MMLeachEF*NtoN2O*kgtoGg</f>
        <v>2.5477265565096285E-2</v>
      </c>
      <c r="BG185" s="22">
        <f>Constants!$H52*'Activity data'!BG17*Constants!$H70*FracLEACHMM*MMLeachEF*NtoN2O*kgtoGg</f>
        <v>2.5615670853826419E-2</v>
      </c>
      <c r="BH185" s="22">
        <f>Constants!$H52*'Activity data'!BH17*Constants!$H70*FracLEACHMM*MMLeachEF*NtoN2O*kgtoGg</f>
        <v>2.5733114884857803E-2</v>
      </c>
      <c r="BI185" s="22">
        <f>Constants!$H52*'Activity data'!BI17*Constants!$H70*FracLEACHMM*MMLeachEF*NtoN2O*kgtoGg</f>
        <v>2.5824763991522101E-2</v>
      </c>
      <c r="BJ185" s="22">
        <f>Constants!$H52*'Activity data'!BJ17*Constants!$H70*FracLEACHMM*MMLeachEF*NtoN2O*kgtoGg</f>
        <v>2.5892234543317461E-2</v>
      </c>
      <c r="BK185" s="22">
        <f>Constants!$H52*'Activity data'!BK17*Constants!$H70*FracLEACHMM*MMLeachEF*NtoN2O*kgtoGg</f>
        <v>2.5948278734441353E-2</v>
      </c>
      <c r="BL185" s="22">
        <f>Constants!$H52*'Activity data'!BL17*Constants!$H70*FracLEACHMM*MMLeachEF*NtoN2O*kgtoGg</f>
        <v>2.5980562512606817E-2</v>
      </c>
      <c r="BM185" s="22">
        <f>Constants!$H52*'Activity data'!BM17*Constants!$H70*FracLEACHMM*MMLeachEF*NtoN2O*kgtoGg</f>
        <v>2.5985715019103975E-2</v>
      </c>
      <c r="BN185" s="22">
        <f>Constants!$H52*'Activity data'!BN17*Constants!$H70*FracLEACHMM*MMLeachEF*NtoN2O*kgtoGg</f>
        <v>2.5934626842325139E-2</v>
      </c>
      <c r="BO185" s="22">
        <f>Constants!$H52*'Activity data'!BO17*Constants!$H70*FracLEACHMM*MMLeachEF*NtoN2O*kgtoGg</f>
        <v>2.5855050324388815E-2</v>
      </c>
      <c r="BP185" s="22">
        <f>Constants!$H52*'Activity data'!BP17*Constants!$H70*FracLEACHMM*MMLeachEF*NtoN2O*kgtoGg</f>
        <v>2.5745916357757415E-2</v>
      </c>
    </row>
    <row r="186" spans="1:68" x14ac:dyDescent="0.25">
      <c r="A186" t="str">
        <f t="shared" si="58"/>
        <v>3C Aggregated and non-CO2 emissions on land</v>
      </c>
      <c r="B186" t="str">
        <f>B185</f>
        <v>3C6 Indirect N2O from manure management (N2O)</v>
      </c>
      <c r="C186" t="str">
        <f t="shared" si="67"/>
        <v>Leaching/runoff</v>
      </c>
      <c r="D186" t="str">
        <f>D170</f>
        <v xml:space="preserve"> - Subsistence swine</v>
      </c>
      <c r="E186" t="str">
        <f t="shared" si="64"/>
        <v>Leaching/runoff - Subsistence swine</v>
      </c>
      <c r="F186" t="str">
        <f t="shared" si="47"/>
        <v>N2O</v>
      </c>
      <c r="G186" t="str">
        <f t="shared" si="48"/>
        <v>Gg N2O</v>
      </c>
      <c r="H186" s="22">
        <f>Constants!$H53*'Activity data'!H18*Constants!$H71*FracLEACHMM*MMLeachEF*NtoN2O*kgtoGg</f>
        <v>3.5396781390192064E-3</v>
      </c>
      <c r="I186" s="22">
        <f>Constants!$H53*'Activity data'!I18*Constants!$H71*FracLEACHMM*MMLeachEF*NtoN2O*kgtoGg</f>
        <v>3.867168045582008E-3</v>
      </c>
      <c r="J186" s="22">
        <f>Constants!$H53*'Activity data'!J18*Constants!$H71*FracLEACHMM*MMLeachEF*NtoN2O*kgtoGg</f>
        <v>3.8416191876232074E-3</v>
      </c>
      <c r="K186" s="22">
        <f>Constants!$H53*'Activity data'!K18*Constants!$H71*FracLEACHMM*MMLeachEF*NtoN2O*kgtoGg</f>
        <v>3.8392965641724079E-3</v>
      </c>
      <c r="L186" s="22">
        <f>Constants!$H53*'Activity data'!L18*Constants!$H71*FracLEACHMM*MMLeachEF*NtoN2O*kgtoGg</f>
        <v>3.6465188177560062E-3</v>
      </c>
      <c r="M186" s="22">
        <f>Constants!$H53*'Activity data'!M18*Constants!$H71*FracLEACHMM*MMLeachEF*NtoN2O*kgtoGg</f>
        <v>3.6813581695180077E-3</v>
      </c>
      <c r="N186" s="22">
        <f>Constants!$H53*'Activity data'!N18*Constants!$H71*FracLEACHMM*MMLeachEF*NtoN2O*kgtoGg</f>
        <v>3.9647182305156074E-3</v>
      </c>
      <c r="O186" s="22">
        <f>Constants!$H53*'Activity data'!O18*Constants!$H71*FracLEACHMM*MMLeachEF*NtoN2O*kgtoGg</f>
        <v>3.9461372429092081E-3</v>
      </c>
      <c r="P186" s="22">
        <f>Constants!$H53*'Activity data'!P18*Constants!$H71*FracLEACHMM*MMLeachEF*NtoN2O*kgtoGg</f>
        <v>4.0320743105888082E-3</v>
      </c>
      <c r="Q186" s="22">
        <f>Constants!$H53*'Activity data'!Q18*Constants!$H71*FracLEACHMM*MMLeachEF*NtoN2O*kgtoGg</f>
        <v>4.1342697424240071E-3</v>
      </c>
      <c r="R186" s="22">
        <f>Constants!$H53*'Activity data'!R18*Constants!$H71*FracLEACHMM*MMLeachEF*NtoN2O*kgtoGg</f>
        <v>3.8253608234676073E-3</v>
      </c>
      <c r="S186" s="22">
        <f>Constants!$H53*'Activity data'!S18*Constants!$H71*FracLEACHMM*MMLeachEF*NtoN2O*kgtoGg</f>
        <v>3.8973621504424074E-3</v>
      </c>
      <c r="T186" s="22">
        <f>Constants!$H53*'Activity data'!T18*Constants!$H71*FracLEACHMM*MMLeachEF*NtoN2O*kgtoGg</f>
        <v>3.9716861008680087E-3</v>
      </c>
      <c r="U186" s="22">
        <f>Constants!$H53*'Activity data'!U18*Constants!$H71*FracLEACHMM*MMLeachEF*NtoN2O*kgtoGg</f>
        <v>3.8625227986804071E-3</v>
      </c>
      <c r="V186" s="22">
        <f>Constants!$H53*'Activity data'!V18*Constants!$H71*FracLEACHMM*MMLeachEF*NtoN2O*kgtoGg</f>
        <v>3.8625227986804071E-3</v>
      </c>
      <c r="W186" s="22">
        <f>Constants!$H53*'Activity data'!W18*Constants!$H71*FracLEACHMM*MMLeachEF*NtoN2O*kgtoGg</f>
        <v>3.8346513172708078E-3</v>
      </c>
      <c r="X186" s="22">
        <f>Constants!$H53*'Activity data'!X18*Constants!$H71*FracLEACHMM*MMLeachEF*NtoN2O*kgtoGg</f>
        <v>3.7672952371976065E-3</v>
      </c>
      <c r="Y186" s="22">
        <f>Constants!$H53*'Activity data'!Y18*Constants!$H71*FracLEACHMM*MMLeachEF*NtoN2O*kgtoGg</f>
        <v>3.8346513172708078E-3</v>
      </c>
      <c r="Z186" s="22">
        <f>Constants!$H53*'Activity data'!Z18*Constants!$H71*FracLEACHMM*MMLeachEF*NtoN2O*kgtoGg</f>
        <v>3.7510368730420082E-3</v>
      </c>
      <c r="AA186" s="22">
        <f>Constants!$H53*'Activity data'!AA18*Constants!$H71*FracLEACHMM*MMLeachEF*NtoN2O*kgtoGg</f>
        <v>3.7463916261404073E-3</v>
      </c>
      <c r="AB186" s="22">
        <f>Constants!$H53*'Activity data'!AB18*Constants!$H71*FracLEACHMM*MMLeachEF*NtoN2O*kgtoGg</f>
        <v>3.7022617805752074E-3</v>
      </c>
      <c r="AC186" s="22">
        <f>Constants!$H53*'Activity data'!AC18*Constants!$H71*FracLEACHMM*MMLeachEF*NtoN2O*kgtoGg</f>
        <v>3.6790355460672068E-3</v>
      </c>
      <c r="AD186" s="22">
        <f>Constants!$H53*'Activity data'!AD18*Constants!$H71*FracLEACHMM*MMLeachEF*NtoN2O*kgtoGg</f>
        <v>3.6523707889664961E-3</v>
      </c>
      <c r="AE186" s="22">
        <f>Constants!$H53*'Activity data'!AE18*Constants!$H71*FracLEACHMM*MMLeachEF*NtoN2O*kgtoGg</f>
        <v>3.6375584901902382E-3</v>
      </c>
      <c r="AF186" s="22">
        <f>Constants!$H53*'Activity data'!AF18*Constants!$H71*FracLEACHMM*MMLeachEF*NtoN2O*kgtoGg</f>
        <v>3.6269367439784018E-3</v>
      </c>
      <c r="AG186" s="22">
        <f>Constants!$H53*'Activity data'!AG18*Constants!$H71*FracLEACHMM*MMLeachEF*NtoN2O*kgtoGg</f>
        <v>3.620402403670253E-3</v>
      </c>
      <c r="AH186" s="22">
        <f>Constants!$H53*'Activity data'!AH18*Constants!$H71*FracLEACHMM*MMLeachEF*NtoN2O*kgtoGg</f>
        <v>3.6172059164028226E-3</v>
      </c>
      <c r="AI186" s="22">
        <f>Constants!$H53*'Activity data'!AI18*Constants!$H71*FracLEACHMM*MMLeachEF*NtoN2O*kgtoGg</f>
        <v>3.6113862744927916E-3</v>
      </c>
      <c r="AJ186" s="22">
        <f>Constants!$H53*'Activity data'!AJ18*Constants!$H71*FracLEACHMM*MMLeachEF*NtoN2O*kgtoGg</f>
        <v>3.6066950415799392E-3</v>
      </c>
      <c r="AK186" s="22">
        <f>Constants!$H53*'Activity data'!AK18*Constants!$H71*FracLEACHMM*MMLeachEF*NtoN2O*kgtoGg</f>
        <v>3.6030340842702932E-3</v>
      </c>
      <c r="AL186" s="22">
        <f>Constants!$H53*'Activity data'!AL18*Constants!$H71*FracLEACHMM*MMLeachEF*NtoN2O*kgtoGg</f>
        <v>3.6598764399053793E-3</v>
      </c>
      <c r="AM186" s="22">
        <f>Constants!$H53*'Activity data'!AM18*Constants!$H71*FracLEACHMM*MMLeachEF*NtoN2O*kgtoGg</f>
        <v>3.6460849225318157E-3</v>
      </c>
      <c r="AN186" s="22">
        <f>Constants!$H53*'Activity data'!AN18*Constants!$H71*FracLEACHMM*MMLeachEF*NtoN2O*kgtoGg</f>
        <v>3.6334218730529411E-3</v>
      </c>
      <c r="AO186" s="22">
        <f>Constants!$H53*'Activity data'!AO18*Constants!$H71*FracLEACHMM*MMLeachEF*NtoN2O*kgtoGg</f>
        <v>3.6210378591629176E-3</v>
      </c>
      <c r="AP186" s="22">
        <f>Constants!$H53*'Activity data'!AP18*Constants!$H71*FracLEACHMM*MMLeachEF*NtoN2O*kgtoGg</f>
        <v>3.6095577474795004E-3</v>
      </c>
      <c r="AQ186" s="22">
        <f>Constants!$H53*'Activity data'!AQ18*Constants!$H71*FracLEACHMM*MMLeachEF*NtoN2O*kgtoGg</f>
        <v>3.597848699659113E-3</v>
      </c>
      <c r="AR186" s="22">
        <f>Constants!$H53*'Activity data'!AR18*Constants!$H71*FracLEACHMM*MMLeachEF*NtoN2O*kgtoGg</f>
        <v>3.5841802085242011E-3</v>
      </c>
      <c r="AS186" s="22">
        <f>Constants!$H53*'Activity data'!AS18*Constants!$H71*FracLEACHMM*MMLeachEF*NtoN2O*kgtoGg</f>
        <v>3.5711431580003534E-3</v>
      </c>
      <c r="AT186" s="22">
        <f>Constants!$H53*'Activity data'!AT18*Constants!$H71*FracLEACHMM*MMLeachEF*NtoN2O*kgtoGg</f>
        <v>3.5578731436919616E-3</v>
      </c>
      <c r="AU186" s="22">
        <f>Constants!$H53*'Activity data'!AU18*Constants!$H71*FracLEACHMM*MMLeachEF*NtoN2O*kgtoGg</f>
        <v>3.5445863060083564E-3</v>
      </c>
      <c r="AV186" s="22">
        <f>Constants!$H53*'Activity data'!AV18*Constants!$H71*FracLEACHMM*MMLeachEF*NtoN2O*kgtoGg</f>
        <v>3.5312641697375765E-3</v>
      </c>
      <c r="AW186" s="22">
        <f>Constants!$H53*'Activity data'!AW18*Constants!$H71*FracLEACHMM*MMLeachEF*NtoN2O*kgtoGg</f>
        <v>3.558106007671142E-3</v>
      </c>
      <c r="AX186" s="22">
        <f>Constants!$H53*'Activity data'!AX18*Constants!$H71*FracLEACHMM*MMLeachEF*NtoN2O*kgtoGg</f>
        <v>3.5719578264494949E-3</v>
      </c>
      <c r="AY186" s="22">
        <f>Constants!$H53*'Activity data'!AY18*Constants!$H71*FracLEACHMM*MMLeachEF*NtoN2O*kgtoGg</f>
        <v>3.5912934886062997E-3</v>
      </c>
      <c r="AZ186" s="22">
        <f>Constants!$H53*'Activity data'!AZ18*Constants!$H71*FracLEACHMM*MMLeachEF*NtoN2O*kgtoGg</f>
        <v>3.6111693685226182E-3</v>
      </c>
      <c r="BA186" s="22">
        <f>Constants!$H53*'Activity data'!BA18*Constants!$H71*FracLEACHMM*MMLeachEF*NtoN2O*kgtoGg</f>
        <v>3.6310891230338259E-3</v>
      </c>
      <c r="BB186" s="22">
        <f>Constants!$H53*'Activity data'!BB18*Constants!$H71*FracLEACHMM*MMLeachEF*NtoN2O*kgtoGg</f>
        <v>3.6456792707215335E-3</v>
      </c>
      <c r="BC186" s="22">
        <f>Constants!$H53*'Activity data'!BC18*Constants!$H71*FracLEACHMM*MMLeachEF*NtoN2O*kgtoGg</f>
        <v>3.6566978094929614E-3</v>
      </c>
      <c r="BD186" s="22">
        <f>Constants!$H53*'Activity data'!BD18*Constants!$H71*FracLEACHMM*MMLeachEF*NtoN2O*kgtoGg</f>
        <v>3.6606274096118775E-3</v>
      </c>
      <c r="BE186" s="22">
        <f>Constants!$H53*'Activity data'!BE18*Constants!$H71*FracLEACHMM*MMLeachEF*NtoN2O*kgtoGg</f>
        <v>3.6603778963062977E-3</v>
      </c>
      <c r="BF186" s="22">
        <f>Constants!$H53*'Activity data'!BF18*Constants!$H71*FracLEACHMM*MMLeachEF*NtoN2O*kgtoGg</f>
        <v>3.6579331882949408E-3</v>
      </c>
      <c r="BG186" s="22">
        <f>Constants!$H53*'Activity data'!BG18*Constants!$H71*FracLEACHMM*MMLeachEF*NtoN2O*kgtoGg</f>
        <v>3.6778049165927798E-3</v>
      </c>
      <c r="BH186" s="22">
        <f>Constants!$H53*'Activity data'!BH18*Constants!$H71*FracLEACHMM*MMLeachEF*NtoN2O*kgtoGg</f>
        <v>3.694667103697561E-3</v>
      </c>
      <c r="BI186" s="22">
        <f>Constants!$H53*'Activity data'!BI18*Constants!$H71*FracLEACHMM*MMLeachEF*NtoN2O*kgtoGg</f>
        <v>3.7078257493178431E-3</v>
      </c>
      <c r="BJ186" s="22">
        <f>Constants!$H53*'Activity data'!BJ18*Constants!$H71*FracLEACHMM*MMLeachEF*NtoN2O*kgtoGg</f>
        <v>3.717512925911195E-3</v>
      </c>
      <c r="BK186" s="22">
        <f>Constants!$H53*'Activity data'!BK18*Constants!$H71*FracLEACHMM*MMLeachEF*NtoN2O*kgtoGg</f>
        <v>3.7255595471704294E-3</v>
      </c>
      <c r="BL186" s="22">
        <f>Constants!$H53*'Activity data'!BL18*Constants!$H71*FracLEACHMM*MMLeachEF*NtoN2O*kgtoGg</f>
        <v>3.7301947346984341E-3</v>
      </c>
      <c r="BM186" s="22">
        <f>Constants!$H53*'Activity data'!BM18*Constants!$H71*FracLEACHMM*MMLeachEF*NtoN2O*kgtoGg</f>
        <v>3.7309345128536159E-3</v>
      </c>
      <c r="BN186" s="22">
        <f>Constants!$H53*'Activity data'!BN18*Constants!$H71*FracLEACHMM*MMLeachEF*NtoN2O*kgtoGg</f>
        <v>3.7235994581205525E-3</v>
      </c>
      <c r="BO186" s="22">
        <f>Constants!$H53*'Activity data'!BO18*Constants!$H71*FracLEACHMM*MMLeachEF*NtoN2O*kgtoGg</f>
        <v>3.7121741509099156E-3</v>
      </c>
      <c r="BP186" s="22">
        <f>Constants!$H53*'Activity data'!BP18*Constants!$H71*FracLEACHMM*MMLeachEF*NtoN2O*kgtoGg</f>
        <v>3.6965050926473118E-3</v>
      </c>
    </row>
    <row r="187" spans="1:68" x14ac:dyDescent="0.25">
      <c r="A187" t="str">
        <f t="shared" si="58"/>
        <v>3C Aggregated and non-CO2 emissions on land</v>
      </c>
      <c r="B187" t="str">
        <f t="shared" ref="B187" si="68">B186</f>
        <v>3C6 Indirect N2O from manure management (N2O)</v>
      </c>
      <c r="C187" t="str">
        <f t="shared" si="67"/>
        <v>Leaching/runoff</v>
      </c>
      <c r="D187" t="str">
        <f t="shared" si="66"/>
        <v xml:space="preserve"> - Commercial layers</v>
      </c>
      <c r="E187" t="str">
        <f t="shared" si="64"/>
        <v>Leaching/runoff - Commercial layers</v>
      </c>
      <c r="F187" t="str">
        <f t="shared" si="47"/>
        <v>N2O</v>
      </c>
      <c r="G187" t="str">
        <f t="shared" si="48"/>
        <v>Gg N2O</v>
      </c>
      <c r="H187" s="22">
        <f>Constants!$H54*'Activity data'!H19*Constants!$H72*FracLEACHMM*MMLeachEF*NtoN2O*kgtoGg</f>
        <v>1.0355170129968004E-2</v>
      </c>
      <c r="I187" s="22">
        <f>Constants!$H54*'Activity data'!I19*Constants!$H72*FracLEACHMM*MMLeachEF*NtoN2O*kgtoGg</f>
        <v>1.0059892645860616E-2</v>
      </c>
      <c r="J187" s="22">
        <f>Constants!$H54*'Activity data'!J19*Constants!$H72*FracLEACHMM*MMLeachEF*NtoN2O*kgtoGg</f>
        <v>9.5411084013231947E-3</v>
      </c>
      <c r="K187" s="22">
        <f>Constants!$H54*'Activity data'!K19*Constants!$H72*FracLEACHMM*MMLeachEF*NtoN2O*kgtoGg</f>
        <v>9.3910912656011026E-3</v>
      </c>
      <c r="L187" s="22">
        <f>Constants!$H54*'Activity data'!L19*Constants!$H72*FracLEACHMM*MMLeachEF*NtoN2O*kgtoGg</f>
        <v>8.9826126081481942E-3</v>
      </c>
      <c r="M187" s="22">
        <f>Constants!$H54*'Activity data'!M19*Constants!$H72*FracLEACHMM*MMLeachEF*NtoN2O*kgtoGg</f>
        <v>9.8011483650425734E-3</v>
      </c>
      <c r="N187" s="22">
        <f>Constants!$H54*'Activity data'!N19*Constants!$H72*FracLEACHMM*MMLeachEF*NtoN2O*kgtoGg</f>
        <v>1.0353003890839162E-2</v>
      </c>
      <c r="O187" s="22">
        <f>Constants!$H54*'Activity data'!O19*Constants!$H72*FracLEACHMM*MMLeachEF*NtoN2O*kgtoGg</f>
        <v>1.038704838936534E-2</v>
      </c>
      <c r="P187" s="22">
        <f>Constants!$H54*'Activity data'!P19*Constants!$H72*FracLEACHMM*MMLeachEF*NtoN2O*kgtoGg</f>
        <v>1.1694940012383678E-2</v>
      </c>
      <c r="Q187" s="22">
        <f>Constants!$H54*'Activity data'!Q19*Constants!$H72*FracLEACHMM*MMLeachEF*NtoN2O*kgtoGg</f>
        <v>1.2538149270078789E-2</v>
      </c>
      <c r="R187" s="22">
        <f>Constants!$H54*'Activity data'!R19*Constants!$H72*FracLEACHMM*MMLeachEF*NtoN2O*kgtoGg</f>
        <v>1.2272486005224258E-2</v>
      </c>
      <c r="S187" s="22">
        <f>Constants!$H54*'Activity data'!S19*Constants!$H72*FracLEACHMM*MMLeachEF*NtoN2O*kgtoGg</f>
        <v>1.2599872153312836E-2</v>
      </c>
      <c r="T187" s="22">
        <f>Constants!$H54*'Activity data'!T19*Constants!$H72*FracLEACHMM*MMLeachEF*NtoN2O*kgtoGg</f>
        <v>1.2500981239572611E-2</v>
      </c>
      <c r="U187" s="22">
        <f>Constants!$H54*'Activity data'!U19*Constants!$H72*FracLEACHMM*MMLeachEF*NtoN2O*kgtoGg</f>
        <v>1.2001910795150582E-2</v>
      </c>
      <c r="V187" s="22">
        <f>Constants!$H54*'Activity data'!V19*Constants!$H72*FracLEACHMM*MMLeachEF*NtoN2O*kgtoGg</f>
        <v>1.2437112522602165E-2</v>
      </c>
      <c r="W187" s="22">
        <f>Constants!$H54*'Activity data'!W19*Constants!$H72*FracLEACHMM*MMLeachEF*NtoN2O*kgtoGg</f>
        <v>1.3187076931938265E-2</v>
      </c>
      <c r="X187" s="22">
        <f>Constants!$H54*'Activity data'!X19*Constants!$H72*FracLEACHMM*MMLeachEF*NtoN2O*kgtoGg</f>
        <v>1.4553489205518322E-2</v>
      </c>
      <c r="Y187" s="22">
        <f>Constants!$H54*'Activity data'!Y19*Constants!$H72*FracLEACHMM*MMLeachEF*NtoN2O*kgtoGg</f>
        <v>1.6105943457620602E-2</v>
      </c>
      <c r="Z187" s="22">
        <f>Constants!$H54*'Activity data'!Z19*Constants!$H72*FracLEACHMM*MMLeachEF*NtoN2O*kgtoGg</f>
        <v>1.6318056760498027E-2</v>
      </c>
      <c r="AA187" s="22">
        <f>Constants!$H54*'Activity data'!AA19*Constants!$H72*FracLEACHMM*MMLeachEF*NtoN2O*kgtoGg</f>
        <v>1.5716468259281271E-2</v>
      </c>
      <c r="AB187" s="22">
        <f>Constants!$H54*'Activity data'!AB19*Constants!$H72*FracLEACHMM*MMLeachEF*NtoN2O*kgtoGg</f>
        <v>1.6328679002481555E-2</v>
      </c>
      <c r="AC187" s="22">
        <f>Constants!$H54*'Activity data'!AC19*Constants!$H72*FracLEACHMM*MMLeachEF*NtoN2O*kgtoGg</f>
        <v>1.7082367042983767E-2</v>
      </c>
      <c r="AD187" s="22">
        <f>Constants!$H54*'Activity data'!AD19*Constants!$H72*FracLEACHMM*MMLeachEF*NtoN2O*kgtoGg</f>
        <v>1.7190951483751705E-2</v>
      </c>
      <c r="AE187" s="22">
        <f>Constants!$H54*'Activity data'!AE19*Constants!$H72*FracLEACHMM*MMLeachEF*NtoN2O*kgtoGg</f>
        <v>1.7585094320044396E-2</v>
      </c>
      <c r="AF187" s="22">
        <f>Constants!$H54*'Activity data'!AF19*Constants!$H72*FracLEACHMM*MMLeachEF*NtoN2O*kgtoGg</f>
        <v>1.7895777580018771E-2</v>
      </c>
      <c r="AG187" s="22">
        <f>Constants!$H54*'Activity data'!AG19*Constants!$H72*FracLEACHMM*MMLeachEF*NtoN2O*kgtoGg</f>
        <v>1.8119318633150566E-2</v>
      </c>
      <c r="AH187" s="22">
        <f>Constants!$H54*'Activity data'!AH19*Constants!$H72*FracLEACHMM*MMLeachEF*NtoN2O*kgtoGg</f>
        <v>1.8275267558556737E-2</v>
      </c>
      <c r="AI187" s="22">
        <f>Constants!$H54*'Activity data'!AI19*Constants!$H72*FracLEACHMM*MMLeachEF*NtoN2O*kgtoGg</f>
        <v>1.8492162341781904E-2</v>
      </c>
      <c r="AJ187" s="22">
        <f>Constants!$H54*'Activity data'!AJ19*Constants!$H72*FracLEACHMM*MMLeachEF*NtoN2O*kgtoGg</f>
        <v>1.8684324813957674E-2</v>
      </c>
      <c r="AK187" s="22">
        <f>Constants!$H54*'Activity data'!AK19*Constants!$H72*FracLEACHMM*MMLeachEF*NtoN2O*kgtoGg</f>
        <v>1.8853303819510905E-2</v>
      </c>
      <c r="AL187" s="22">
        <f>Constants!$H54*'Activity data'!AL19*Constants!$H72*FracLEACHMM*MMLeachEF*NtoN2O*kgtoGg</f>
        <v>1.767598752464496E-2</v>
      </c>
      <c r="AM187" s="22">
        <f>Constants!$H54*'Activity data'!AM19*Constants!$H72*FracLEACHMM*MMLeachEF*NtoN2O*kgtoGg</f>
        <v>1.8052563811981646E-2</v>
      </c>
      <c r="AN187" s="22">
        <f>Constants!$H54*'Activity data'!AN19*Constants!$H72*FracLEACHMM*MMLeachEF*NtoN2O*kgtoGg</f>
        <v>1.8412741219366417E-2</v>
      </c>
      <c r="AO187" s="22">
        <f>Constants!$H54*'Activity data'!AO19*Constants!$H72*FracLEACHMM*MMLeachEF*NtoN2O*kgtoGg</f>
        <v>1.8773987318830159E-2</v>
      </c>
      <c r="AP187" s="22">
        <f>Constants!$H54*'Activity data'!AP19*Constants!$H72*FracLEACHMM*MMLeachEF*NtoN2O*kgtoGg</f>
        <v>1.9121497127191543E-2</v>
      </c>
      <c r="AQ187" s="22">
        <f>Constants!$H54*'Activity data'!AQ19*Constants!$H72*FracLEACHMM*MMLeachEF*NtoN2O*kgtoGg</f>
        <v>1.9480833030791116E-2</v>
      </c>
      <c r="AR187" s="22">
        <f>Constants!$H54*'Activity data'!AR19*Constants!$H72*FracLEACHMM*MMLeachEF*NtoN2O*kgtoGg</f>
        <v>1.9901843055183634E-2</v>
      </c>
      <c r="AS187" s="22">
        <f>Constants!$H54*'Activity data'!AS19*Constants!$H72*FracLEACHMM*MMLeachEF*NtoN2O*kgtoGg</f>
        <v>2.0316513491498572E-2</v>
      </c>
      <c r="AT187" s="22">
        <f>Constants!$H54*'Activity data'!AT19*Constants!$H72*FracLEACHMM*MMLeachEF*NtoN2O*kgtoGg</f>
        <v>2.0746124777387315E-2</v>
      </c>
      <c r="AU187" s="22">
        <f>Constants!$H54*'Activity data'!AU19*Constants!$H72*FracLEACHMM*MMLeachEF*NtoN2O*kgtoGg</f>
        <v>2.1185686196133223E-2</v>
      </c>
      <c r="AV187" s="22">
        <f>Constants!$H54*'Activity data'!AV19*Constants!$H72*FracLEACHMM*MMLeachEF*NtoN2O*kgtoGg</f>
        <v>2.1636007208614205E-2</v>
      </c>
      <c r="AW187" s="22">
        <f>Constants!$H54*'Activity data'!AW19*Constants!$H72*FracLEACHMM*MMLeachEF*NtoN2O*kgtoGg</f>
        <v>2.2161502720123058E-2</v>
      </c>
      <c r="AX187" s="22">
        <f>Constants!$H54*'Activity data'!AX19*Constants!$H72*FracLEACHMM*MMLeachEF*NtoN2O*kgtoGg</f>
        <v>2.2659330215959873E-2</v>
      </c>
      <c r="AY187" s="22">
        <f>Constants!$H54*'Activity data'!AY19*Constants!$H72*FracLEACHMM*MMLeachEF*NtoN2O*kgtoGg</f>
        <v>2.3201242088286507E-2</v>
      </c>
      <c r="AZ187" s="22">
        <f>Constants!$H54*'Activity data'!AZ19*Constants!$H72*FracLEACHMM*MMLeachEF*NtoN2O*kgtoGg</f>
        <v>2.3770558509718223E-2</v>
      </c>
      <c r="BA187" s="22">
        <f>Constants!$H54*'Activity data'!BA19*Constants!$H72*FracLEACHMM*MMLeachEF*NtoN2O*kgtoGg</f>
        <v>2.4367524871042882E-2</v>
      </c>
      <c r="BB187" s="22">
        <f>Constants!$H54*'Activity data'!BB19*Constants!$H72*FracLEACHMM*MMLeachEF*NtoN2O*kgtoGg</f>
        <v>2.4974629201325583E-2</v>
      </c>
      <c r="BC187" s="22">
        <f>Constants!$H54*'Activity data'!BC19*Constants!$H72*FracLEACHMM*MMLeachEF*NtoN2O*kgtoGg</f>
        <v>2.5596900723153754E-2</v>
      </c>
      <c r="BD187" s="22">
        <f>Constants!$H54*'Activity data'!BD19*Constants!$H72*FracLEACHMM*MMLeachEF*NtoN2O*kgtoGg</f>
        <v>2.6219472783941926E-2</v>
      </c>
      <c r="BE187" s="22">
        <f>Constants!$H54*'Activity data'!BE19*Constants!$H72*FracLEACHMM*MMLeachEF*NtoN2O*kgtoGg</f>
        <v>2.6856282791304663E-2</v>
      </c>
      <c r="BF187" s="22">
        <f>Constants!$H54*'Activity data'!BF19*Constants!$H72*FracLEACHMM*MMLeachEF*NtoN2O*kgtoGg</f>
        <v>2.7518551566085327E-2</v>
      </c>
      <c r="BG187" s="22">
        <f>Constants!$H54*'Activity data'!BG19*Constants!$H72*FracLEACHMM*MMLeachEF*NtoN2O*kgtoGg</f>
        <v>2.8206598130828202E-2</v>
      </c>
      <c r="BH187" s="22">
        <f>Constants!$H54*'Activity data'!BH19*Constants!$H72*FracLEACHMM*MMLeachEF*NtoN2O*kgtoGg</f>
        <v>2.8910980910424575E-2</v>
      </c>
      <c r="BI187" s="22">
        <f>Constants!$H54*'Activity data'!BI19*Constants!$H72*FracLEACHMM*MMLeachEF*NtoN2O*kgtoGg</f>
        <v>2.9629365011582649E-2</v>
      </c>
      <c r="BJ187" s="22">
        <f>Constants!$H54*'Activity data'!BJ19*Constants!$H72*FracLEACHMM*MMLeachEF*NtoN2O*kgtoGg</f>
        <v>3.0364249410052443E-2</v>
      </c>
      <c r="BK187" s="22">
        <f>Constants!$H54*'Activity data'!BK19*Constants!$H72*FracLEACHMM*MMLeachEF*NtoN2O*kgtoGg</f>
        <v>3.1127509351705464E-2</v>
      </c>
      <c r="BL187" s="22">
        <f>Constants!$H54*'Activity data'!BL19*Constants!$H72*FracLEACHMM*MMLeachEF*NtoN2O*kgtoGg</f>
        <v>3.1907708746430861E-2</v>
      </c>
      <c r="BM187" s="22">
        <f>Constants!$H54*'Activity data'!BM19*Constants!$H72*FracLEACHMM*MMLeachEF*NtoN2O*kgtoGg</f>
        <v>3.2707590429512351E-2</v>
      </c>
      <c r="BN187" s="22">
        <f>Constants!$H54*'Activity data'!BN19*Constants!$H72*FracLEACHMM*MMLeachEF*NtoN2O*kgtoGg</f>
        <v>3.350302715612756E-2</v>
      </c>
      <c r="BO187" s="22">
        <f>Constants!$H54*'Activity data'!BO19*Constants!$H72*FracLEACHMM*MMLeachEF*NtoN2O*kgtoGg</f>
        <v>3.4319261974709594E-2</v>
      </c>
      <c r="BP187" s="22">
        <f>Constants!$H54*'Activity data'!BP19*Constants!$H72*FracLEACHMM*MMLeachEF*NtoN2O*kgtoGg</f>
        <v>3.5157464142161046E-2</v>
      </c>
    </row>
    <row r="188" spans="1:68" x14ac:dyDescent="0.25">
      <c r="A188" t="str">
        <f t="shared" si="58"/>
        <v>3C Aggregated and non-CO2 emissions on land</v>
      </c>
      <c r="B188" t="str">
        <f>B187</f>
        <v>3C6 Indirect N2O from manure management (N2O)</v>
      </c>
      <c r="C188" t="str">
        <f t="shared" si="67"/>
        <v>Leaching/runoff</v>
      </c>
      <c r="D188" t="str">
        <f>D172</f>
        <v xml:space="preserve"> - Commercial broilers</v>
      </c>
      <c r="E188" t="str">
        <f t="shared" si="64"/>
        <v>Leaching/runoff - Commercial broilers</v>
      </c>
      <c r="F188" t="str">
        <f t="shared" si="47"/>
        <v>N2O</v>
      </c>
      <c r="G188" t="str">
        <f t="shared" si="48"/>
        <v>Gg N2O</v>
      </c>
      <c r="H188" s="22">
        <f>Constants!$H55*'Activity data'!H20*Constants!$H73*FracLEACHMM*MMLeachEF*NtoN2O*kgtoGg</f>
        <v>3.3251202703764936E-2</v>
      </c>
      <c r="I188" s="22">
        <f>Constants!$H55*'Activity data'!I20*Constants!$H73*FracLEACHMM*MMLeachEF*NtoN2O*kgtoGg</f>
        <v>3.1256130581881272E-2</v>
      </c>
      <c r="J188" s="22">
        <f>Constants!$H55*'Activity data'!J20*Constants!$H73*FracLEACHMM*MMLeachEF*NtoN2O*kgtoGg</f>
        <v>2.9539279304954081E-2</v>
      </c>
      <c r="K188" s="22">
        <f>Constants!$H55*'Activity data'!K20*Constants!$H73*FracLEACHMM*MMLeachEF*NtoN2O*kgtoGg</f>
        <v>3.3221188579374041E-2</v>
      </c>
      <c r="L188" s="22">
        <f>Constants!$H55*'Activity data'!L20*Constants!$H73*FracLEACHMM*MMLeachEF*NtoN2O*kgtoGg</f>
        <v>3.2909615722030355E-2</v>
      </c>
      <c r="M188" s="22">
        <f>Constants!$H55*'Activity data'!M20*Constants!$H73*FracLEACHMM*MMLeachEF*NtoN2O*kgtoGg</f>
        <v>3.7669866131891196E-2</v>
      </c>
      <c r="N188" s="22">
        <f>Constants!$H55*'Activity data'!N20*Constants!$H73*FracLEACHMM*MMLeachEF*NtoN2O*kgtoGg</f>
        <v>4.380034464193687E-2</v>
      </c>
      <c r="O188" s="22">
        <f>Constants!$H55*'Activity data'!O20*Constants!$H73*FracLEACHMM*MMLeachEF*NtoN2O*kgtoGg</f>
        <v>4.458374413793717E-2</v>
      </c>
      <c r="P188" s="22">
        <f>Constants!$H55*'Activity data'!P20*Constants!$H73*FracLEACHMM*MMLeachEF*NtoN2O*kgtoGg</f>
        <v>4.8851875625500675E-2</v>
      </c>
      <c r="Q188" s="22">
        <f>Constants!$H55*'Activity data'!Q20*Constants!$H73*FracLEACHMM*MMLeachEF*NtoN2O*kgtoGg</f>
        <v>5.1000810169688715E-2</v>
      </c>
      <c r="R188" s="22">
        <f>Constants!$H55*'Activity data'!R20*Constants!$H73*FracLEACHMM*MMLeachEF*NtoN2O*kgtoGg</f>
        <v>5.4873113549001651E-2</v>
      </c>
      <c r="S188" s="22">
        <f>Constants!$H55*'Activity data'!S20*Constants!$H73*FracLEACHMM*MMLeachEF*NtoN2O*kgtoGg</f>
        <v>5.2985756974377428E-2</v>
      </c>
      <c r="T188" s="22">
        <f>Constants!$H55*'Activity data'!T20*Constants!$H73*FracLEACHMM*MMLeachEF*NtoN2O*kgtoGg</f>
        <v>5.8725405403651593E-2</v>
      </c>
      <c r="U188" s="22">
        <f>Constants!$H55*'Activity data'!U20*Constants!$H73*FracLEACHMM*MMLeachEF*NtoN2O*kgtoGg</f>
        <v>5.5856725851573273E-2</v>
      </c>
      <c r="V188" s="22">
        <f>Constants!$H55*'Activity data'!V20*Constants!$H73*FracLEACHMM*MMLeachEF*NtoN2O*kgtoGg</f>
        <v>5.7205155940384118E-2</v>
      </c>
      <c r="W188" s="22">
        <f>Constants!$H55*'Activity data'!W20*Constants!$H73*FracLEACHMM*MMLeachEF*NtoN2O*kgtoGg</f>
        <v>6.329605772520823E-2</v>
      </c>
      <c r="X188" s="22">
        <f>Constants!$H55*'Activity data'!X20*Constants!$H73*FracLEACHMM*MMLeachEF*NtoN2O*kgtoGg</f>
        <v>6.7701049603437022E-2</v>
      </c>
      <c r="Y188" s="22">
        <f>Constants!$H55*'Activity data'!Y20*Constants!$H73*FracLEACHMM*MMLeachEF*NtoN2O*kgtoGg</f>
        <v>7.0833855292733158E-2</v>
      </c>
      <c r="Z188" s="22">
        <f>Constants!$H55*'Activity data'!Z20*Constants!$H73*FracLEACHMM*MMLeachEF*NtoN2O*kgtoGg</f>
        <v>7.5418822438452923E-2</v>
      </c>
      <c r="AA188" s="22">
        <f>Constants!$H55*'Activity data'!AA20*Constants!$H73*FracLEACHMM*MMLeachEF*NtoN2O*kgtoGg</f>
        <v>7.1165915529208493E-2</v>
      </c>
      <c r="AB188" s="22">
        <f>Constants!$H55*'Activity data'!AB20*Constants!$H73*FracLEACHMM*MMLeachEF*NtoN2O*kgtoGg</f>
        <v>7.2955795050844749E-2</v>
      </c>
      <c r="AC188" s="22">
        <f>Constants!$H55*'Activity data'!AC20*Constants!$H73*FracLEACHMM*MMLeachEF*NtoN2O*kgtoGg</f>
        <v>7.5455418934244733E-2</v>
      </c>
      <c r="AD188" s="22">
        <f>Constants!$H55*'Activity data'!AD20*Constants!$H73*FracLEACHMM*MMLeachEF*NtoN2O*kgtoGg</f>
        <v>7.4479067529274995E-2</v>
      </c>
      <c r="AE188" s="22">
        <f>Constants!$H55*'Activity data'!AE20*Constants!$H73*FracLEACHMM*MMLeachEF*NtoN2O*kgtoGg</f>
        <v>7.5787042055822734E-2</v>
      </c>
      <c r="AF188" s="22">
        <f>Constants!$H55*'Activity data'!AF20*Constants!$H73*FracLEACHMM*MMLeachEF*NtoN2O*kgtoGg</f>
        <v>7.6745818801644355E-2</v>
      </c>
      <c r="AG188" s="22">
        <f>Constants!$H55*'Activity data'!AG20*Constants!$H73*FracLEACHMM*MMLeachEF*NtoN2O*kgtoGg</f>
        <v>7.7340093612048855E-2</v>
      </c>
      <c r="AH188" s="22">
        <f>Constants!$H55*'Activity data'!AH20*Constants!$H73*FracLEACHMM*MMLeachEF*NtoN2O*kgtoGg</f>
        <v>7.7624028992724747E-2</v>
      </c>
      <c r="AI188" s="22">
        <f>Constants!$H55*'Activity data'!AI20*Constants!$H73*FracLEACHMM*MMLeachEF*NtoN2O*kgtoGg</f>
        <v>7.8160794689245E-2</v>
      </c>
      <c r="AJ188" s="22">
        <f>Constants!$H55*'Activity data'!AJ20*Constants!$H73*FracLEACHMM*MMLeachEF*NtoN2O*kgtoGg</f>
        <v>7.859495984426898E-2</v>
      </c>
      <c r="AK188" s="22">
        <f>Constants!$H55*'Activity data'!AK20*Constants!$H73*FracLEACHMM*MMLeachEF*NtoN2O*kgtoGg</f>
        <v>7.8932949748040507E-2</v>
      </c>
      <c r="AL188" s="22">
        <f>Constants!$H55*'Activity data'!AL20*Constants!$H73*FracLEACHMM*MMLeachEF*NtoN2O*kgtoGg</f>
        <v>7.3685912576869989E-2</v>
      </c>
      <c r="AM188" s="22">
        <f>Constants!$H55*'Activity data'!AM20*Constants!$H73*FracLEACHMM*MMLeachEF*NtoN2O*kgtoGg</f>
        <v>7.4880167826986588E-2</v>
      </c>
      <c r="AN188" s="22">
        <f>Constants!$H55*'Activity data'!AN20*Constants!$H73*FracLEACHMM*MMLeachEF*NtoN2O*kgtoGg</f>
        <v>7.6006393292435429E-2</v>
      </c>
      <c r="AO188" s="22">
        <f>Constants!$H55*'Activity data'!AO20*Constants!$H73*FracLEACHMM*MMLeachEF*NtoN2O*kgtoGg</f>
        <v>7.7137052164280392E-2</v>
      </c>
      <c r="AP188" s="22">
        <f>Constants!$H55*'Activity data'!AP20*Constants!$H73*FracLEACHMM*MMLeachEF*NtoN2O*kgtoGg</f>
        <v>7.8210726838310929E-2</v>
      </c>
      <c r="AQ188" s="22">
        <f>Constants!$H55*'Activity data'!AQ20*Constants!$H73*FracLEACHMM*MMLeachEF*NtoN2O*kgtoGg</f>
        <v>7.9333461367881011E-2</v>
      </c>
      <c r="AR188" s="22">
        <f>Constants!$H55*'Activity data'!AR20*Constants!$H73*FracLEACHMM*MMLeachEF*NtoN2O*kgtoGg</f>
        <v>8.0681363073808146E-2</v>
      </c>
      <c r="AS188" s="22">
        <f>Constants!$H55*'Activity data'!AS20*Constants!$H73*FracLEACHMM*MMLeachEF*NtoN2O*kgtoGg</f>
        <v>8.2002965370500225E-2</v>
      </c>
      <c r="AT188" s="22">
        <f>Constants!$H55*'Activity data'!AT20*Constants!$H73*FracLEACHMM*MMLeachEF*NtoN2O*kgtoGg</f>
        <v>8.3386548905161451E-2</v>
      </c>
      <c r="AU188" s="22">
        <f>Constants!$H55*'Activity data'!AU20*Constants!$H73*FracLEACHMM*MMLeachEF*NtoN2O*kgtoGg</f>
        <v>8.481140998226773E-2</v>
      </c>
      <c r="AV188" s="22">
        <f>Constants!$H55*'Activity data'!AV20*Constants!$H73*FracLEACHMM*MMLeachEF*NtoN2O*kgtoGg</f>
        <v>8.6280906602784938E-2</v>
      </c>
      <c r="AW188" s="22">
        <f>Constants!$H55*'Activity data'!AW20*Constants!$H73*FracLEACHMM*MMLeachEF*NtoN2O*kgtoGg</f>
        <v>8.8075793890250192E-2</v>
      </c>
      <c r="AX188" s="22">
        <f>Constants!$H55*'Activity data'!AX20*Constants!$H73*FracLEACHMM*MMLeachEF*NtoN2O*kgtoGg</f>
        <v>8.9755902044604055E-2</v>
      </c>
      <c r="AY188" s="22">
        <f>Constants!$H55*'Activity data'!AY20*Constants!$H73*FracLEACHMM*MMLeachEF*NtoN2O*kgtoGg</f>
        <v>9.1618891641875116E-2</v>
      </c>
      <c r="AZ188" s="22">
        <f>Constants!$H55*'Activity data'!AZ20*Constants!$H73*FracLEACHMM*MMLeachEF*NtoN2O*kgtoGg</f>
        <v>9.3595567410244676E-2</v>
      </c>
      <c r="BA188" s="22">
        <f>Constants!$H55*'Activity data'!BA20*Constants!$H73*FracLEACHMM*MMLeachEF*NtoN2O*kgtoGg</f>
        <v>9.5686947332208491E-2</v>
      </c>
      <c r="BB188" s="22">
        <f>Constants!$H55*'Activity data'!BB20*Constants!$H73*FracLEACHMM*MMLeachEF*NtoN2O*kgtoGg</f>
        <v>9.7805243934152852E-2</v>
      </c>
      <c r="BC188" s="22">
        <f>Constants!$H55*'Activity data'!BC20*Constants!$H73*FracLEACHMM*MMLeachEF*NtoN2O*kgtoGg</f>
        <v>9.9986460740458138E-2</v>
      </c>
      <c r="BD188" s="22">
        <f>Constants!$H55*'Activity data'!BD20*Constants!$H73*FracLEACHMM*MMLeachEF*NtoN2O*kgtoGg</f>
        <v>0.10216892432180003</v>
      </c>
      <c r="BE188" s="22">
        <f>Constants!$H55*'Activity data'!BE20*Constants!$H73*FracLEACHMM*MMLeachEF*NtoN2O*kgtoGg</f>
        <v>0.1044104531824621</v>
      </c>
      <c r="BF188" s="22">
        <f>Constants!$H55*'Activity data'!BF20*Constants!$H73*FracLEACHMM*MMLeachEF*NtoN2O*kgtoGg</f>
        <v>0.10675759624624846</v>
      </c>
      <c r="BG188" s="22">
        <f>Constants!$H55*'Activity data'!BG20*Constants!$H73*FracLEACHMM*MMLeachEF*NtoN2O*kgtoGg</f>
        <v>0.10915503163852827</v>
      </c>
      <c r="BH188" s="22">
        <f>Constants!$H55*'Activity data'!BH20*Constants!$H73*FracLEACHMM*MMLeachEF*NtoN2O*kgtoGg</f>
        <v>0.11162023686657435</v>
      </c>
      <c r="BI188" s="22">
        <f>Constants!$H55*'Activity data'!BI20*Constants!$H73*FracLEACHMM*MMLeachEF*NtoN2O*kgtoGg</f>
        <v>0.11414352574895631</v>
      </c>
      <c r="BJ188" s="22">
        <f>Constants!$H55*'Activity data'!BJ20*Constants!$H73*FracLEACHMM*MMLeachEF*NtoN2O*kgtoGg</f>
        <v>0.1167352651467652</v>
      </c>
      <c r="BK188" s="22">
        <f>Constants!$H55*'Activity data'!BK20*Constants!$H73*FracLEACHMM*MMLeachEF*NtoN2O*kgtoGg</f>
        <v>0.11944471882085145</v>
      </c>
      <c r="BL188" s="22">
        <f>Constants!$H55*'Activity data'!BL20*Constants!$H73*FracLEACHMM*MMLeachEF*NtoN2O*kgtoGg</f>
        <v>0.12224057020643309</v>
      </c>
      <c r="BM188" s="22">
        <f>Constants!$H55*'Activity data'!BM20*Constants!$H73*FracLEACHMM*MMLeachEF*NtoN2O*kgtoGg</f>
        <v>0.12511807241062139</v>
      </c>
      <c r="BN188" s="22">
        <f>Constants!$H55*'Activity data'!BN20*Constants!$H73*FracLEACHMM*MMLeachEF*NtoN2O*kgtoGg</f>
        <v>0.12797713496687568</v>
      </c>
      <c r="BO188" s="22">
        <f>Constants!$H55*'Activity data'!BO20*Constants!$H73*FracLEACHMM*MMLeachEF*NtoN2O*kgtoGg</f>
        <v>0.13092247719435032</v>
      </c>
      <c r="BP188" s="22">
        <f>Constants!$H55*'Activity data'!BP20*Constants!$H73*FracLEACHMM*MMLeachEF*NtoN2O*kgtoGg</f>
        <v>0.13395894967992092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00"/>
  </sheetPr>
  <dimension ref="A1:BT124"/>
  <sheetViews>
    <sheetView tabSelected="1" topLeftCell="H79" workbookViewId="0">
      <selection activeCell="F4" sqref="F4"/>
    </sheetView>
  </sheetViews>
  <sheetFormatPr defaultRowHeight="15" x14ac:dyDescent="0.25"/>
  <cols>
    <col min="1" max="1" width="16.85546875" customWidth="1"/>
    <col min="2" max="2" width="33.28515625" customWidth="1"/>
    <col min="3" max="3" width="27.5703125" customWidth="1"/>
    <col min="4" max="4" width="7.5703125" customWidth="1"/>
    <col min="5" max="5" width="26.140625" customWidth="1"/>
    <col min="6" max="33" width="9.7109375" customWidth="1"/>
    <col min="34" max="34" width="9.5703125" customWidth="1"/>
    <col min="49" max="50" width="9.42578125" customWidth="1"/>
    <col min="51" max="51" width="9.7109375" customWidth="1"/>
  </cols>
  <sheetData>
    <row r="1" spans="1:72" ht="18.75" x14ac:dyDescent="0.3">
      <c r="A1" s="1" t="s">
        <v>312</v>
      </c>
    </row>
    <row r="3" spans="1:72" s="19" customFormat="1" ht="15.75" x14ac:dyDescent="0.25">
      <c r="A3" s="17" t="s">
        <v>4</v>
      </c>
      <c r="B3" s="17" t="s">
        <v>313</v>
      </c>
      <c r="C3" s="17" t="s">
        <v>314</v>
      </c>
      <c r="D3" s="17" t="s">
        <v>5</v>
      </c>
      <c r="E3" s="17" t="s">
        <v>0</v>
      </c>
      <c r="F3" s="17">
        <v>1990</v>
      </c>
      <c r="G3" s="17">
        <v>1991</v>
      </c>
      <c r="H3" s="17">
        <v>1992</v>
      </c>
      <c r="I3" s="17">
        <v>1993</v>
      </c>
      <c r="J3" s="17">
        <v>1994</v>
      </c>
      <c r="K3" s="17">
        <v>1995</v>
      </c>
      <c r="L3" s="17">
        <v>1996</v>
      </c>
      <c r="M3" s="17">
        <v>1997</v>
      </c>
      <c r="N3" s="17">
        <v>1998</v>
      </c>
      <c r="O3" s="17">
        <v>1999</v>
      </c>
      <c r="P3" s="17">
        <v>2000</v>
      </c>
      <c r="Q3" s="17">
        <v>2001</v>
      </c>
      <c r="R3" s="17">
        <v>2002</v>
      </c>
      <c r="S3" s="17">
        <v>2003</v>
      </c>
      <c r="T3" s="17">
        <v>2004</v>
      </c>
      <c r="U3" s="17">
        <v>2005</v>
      </c>
      <c r="V3" s="17">
        <v>2006</v>
      </c>
      <c r="W3" s="17">
        <v>2007</v>
      </c>
      <c r="X3" s="17">
        <v>2008</v>
      </c>
      <c r="Y3" s="17">
        <v>2009</v>
      </c>
      <c r="Z3" s="17">
        <v>2010</v>
      </c>
      <c r="AA3" s="17">
        <v>2011</v>
      </c>
      <c r="AB3" s="17">
        <v>2012</v>
      </c>
      <c r="AC3" s="17">
        <v>2013</v>
      </c>
      <c r="AD3" s="17">
        <v>2014</v>
      </c>
      <c r="AE3" s="17">
        <v>2015</v>
      </c>
      <c r="AF3" s="17">
        <v>2016</v>
      </c>
      <c r="AG3" s="17">
        <v>2017</v>
      </c>
      <c r="AH3" s="17">
        <v>2018</v>
      </c>
      <c r="AI3" s="17">
        <v>2019</v>
      </c>
      <c r="AJ3" s="17">
        <v>2020</v>
      </c>
      <c r="AK3" s="17">
        <v>2021</v>
      </c>
      <c r="AL3" s="17">
        <v>2022</v>
      </c>
      <c r="AM3" s="17">
        <v>2023</v>
      </c>
      <c r="AN3" s="17">
        <v>2024</v>
      </c>
      <c r="AO3" s="17">
        <v>2025</v>
      </c>
      <c r="AP3" s="17">
        <v>2026</v>
      </c>
      <c r="AQ3" s="17">
        <v>2027</v>
      </c>
      <c r="AR3" s="17">
        <v>2028</v>
      </c>
      <c r="AS3" s="17">
        <v>2029</v>
      </c>
      <c r="AT3" s="17">
        <v>2030</v>
      </c>
      <c r="AU3" s="17">
        <v>2031</v>
      </c>
      <c r="AV3" s="17">
        <v>2032</v>
      </c>
      <c r="AW3" s="17">
        <v>2033</v>
      </c>
      <c r="AX3" s="17">
        <v>2034</v>
      </c>
      <c r="AY3" s="17">
        <v>2035</v>
      </c>
      <c r="AZ3" s="17">
        <v>2036</v>
      </c>
      <c r="BA3" s="17">
        <v>2037</v>
      </c>
      <c r="BB3" s="17">
        <v>2038</v>
      </c>
      <c r="BC3" s="17">
        <v>2039</v>
      </c>
      <c r="BD3" s="17">
        <v>2040</v>
      </c>
      <c r="BE3" s="17">
        <v>2041</v>
      </c>
      <c r="BF3" s="17">
        <v>2042</v>
      </c>
      <c r="BG3" s="17">
        <v>2043</v>
      </c>
      <c r="BH3" s="17">
        <v>2044</v>
      </c>
      <c r="BI3" s="17">
        <v>2045</v>
      </c>
      <c r="BJ3" s="17">
        <v>2046</v>
      </c>
      <c r="BK3" s="17">
        <v>2047</v>
      </c>
      <c r="BL3" s="17">
        <v>2048</v>
      </c>
      <c r="BM3" s="17">
        <v>2049</v>
      </c>
      <c r="BN3" s="17">
        <v>2050</v>
      </c>
      <c r="BO3" s="17"/>
      <c r="BP3" s="17"/>
      <c r="BQ3" s="17"/>
      <c r="BR3" s="17"/>
      <c r="BS3" s="17"/>
      <c r="BT3" s="17"/>
    </row>
    <row r="4" spans="1:72" s="19" customFormat="1" ht="15.75" x14ac:dyDescent="0.25">
      <c r="A4" s="19" t="str">
        <f>A10</f>
        <v>3A Livestock</v>
      </c>
      <c r="B4" s="19" t="str">
        <f>B10</f>
        <v>3A1 Enteric fermentation (CH4)</v>
      </c>
      <c r="C4" s="19" t="s">
        <v>148</v>
      </c>
      <c r="D4" s="19" t="str">
        <f>D10</f>
        <v>CH4</v>
      </c>
      <c r="E4" s="19" t="str">
        <f>E10</f>
        <v>Gg CH4</v>
      </c>
      <c r="F4" s="46">
        <f t="shared" ref="F4:AK4" si="0">SUM(F5:F10)</f>
        <v>1327.9929106930647</v>
      </c>
      <c r="G4" s="46">
        <f t="shared" si="0"/>
        <v>1335.8549640365982</v>
      </c>
      <c r="H4" s="46">
        <f t="shared" si="0"/>
        <v>1306.724639770646</v>
      </c>
      <c r="I4" s="46">
        <f t="shared" si="0"/>
        <v>1265.7647590620991</v>
      </c>
      <c r="J4" s="46">
        <f t="shared" si="0"/>
        <v>1227.3601806444815</v>
      </c>
      <c r="K4" s="46">
        <f t="shared" si="0"/>
        <v>1241.319329838064</v>
      </c>
      <c r="L4" s="46">
        <f t="shared" si="0"/>
        <v>1272.5159515510607</v>
      </c>
      <c r="M4" s="46">
        <f t="shared" si="0"/>
        <v>1292.809224948664</v>
      </c>
      <c r="N4" s="46">
        <f t="shared" si="0"/>
        <v>1310.4189716116523</v>
      </c>
      <c r="O4" s="46">
        <f t="shared" si="0"/>
        <v>1308.5746754684244</v>
      </c>
      <c r="P4" s="46">
        <f t="shared" si="0"/>
        <v>1312.1057051017465</v>
      </c>
      <c r="Q4" s="46">
        <f t="shared" si="0"/>
        <v>1302.6646412515495</v>
      </c>
      <c r="R4" s="46">
        <f t="shared" si="0"/>
        <v>1272.22575509339</v>
      </c>
      <c r="S4" s="46">
        <f t="shared" si="0"/>
        <v>1268.4512614282132</v>
      </c>
      <c r="T4" s="46">
        <f t="shared" si="0"/>
        <v>1255.9453630208041</v>
      </c>
      <c r="U4" s="46">
        <f t="shared" si="0"/>
        <v>1263.4958369144908</v>
      </c>
      <c r="V4" s="46">
        <f t="shared" si="0"/>
        <v>1257.6522863386949</v>
      </c>
      <c r="W4" s="46">
        <f t="shared" si="0"/>
        <v>1283.6151217227919</v>
      </c>
      <c r="X4" s="46">
        <f t="shared" si="0"/>
        <v>1305.1163993134912</v>
      </c>
      <c r="Y4" s="46">
        <f t="shared" si="0"/>
        <v>1299.5851784255913</v>
      </c>
      <c r="Z4" s="46">
        <f t="shared" si="0"/>
        <v>1289.3842901984572</v>
      </c>
      <c r="AA4" s="46">
        <f t="shared" si="0"/>
        <v>1281.9515248129248</v>
      </c>
      <c r="AB4" s="46">
        <f t="shared" si="0"/>
        <v>1280.5620266256651</v>
      </c>
      <c r="AC4" s="46">
        <f t="shared" si="0"/>
        <v>1280.717062201064</v>
      </c>
      <c r="AD4" s="46">
        <f t="shared" si="0"/>
        <v>1281.3195217379807</v>
      </c>
      <c r="AE4" s="46">
        <f t="shared" si="0"/>
        <v>1282.3230735490349</v>
      </c>
      <c r="AF4" s="46">
        <f t="shared" si="0"/>
        <v>1283.698688713775</v>
      </c>
      <c r="AG4" s="46">
        <f t="shared" si="0"/>
        <v>1284.9032518169824</v>
      </c>
      <c r="AH4" s="46">
        <f t="shared" si="0"/>
        <v>1286.2402041579498</v>
      </c>
      <c r="AI4" s="46">
        <f t="shared" si="0"/>
        <v>1287.6983208012575</v>
      </c>
      <c r="AJ4" s="46">
        <f t="shared" si="0"/>
        <v>1294.3573051447656</v>
      </c>
      <c r="AK4" s="46">
        <f t="shared" si="0"/>
        <v>1294.9161190471125</v>
      </c>
      <c r="AL4" s="46">
        <f t="shared" ref="AL4:BN4" si="1">SUM(AL5:AL10)</f>
        <v>1295.6655510886783</v>
      </c>
      <c r="AM4" s="46">
        <f t="shared" si="1"/>
        <v>1296.5232559111337</v>
      </c>
      <c r="AN4" s="46">
        <f t="shared" si="1"/>
        <v>1297.5370563883757</v>
      </c>
      <c r="AO4" s="46">
        <f t="shared" si="1"/>
        <v>1298.6122645473852</v>
      </c>
      <c r="AP4" s="46">
        <f t="shared" si="1"/>
        <v>1299.693710422458</v>
      </c>
      <c r="AQ4" s="46">
        <f t="shared" si="1"/>
        <v>1300.9169822908173</v>
      </c>
      <c r="AR4" s="46">
        <f t="shared" si="1"/>
        <v>1302.2205310315003</v>
      </c>
      <c r="AS4" s="46">
        <f t="shared" si="1"/>
        <v>1303.6217562706424</v>
      </c>
      <c r="AT4" s="46">
        <f t="shared" si="1"/>
        <v>1305.2206418404421</v>
      </c>
      <c r="AU4" s="46">
        <f t="shared" si="1"/>
        <v>1313.6182301097551</v>
      </c>
      <c r="AV4" s="46">
        <f t="shared" si="1"/>
        <v>1320.2768157970402</v>
      </c>
      <c r="AW4" s="46">
        <f t="shared" si="1"/>
        <v>1327.8398520549827</v>
      </c>
      <c r="AX4" s="46">
        <f t="shared" si="1"/>
        <v>1335.4517950672214</v>
      </c>
      <c r="AY4" s="46">
        <f t="shared" si="1"/>
        <v>1343.0201855840664</v>
      </c>
      <c r="AZ4" s="46">
        <f t="shared" si="1"/>
        <v>1349.6774944905451</v>
      </c>
      <c r="BA4" s="46">
        <f t="shared" si="1"/>
        <v>1355.6691464374182</v>
      </c>
      <c r="BB4" s="46">
        <f t="shared" si="1"/>
        <v>1358.8800224879781</v>
      </c>
      <c r="BC4" s="46">
        <f t="shared" si="1"/>
        <v>1361.0249637108313</v>
      </c>
      <c r="BD4" s="46">
        <f t="shared" si="1"/>
        <v>1362.6701493673359</v>
      </c>
      <c r="BE4" s="46">
        <f t="shared" si="1"/>
        <v>1368.6139632452991</v>
      </c>
      <c r="BF4" s="46">
        <f t="shared" si="1"/>
        <v>1373.9879468369568</v>
      </c>
      <c r="BG4" s="46">
        <f t="shared" si="1"/>
        <v>1378.6734608696781</v>
      </c>
      <c r="BH4" s="46">
        <f t="shared" si="1"/>
        <v>1382.7058685905272</v>
      </c>
      <c r="BI4" s="46">
        <f t="shared" si="1"/>
        <v>1386.3838628101628</v>
      </c>
      <c r="BJ4" s="46">
        <f t="shared" si="1"/>
        <v>1389.3528713058827</v>
      </c>
      <c r="BK4" s="46">
        <f t="shared" si="1"/>
        <v>1391.5845380921237</v>
      </c>
      <c r="BL4" s="46">
        <f t="shared" si="1"/>
        <v>1392.3895265071305</v>
      </c>
      <c r="BM4" s="46">
        <f t="shared" si="1"/>
        <v>1392.419488295209</v>
      </c>
      <c r="BN4" s="46">
        <f t="shared" si="1"/>
        <v>1391.6440660568683</v>
      </c>
    </row>
    <row r="5" spans="1:72" x14ac:dyDescent="0.25">
      <c r="A5" t="str">
        <f>'IPCC Categories'!A5</f>
        <v>3A Livestock</v>
      </c>
      <c r="B5" t="str">
        <f>'IPCC Categories'!B5</f>
        <v>3A1 Enteric fermentation (CH4)</v>
      </c>
      <c r="C5" t="str">
        <f>'IPCC Categories'!C5</f>
        <v>3A1a Cattle</v>
      </c>
      <c r="D5" t="s">
        <v>121</v>
      </c>
      <c r="E5" t="s">
        <v>286</v>
      </c>
      <c r="F5" s="28">
        <f>SUM(Emissions!H4:H9)</f>
        <v>1038.7066897332186</v>
      </c>
      <c r="G5" s="28">
        <f>SUM(Emissions!I4:I9)</f>
        <v>1062.622409264211</v>
      </c>
      <c r="H5" s="28">
        <f>SUM(Emissions!J4:J9)</f>
        <v>1045.6666328596029</v>
      </c>
      <c r="I5" s="28">
        <f>SUM(Emissions!K4:K9)</f>
        <v>1020.5770230380992</v>
      </c>
      <c r="J5" s="28">
        <f>SUM(Emissions!L4:L9)</f>
        <v>977.53553131488729</v>
      </c>
      <c r="K5" s="28">
        <f>SUM(Emissions!M4:M9)</f>
        <v>993.63998299830973</v>
      </c>
      <c r="L5" s="28">
        <f>SUM(Emissions!N4:N9)</f>
        <v>1023.2624804579716</v>
      </c>
      <c r="M5" s="28">
        <f>SUM(Emissions!O4:O9)</f>
        <v>1047.9642538762077</v>
      </c>
      <c r="N5" s="28">
        <f>SUM(Emissions!P4:P9)</f>
        <v>1065.5307450633529</v>
      </c>
      <c r="O5" s="28">
        <f>SUM(Emissions!Q4:Q9)</f>
        <v>1069.0376045529865</v>
      </c>
      <c r="P5" s="28">
        <f>SUM(Emissions!R4:R9)</f>
        <v>1079.3032063994983</v>
      </c>
      <c r="Q5" s="28">
        <f>SUM(Emissions!S4:S9)</f>
        <v>1073.0179536840035</v>
      </c>
      <c r="R5" s="28">
        <f>SUM(Emissions!T4:T9)</f>
        <v>1049.3533594521653</v>
      </c>
      <c r="S5" s="28">
        <f>SUM(Emissions!U4:U9)</f>
        <v>1046.0577020555033</v>
      </c>
      <c r="T5" s="28">
        <f>SUM(Emissions!V4:V9)</f>
        <v>1036.5801021259565</v>
      </c>
      <c r="U5" s="28">
        <f>SUM(Emissions!W4:W9)</f>
        <v>1045.0656634804072</v>
      </c>
      <c r="V5" s="28">
        <f>SUM(Emissions!X4:X9)</f>
        <v>1040.4875710587394</v>
      </c>
      <c r="W5" s="28">
        <f>SUM(Emissions!Y4:Y9)</f>
        <v>1067.5807354289416</v>
      </c>
      <c r="X5" s="28">
        <f>SUM(Emissions!Z4:Z9)</f>
        <v>1088.4738884710582</v>
      </c>
      <c r="Y5" s="28">
        <f>SUM(Emissions!AA4:AA9)</f>
        <v>1084.1850221873594</v>
      </c>
      <c r="Z5" s="28">
        <f>SUM(Emissions!AB4:AB9)</f>
        <v>1077.70630634291</v>
      </c>
      <c r="AA5" s="28">
        <f>SUM(Emissions!AC4:AC9)</f>
        <v>1071.8270693139966</v>
      </c>
      <c r="AB5" s="28">
        <f>SUM(Emissions!AD4:AD9)</f>
        <v>1065.6067643595891</v>
      </c>
      <c r="AC5" s="28">
        <f>SUM(Emissions!AE4:AE9)</f>
        <v>1066.401923349438</v>
      </c>
      <c r="AD5" s="28">
        <f>SUM(Emissions!AF4:AF9)</f>
        <v>1067.6486818819733</v>
      </c>
      <c r="AE5" s="28">
        <f>SUM(Emissions!AG4:AG9)</f>
        <v>1069.3012435109192</v>
      </c>
      <c r="AF5" s="28">
        <f>SUM(Emissions!AH4:AH9)</f>
        <v>1071.3821690520801</v>
      </c>
      <c r="AG5" s="28">
        <f>SUM(Emissions!AI4:AI9)</f>
        <v>1073.2803135735548</v>
      </c>
      <c r="AH5" s="28">
        <f>SUM(Emissions!AJ4:AJ9)</f>
        <v>1075.3048400373987</v>
      </c>
      <c r="AI5" s="28">
        <f>SUM(Emissions!AK4:AK9)</f>
        <v>1077.4446068230604</v>
      </c>
      <c r="AJ5" s="28">
        <f>SUM(Emissions!AL4:AL9)</f>
        <v>1084.8552834347702</v>
      </c>
      <c r="AK5" s="28">
        <f>SUM(Emissions!AM4:AM9)</f>
        <v>1086.0791396783163</v>
      </c>
      <c r="AL5" s="28">
        <f>SUM(Emissions!AN4:AN9)</f>
        <v>1087.4873210177539</v>
      </c>
      <c r="AM5" s="28">
        <f>SUM(Emissions!AO4:AO9)</f>
        <v>1088.9967657692764</v>
      </c>
      <c r="AN5" s="28">
        <f>SUM(Emissions!AP4:AP9)</f>
        <v>1090.656317940764</v>
      </c>
      <c r="AO5" s="28">
        <f>SUM(Emissions!AQ4:AQ9)</f>
        <v>1092.3700491663496</v>
      </c>
      <c r="AP5" s="28">
        <f>SUM(Emissions!AR4:AR9)</f>
        <v>1094.1342107141095</v>
      </c>
      <c r="AQ5" s="28">
        <f>SUM(Emissions!AS4:AS9)</f>
        <v>1096.0332189791316</v>
      </c>
      <c r="AR5" s="28">
        <f>SUM(Emissions!AT4:AT9)</f>
        <v>1098.0044742041446</v>
      </c>
      <c r="AS5" s="28">
        <f>SUM(Emissions!AU4:AU9)</f>
        <v>1100.0658380837667</v>
      </c>
      <c r="AT5" s="28">
        <f>SUM(Emissions!AV4:AV9)</f>
        <v>1102.218297267741</v>
      </c>
      <c r="AU5" s="28">
        <f>SUM(Emissions!AW4:AW9)</f>
        <v>1111.0418328020996</v>
      </c>
      <c r="AV5" s="28">
        <f>SUM(Emissions!AX4:AX9)</f>
        <v>1117.6214419730572</v>
      </c>
      <c r="AW5" s="28">
        <f>SUM(Emissions!AY4:AY9)</f>
        <v>1125.0933461541083</v>
      </c>
      <c r="AX5" s="28">
        <f>SUM(Emissions!AZ4:AZ9)</f>
        <v>1132.6088116293379</v>
      </c>
      <c r="AY5" s="28">
        <f>SUM(Emissions!BA4:BA9)</f>
        <v>1140.0753677533121</v>
      </c>
      <c r="AZ5" s="28">
        <f>SUM(Emissions!BB4:BB9)</f>
        <v>1146.6305802855811</v>
      </c>
      <c r="BA5" s="28">
        <f>SUM(Emissions!BC4:BC9)</f>
        <v>1152.5200287120447</v>
      </c>
      <c r="BB5" s="28">
        <f>SUM(Emissions!BD4:BD9)</f>
        <v>1155.6345332486358</v>
      </c>
      <c r="BC5" s="28">
        <f>SUM(Emissions!BE4:BE9)</f>
        <v>1157.6834421334138</v>
      </c>
      <c r="BD5" s="28">
        <f>SUM(Emissions!BF4:BF9)</f>
        <v>1159.2285266018519</v>
      </c>
      <c r="BE5" s="28">
        <f>SUM(Emissions!BG4:BG9)</f>
        <v>1165.0123544225937</v>
      </c>
      <c r="BF5" s="28">
        <f>SUM(Emissions!BH4:BH9)</f>
        <v>1170.2250106610234</v>
      </c>
      <c r="BG5" s="28">
        <f>SUM(Emissions!BI4:BI9)</f>
        <v>1174.7487858195373</v>
      </c>
      <c r="BH5" s="28">
        <f>SUM(Emissions!BJ4:BJ9)</f>
        <v>1178.6180444394902</v>
      </c>
      <c r="BI5" s="28">
        <f>SUM(Emissions!BK4:BK9)</f>
        <v>1182.1267054160016</v>
      </c>
      <c r="BJ5" s="28">
        <f>SUM(Emissions!BL4:BL9)</f>
        <v>1184.9257312884722</v>
      </c>
      <c r="BK5" s="28">
        <f>SUM(Emissions!BM4:BM9)</f>
        <v>1186.9843597811814</v>
      </c>
      <c r="BL5" s="28">
        <f>SUM(Emissions!BN4:BN9)</f>
        <v>1187.6229945087089</v>
      </c>
      <c r="BM5" s="28">
        <f>SUM(Emissions!BO4:BO9)</f>
        <v>1187.4830325883418</v>
      </c>
      <c r="BN5" s="28">
        <f>SUM(Emissions!BP4:BP9)</f>
        <v>1186.5335363606878</v>
      </c>
    </row>
    <row r="6" spans="1:72" x14ac:dyDescent="0.25">
      <c r="A6" t="str">
        <f>A5</f>
        <v>3A Livestock</v>
      </c>
      <c r="B6" t="str">
        <f>B5</f>
        <v>3A1 Enteric fermentation (CH4)</v>
      </c>
      <c r="C6" t="str">
        <f>'IPCC Categories'!C7</f>
        <v>3A1c Sheep</v>
      </c>
      <c r="D6" t="str">
        <f>D5</f>
        <v>CH4</v>
      </c>
      <c r="E6" t="str">
        <f>E5</f>
        <v>Gg CH4</v>
      </c>
      <c r="F6" s="28">
        <f>SUM(Emissions!H10:H11)</f>
        <v>230.15541038431331</v>
      </c>
      <c r="G6" s="28">
        <f>SUM(Emissions!I10:I11)</f>
        <v>219.80651638524552</v>
      </c>
      <c r="H6" s="28">
        <f>SUM(Emissions!J10:J11)</f>
        <v>210.72436386232471</v>
      </c>
      <c r="I6" s="28">
        <f>SUM(Emissions!K10:K11)</f>
        <v>197.07426480420705</v>
      </c>
      <c r="J6" s="28">
        <f>SUM(Emissions!L10:L11)</f>
        <v>198.463841817435</v>
      </c>
      <c r="K6" s="28">
        <f>SUM(Emissions!M10:M11)</f>
        <v>195.62327002243862</v>
      </c>
      <c r="L6" s="28">
        <f>SUM(Emissions!N10:N11)</f>
        <v>196.27583381318104</v>
      </c>
      <c r="M6" s="28">
        <f>SUM(Emissions!O10:O11)</f>
        <v>192.00729889961895</v>
      </c>
      <c r="N6" s="28">
        <f>SUM(Emissions!P10:P11)</f>
        <v>192.53702715328046</v>
      </c>
      <c r="O6" s="28">
        <f>SUM(Emissions!Q10:Q11)</f>
        <v>187.80785897566491</v>
      </c>
      <c r="P6" s="28">
        <f>SUM(Emissions!R10:R11)</f>
        <v>181.07493609941679</v>
      </c>
      <c r="Q6" s="28">
        <f>SUM(Emissions!S10:S11)</f>
        <v>176.56073011169283</v>
      </c>
      <c r="R6" s="28">
        <f>SUM(Emissions!T10:T11)</f>
        <v>173.61267722175066</v>
      </c>
      <c r="S6" s="28">
        <f>SUM(Emissions!U10:U11)</f>
        <v>174.21917768608773</v>
      </c>
      <c r="T6" s="28">
        <f>SUM(Emissions!V10:V11)</f>
        <v>171.11758037479439</v>
      </c>
      <c r="U6" s="28">
        <f>SUM(Emissions!W10:W11)</f>
        <v>170.71068765821383</v>
      </c>
      <c r="V6" s="28">
        <f>SUM(Emissions!X10:X11)</f>
        <v>168.47661632755455</v>
      </c>
      <c r="W6" s="28">
        <f>SUM(Emissions!Y10:Y11)</f>
        <v>168.31539468513583</v>
      </c>
      <c r="X6" s="28">
        <f>SUM(Emissions!Z10:Z11)</f>
        <v>168.86047738093242</v>
      </c>
      <c r="Y6" s="28">
        <f>SUM(Emissions!AA10:AA11)</f>
        <v>168.26165413766293</v>
      </c>
      <c r="Z6" s="28">
        <f>SUM(Emissions!AB10:AB11)</f>
        <v>165.00651240501841</v>
      </c>
      <c r="AA6" s="28">
        <f>SUM(Emissions!AC10:AC11)</f>
        <v>163.71673926566876</v>
      </c>
      <c r="AB6" s="28">
        <f>SUM(Emissions!AD10:AD11)</f>
        <v>168.13450805138132</v>
      </c>
      <c r="AC6" s="28">
        <f>SUM(Emissions!AE10:AE11)</f>
        <v>167.5794211778919</v>
      </c>
      <c r="AD6" s="28">
        <f>SUM(Emissions!AF10:AF11)</f>
        <v>167.03822222892521</v>
      </c>
      <c r="AE6" s="28">
        <f>SUM(Emissions!AG10:AG11)</f>
        <v>166.51121752905797</v>
      </c>
      <c r="AF6" s="28">
        <f>SUM(Emissions!AH10:AH11)</f>
        <v>165.95610387752035</v>
      </c>
      <c r="AG6" s="28">
        <f>SUM(Emissions!AI10:AI11)</f>
        <v>165.4008912326951</v>
      </c>
      <c r="AH6" s="28">
        <f>SUM(Emissions!AJ10:AJ11)</f>
        <v>164.85649458063347</v>
      </c>
      <c r="AI6" s="28">
        <f>SUM(Emissions!AK10:AK11)</f>
        <v>164.32238917378029</v>
      </c>
      <c r="AJ6" s="28">
        <f>SUM(Emissions!AL10:AL11)</f>
        <v>163.95427157220814</v>
      </c>
      <c r="AK6" s="28">
        <f>SUM(Emissions!AM10:AM11)</f>
        <v>163.40190935262987</v>
      </c>
      <c r="AL6" s="28">
        <f>SUM(Emissions!AN10:AN11)</f>
        <v>162.85874059154543</v>
      </c>
      <c r="AM6" s="28">
        <f>SUM(Emissions!AO10:AO11)</f>
        <v>162.32259311465339</v>
      </c>
      <c r="AN6" s="28">
        <f>SUM(Emissions!AP10:AP11)</f>
        <v>161.79494621798696</v>
      </c>
      <c r="AO6" s="28">
        <f>SUM(Emissions!AQ10:AQ11)</f>
        <v>161.27274696622379</v>
      </c>
      <c r="AP6" s="28">
        <f>SUM(Emissions!AR10:AR11)</f>
        <v>160.71090929081123</v>
      </c>
      <c r="AQ6" s="28">
        <f>SUM(Emissions!AS10:AS11)</f>
        <v>160.15734218631135</v>
      </c>
      <c r="AR6" s="28">
        <f>SUM(Emissions!AT10:AT11)</f>
        <v>159.60946859120753</v>
      </c>
      <c r="AS6" s="28">
        <f>SUM(Emissions!AU10:AU11)</f>
        <v>159.06765721406276</v>
      </c>
      <c r="AT6" s="28">
        <f>SUM(Emissions!AV10:AV11)</f>
        <v>158.53163430808632</v>
      </c>
      <c r="AU6" s="28">
        <f>SUM(Emissions!AW10:AW11)</f>
        <v>158.01015652105755</v>
      </c>
      <c r="AV6" s="28">
        <f>SUM(Emissions!AX10:AX11)</f>
        <v>158.01015652105755</v>
      </c>
      <c r="AW6" s="28">
        <f>SUM(Emissions!AY10:AY11)</f>
        <v>158.01015652105755</v>
      </c>
      <c r="AX6" s="28">
        <f>SUM(Emissions!AZ10:AZ11)</f>
        <v>158.01015652105755</v>
      </c>
      <c r="AY6" s="28">
        <f>SUM(Emissions!BA10:BA11)</f>
        <v>158.01015652105755</v>
      </c>
      <c r="AZ6" s="28">
        <f>SUM(Emissions!BB10:BB11)</f>
        <v>158.01015652105755</v>
      </c>
      <c r="BA6" s="28">
        <f>SUM(Emissions!BC10:BC11)</f>
        <v>158.01015652105755</v>
      </c>
      <c r="BB6" s="28">
        <f>SUM(Emissions!BD10:BD11)</f>
        <v>158.01015652105755</v>
      </c>
      <c r="BC6" s="28">
        <f>SUM(Emissions!BE10:BE11)</f>
        <v>158.01015652105755</v>
      </c>
      <c r="BD6" s="28">
        <f>SUM(Emissions!BF10:BF11)</f>
        <v>158.01015652105755</v>
      </c>
      <c r="BE6" s="28">
        <f>SUM(Emissions!BG10:BG11)</f>
        <v>158.01015652105755</v>
      </c>
      <c r="BF6" s="28">
        <f>SUM(Emissions!BH10:BH11)</f>
        <v>158.01015652105755</v>
      </c>
      <c r="BG6" s="28">
        <f>SUM(Emissions!BI10:BI11)</f>
        <v>158.01015652105755</v>
      </c>
      <c r="BH6" s="28">
        <f>SUM(Emissions!BJ10:BJ11)</f>
        <v>158.01015652105755</v>
      </c>
      <c r="BI6" s="28">
        <f>SUM(Emissions!BK10:BK11)</f>
        <v>158.01015652105755</v>
      </c>
      <c r="BJ6" s="28">
        <f>SUM(Emissions!BL10:BL11)</f>
        <v>158.01015652105755</v>
      </c>
      <c r="BK6" s="28">
        <f>SUM(Emissions!BM10:BM11)</f>
        <v>158.01015652105755</v>
      </c>
      <c r="BL6" s="28">
        <f>SUM(Emissions!BN10:BN11)</f>
        <v>158.01015652105755</v>
      </c>
      <c r="BM6" s="28">
        <f>SUM(Emissions!BO10:BO11)</f>
        <v>158.01015652105755</v>
      </c>
      <c r="BN6" s="28">
        <f>SUM(Emissions!BP10:BP11)</f>
        <v>158.01015652105755</v>
      </c>
    </row>
    <row r="7" spans="1:72" x14ac:dyDescent="0.25">
      <c r="A7" t="str">
        <f t="shared" ref="A7:A26" si="2">A6</f>
        <v>3A Livestock</v>
      </c>
      <c r="B7" t="str">
        <f t="shared" ref="B7:B10" si="3">B6</f>
        <v>3A1 Enteric fermentation (CH4)</v>
      </c>
      <c r="C7" t="str">
        <f>'IPCC Categories'!C8</f>
        <v>3A1d Goats</v>
      </c>
      <c r="D7" t="str">
        <f t="shared" ref="D7:D10" si="4">D6</f>
        <v>CH4</v>
      </c>
      <c r="E7" t="str">
        <f t="shared" ref="E7:E10" si="5">E6</f>
        <v>Gg CH4</v>
      </c>
      <c r="F7" s="28">
        <f>SUM(Emissions!H12:H13)</f>
        <v>50.832740984438615</v>
      </c>
      <c r="G7" s="28">
        <f>SUM(Emissions!I12:I13)</f>
        <v>44.950509601596238</v>
      </c>
      <c r="H7" s="28">
        <f>SUM(Emissions!J12:J13)</f>
        <v>41.871958597491798</v>
      </c>
      <c r="I7" s="28">
        <f>SUM(Emissions!K12:K13)</f>
        <v>39.563045344413474</v>
      </c>
      <c r="J7" s="28">
        <f>SUM(Emissions!L12:L13)</f>
        <v>42.824843432095548</v>
      </c>
      <c r="K7" s="28">
        <f>SUM(Emissions!M12:M13)</f>
        <v>43.411234099544018</v>
      </c>
      <c r="L7" s="28">
        <f>SUM(Emissions!N12:N13)</f>
        <v>44.089248308781293</v>
      </c>
      <c r="M7" s="28">
        <f>SUM(Emissions!O12:O13)</f>
        <v>43.869351808488119</v>
      </c>
      <c r="N7" s="28">
        <f>SUM(Emissions!P12:P13)</f>
        <v>43.24631172432413</v>
      </c>
      <c r="O7" s="28">
        <f>SUM(Emissions!Q12:Q13)</f>
        <v>42.604946931802381</v>
      </c>
      <c r="P7" s="28">
        <f>SUM(Emissions!R12:R13)</f>
        <v>43.15468818253531</v>
      </c>
      <c r="Q7" s="28">
        <f>SUM(Emissions!S12:S13)</f>
        <v>44.474067184294356</v>
      </c>
      <c r="R7" s="28">
        <f>SUM(Emissions!T12:T13)</f>
        <v>40.607553720806052</v>
      </c>
      <c r="S7" s="28">
        <f>SUM(Emissions!U12:U13)</f>
        <v>39.581370052771241</v>
      </c>
      <c r="T7" s="28">
        <f>SUM(Emissions!V12:V13)</f>
        <v>39.654668886202302</v>
      </c>
      <c r="U7" s="28">
        <f>SUM(Emissions!W12:W13)</f>
        <v>39.1415770521849</v>
      </c>
      <c r="V7" s="28">
        <f>SUM(Emissions!X12:X13)</f>
        <v>39.966188928284296</v>
      </c>
      <c r="W7" s="28">
        <f>SUM(Emissions!Y12:Y13)</f>
        <v>38.775082885029605</v>
      </c>
      <c r="X7" s="28">
        <f>SUM(Emissions!Z12:Z13)</f>
        <v>38.738433468314078</v>
      </c>
      <c r="Y7" s="28">
        <f>SUM(Emissions!AA12:AA13)</f>
        <v>38.060419259076795</v>
      </c>
      <c r="Z7" s="28">
        <f>SUM(Emissions!AB12:AB13)</f>
        <v>37.60230155013268</v>
      </c>
      <c r="AA7" s="28">
        <f>SUM(Emissions!AC12:AC13)</f>
        <v>37.254132091335151</v>
      </c>
      <c r="AB7" s="28">
        <f>SUM(Emissions!AD12:AD13)</f>
        <v>37.665726557922902</v>
      </c>
      <c r="AC7" s="28">
        <f>SUM(Emissions!AE12:AE13)</f>
        <v>37.529930930480297</v>
      </c>
      <c r="AD7" s="28">
        <f>SUM(Emissions!AF12:AF13)</f>
        <v>37.395682307903641</v>
      </c>
      <c r="AE7" s="28">
        <f>SUM(Emissions!AG12:AG13)</f>
        <v>37.263174633984313</v>
      </c>
      <c r="AF7" s="28">
        <f>SUM(Emissions!AH12:AH13)</f>
        <v>37.121673753993036</v>
      </c>
      <c r="AG7" s="28">
        <f>SUM(Emissions!AI12:AI13)</f>
        <v>36.978143970342686</v>
      </c>
      <c r="AH7" s="28">
        <f>SUM(Emissions!AJ12:AJ13)</f>
        <v>36.835437223379373</v>
      </c>
      <c r="AI7" s="28">
        <f>SUM(Emissions!AK12:AK13)</f>
        <v>36.693503250555871</v>
      </c>
      <c r="AJ7" s="28">
        <f>SUM(Emissions!AL12:AL13)</f>
        <v>36.594555628264303</v>
      </c>
      <c r="AK7" s="28">
        <f>SUM(Emissions!AM12:AM13)</f>
        <v>36.444343072633174</v>
      </c>
      <c r="AL7" s="28">
        <f>SUM(Emissions!AN12:AN13)</f>
        <v>36.294567486462057</v>
      </c>
      <c r="AM7" s="28">
        <f>SUM(Emissions!AO12:AO13)</f>
        <v>36.144693813180488</v>
      </c>
      <c r="AN7" s="28">
        <f>SUM(Emissions!AP12:AP13)</f>
        <v>35.995196307474174</v>
      </c>
      <c r="AO7" s="28">
        <f>SUM(Emissions!AQ12:AQ13)</f>
        <v>35.845262483550158</v>
      </c>
      <c r="AP7" s="28">
        <f>SUM(Emissions!AR12:AR13)</f>
        <v>35.681718106388196</v>
      </c>
      <c r="AQ7" s="28">
        <f>SUM(Emissions!AS12:AS13)</f>
        <v>35.518289416577467</v>
      </c>
      <c r="AR7" s="28">
        <f>SUM(Emissions!AT12:AT13)</f>
        <v>35.354270133487503</v>
      </c>
      <c r="AS7" s="28">
        <f>SUM(Emissions!AU12:AU13)</f>
        <v>35.189812313847561</v>
      </c>
      <c r="AT7" s="28">
        <f>SUM(Emissions!AV12:AV13)</f>
        <v>35.123987407534258</v>
      </c>
      <c r="AU7" s="28">
        <f>SUM(Emissions!AW12:AW13)</f>
        <v>35.130896569590554</v>
      </c>
      <c r="AV7" s="28">
        <f>SUM(Emissions!AX12:AX13)</f>
        <v>35.134687014847842</v>
      </c>
      <c r="AW7" s="28">
        <f>SUM(Emissions!AY12:AY13)</f>
        <v>35.137454626612495</v>
      </c>
      <c r="AX7" s="28">
        <f>SUM(Emissions!AZ12:AZ13)</f>
        <v>35.138729754995722</v>
      </c>
      <c r="AY7" s="28">
        <f>SUM(Emissions!BA12:BA13)</f>
        <v>35.138537538675976</v>
      </c>
      <c r="AZ7" s="28">
        <f>SUM(Emissions!BB12:BB13)</f>
        <v>35.140809618310641</v>
      </c>
      <c r="BA7" s="28">
        <f>SUM(Emissions!BC12:BC13)</f>
        <v>35.141159448317687</v>
      </c>
      <c r="BB7" s="28">
        <f>SUM(Emissions!BD12:BD13)</f>
        <v>35.139129367874361</v>
      </c>
      <c r="BC7" s="28">
        <f>SUM(Emissions!BE12:BE13)</f>
        <v>35.135151077373543</v>
      </c>
      <c r="BD7" s="28">
        <f>SUM(Emissions!BF12:BF13)</f>
        <v>35.129588988397629</v>
      </c>
      <c r="BE7" s="28">
        <f>SUM(Emissions!BG12:BG13)</f>
        <v>35.173664076132837</v>
      </c>
      <c r="BF7" s="28">
        <f>SUM(Emissions!BH12:BH13)</f>
        <v>35.216285450898276</v>
      </c>
      <c r="BG7" s="28">
        <f>SUM(Emissions!BI12:BI13)</f>
        <v>35.25738859648478</v>
      </c>
      <c r="BH7" s="28">
        <f>SUM(Emissions!BJ12:BJ13)</f>
        <v>35.297068417444763</v>
      </c>
      <c r="BI7" s="28">
        <f>SUM(Emissions!BK12:BK13)</f>
        <v>35.335747137467841</v>
      </c>
      <c r="BJ7" s="28">
        <f>SUM(Emissions!BL12:BL13)</f>
        <v>35.368779805427337</v>
      </c>
      <c r="BK7" s="28">
        <f>SUM(Emissions!BM12:BM13)</f>
        <v>35.400646494941761</v>
      </c>
      <c r="BL7" s="28">
        <f>SUM(Emissions!BN12:BN13)</f>
        <v>35.430499653146299</v>
      </c>
      <c r="BM7" s="28">
        <f>SUM(Emissions!BO12:BO13)</f>
        <v>35.459245854135496</v>
      </c>
      <c r="BN7" s="28">
        <f>SUM(Emissions!BP12:BP13)</f>
        <v>35.486954532188619</v>
      </c>
    </row>
    <row r="8" spans="1:72" x14ac:dyDescent="0.25">
      <c r="A8" t="str">
        <f t="shared" si="2"/>
        <v>3A Livestock</v>
      </c>
      <c r="B8" t="str">
        <f t="shared" si="3"/>
        <v>3A1 Enteric fermentation (CH4)</v>
      </c>
      <c r="C8" t="str">
        <f>'IPCC Categories'!C9</f>
        <v>3A1f Horses</v>
      </c>
      <c r="D8" t="str">
        <f t="shared" si="4"/>
        <v>CH4</v>
      </c>
      <c r="E8" t="str">
        <f t="shared" si="5"/>
        <v>Gg CH4</v>
      </c>
      <c r="F8" s="28">
        <f>Emissions!H14</f>
        <v>4.1399999999999997</v>
      </c>
      <c r="G8" s="28">
        <f>Emissions!I14</f>
        <v>4.1399999999999997</v>
      </c>
      <c r="H8" s="28">
        <f>Emissions!J14</f>
        <v>4.1399999999999997</v>
      </c>
      <c r="I8" s="28">
        <f>Emissions!K14</f>
        <v>4.2299999999999995</v>
      </c>
      <c r="J8" s="28">
        <f>Emissions!L14</f>
        <v>4.3199999999999994</v>
      </c>
      <c r="K8" s="28">
        <f>Emissions!M14</f>
        <v>4.41</v>
      </c>
      <c r="L8" s="28">
        <f>Emissions!N14</f>
        <v>4.5</v>
      </c>
      <c r="M8" s="28">
        <f>Emissions!O14</f>
        <v>4.59</v>
      </c>
      <c r="N8" s="28">
        <f>Emissions!P14</f>
        <v>4.68</v>
      </c>
      <c r="O8" s="28">
        <f>Emissions!Q14</f>
        <v>4.6440000000000001</v>
      </c>
      <c r="P8" s="28">
        <f>Emissions!R14</f>
        <v>4.8599999999999994</v>
      </c>
      <c r="Q8" s="28">
        <f>Emissions!S14</f>
        <v>4.8599999999999994</v>
      </c>
      <c r="R8" s="28">
        <f>Emissions!T14</f>
        <v>4.8599999999999994</v>
      </c>
      <c r="S8" s="28">
        <f>Emissions!U14</f>
        <v>4.8599999999999994</v>
      </c>
      <c r="T8" s="28">
        <f>Emissions!V14</f>
        <v>4.8599999999999994</v>
      </c>
      <c r="U8" s="28">
        <f>Emissions!W14</f>
        <v>4.8599999999999994</v>
      </c>
      <c r="V8" s="28">
        <f>Emissions!X14</f>
        <v>5.04</v>
      </c>
      <c r="W8" s="28">
        <f>Emissions!Y14</f>
        <v>5.22</v>
      </c>
      <c r="X8" s="28">
        <f>Emissions!Z14</f>
        <v>5.3639999999999999</v>
      </c>
      <c r="Y8" s="28">
        <f>Emissions!AA14</f>
        <v>5.3999999999999995</v>
      </c>
      <c r="Z8" s="28">
        <f>Emissions!AB14</f>
        <v>5.3999999999999995</v>
      </c>
      <c r="AA8" s="28">
        <f>Emissions!AC14</f>
        <v>5.4899999999999993</v>
      </c>
      <c r="AB8" s="28">
        <f>Emissions!AD14</f>
        <v>5.5114413861326179</v>
      </c>
      <c r="AC8" s="28">
        <f>Emissions!AE14</f>
        <v>5.5702044106567614</v>
      </c>
      <c r="AD8" s="28">
        <f>Emissions!AF14</f>
        <v>5.6070925277467358</v>
      </c>
      <c r="AE8" s="28">
        <f>Emissions!AG14</f>
        <v>5.6211259640106928</v>
      </c>
      <c r="AF8" s="28">
        <f>Emissions!AH14</f>
        <v>5.6141573652695005</v>
      </c>
      <c r="AG8" s="28">
        <f>Emissions!AI14</f>
        <v>5.6224630631440782</v>
      </c>
      <c r="AH8" s="28">
        <f>Emissions!AJ14</f>
        <v>5.6245272825950821</v>
      </c>
      <c r="AI8" s="28">
        <f>Emissions!AK14</f>
        <v>5.6208947459798324</v>
      </c>
      <c r="AJ8" s="28">
        <f>Emissions!AL14</f>
        <v>5.3055525034446189</v>
      </c>
      <c r="AK8" s="28">
        <f>Emissions!AM14</f>
        <v>5.3505372885199041</v>
      </c>
      <c r="AL8" s="28">
        <f>Emissions!AN14</f>
        <v>5.3915749127793138</v>
      </c>
      <c r="AM8" s="28">
        <f>Emissions!AO14</f>
        <v>5.432547929763059</v>
      </c>
      <c r="AN8" s="28">
        <f>Emissions!AP14</f>
        <v>5.4701440033518818</v>
      </c>
      <c r="AO8" s="28">
        <f>Emissions!AQ14</f>
        <v>5.5100810853024962</v>
      </c>
      <c r="AP8" s="28">
        <f>Emissions!AR14</f>
        <v>5.5601333380936104</v>
      </c>
      <c r="AQ8" s="28">
        <f>Emissions!AS14</f>
        <v>5.6084374049193295</v>
      </c>
      <c r="AR8" s="28">
        <f>Emissions!AT14</f>
        <v>5.6597943517099436</v>
      </c>
      <c r="AS8" s="28">
        <f>Emissions!AU14</f>
        <v>5.7131045515798649</v>
      </c>
      <c r="AT8" s="28">
        <f>Emissions!AV14</f>
        <v>5.7685774671196848</v>
      </c>
      <c r="AU8" s="28">
        <f>Emissions!AW14</f>
        <v>5.8426946362386856</v>
      </c>
      <c r="AV8" s="28">
        <f>Emissions!AX14</f>
        <v>5.910395771921972</v>
      </c>
      <c r="AW8" s="28">
        <f>Emissions!AY14</f>
        <v>5.9883120652797448</v>
      </c>
      <c r="AX8" s="28">
        <f>Emissions!AZ14</f>
        <v>6.0727743913714267</v>
      </c>
      <c r="AY8" s="28">
        <f>Emissions!BA14</f>
        <v>6.1640372100573568</v>
      </c>
      <c r="AZ8" s="28">
        <f>Emissions!BB14</f>
        <v>6.2559776076165319</v>
      </c>
      <c r="BA8" s="28">
        <f>Emissions!BC14</f>
        <v>6.3518773469834944</v>
      </c>
      <c r="BB8" s="28">
        <f>Emissions!BD14</f>
        <v>6.4481555521530023</v>
      </c>
      <c r="BC8" s="28">
        <f>Emissions!BE14</f>
        <v>6.548301007136792</v>
      </c>
      <c r="BD8" s="28">
        <f>Emissions!BF14</f>
        <v>6.655285300703988</v>
      </c>
      <c r="BE8" s="28">
        <f>Emissions!BG14</f>
        <v>6.7604584310144817</v>
      </c>
      <c r="BF8" s="28">
        <f>Emissions!BH14</f>
        <v>6.870052798721713</v>
      </c>
      <c r="BG8" s="28">
        <f>Emissions!BI14</f>
        <v>6.9835781533318109</v>
      </c>
      <c r="BH8" s="28">
        <f>Emissions!BJ14</f>
        <v>7.1018128938876846</v>
      </c>
      <c r="BI8" s="28">
        <f>Emissions!BK14</f>
        <v>7.2281193641319499</v>
      </c>
      <c r="BJ8" s="28">
        <f>Emissions!BL14</f>
        <v>7.3625646606687285</v>
      </c>
      <c r="BK8" s="28">
        <f>Emissions!BM14</f>
        <v>7.5033365199462763</v>
      </c>
      <c r="BL8" s="28">
        <f>Emissions!BN14</f>
        <v>7.6438006017055562</v>
      </c>
      <c r="BM8" s="28">
        <f>Emissions!BO14</f>
        <v>7.7911518606106451</v>
      </c>
      <c r="BN8" s="28">
        <f>Emissions!BP14</f>
        <v>7.9459840664027253</v>
      </c>
    </row>
    <row r="9" spans="1:72" x14ac:dyDescent="0.25">
      <c r="A9" t="str">
        <f t="shared" si="2"/>
        <v>3A Livestock</v>
      </c>
      <c r="B9" t="str">
        <f t="shared" si="3"/>
        <v>3A1 Enteric fermentation (CH4)</v>
      </c>
      <c r="C9" t="str">
        <f>'IPCC Categories'!C10</f>
        <v>3A1g Mules &amp; asses</v>
      </c>
      <c r="D9" t="str">
        <f t="shared" si="4"/>
        <v>CH4</v>
      </c>
      <c r="E9" t="str">
        <f t="shared" si="5"/>
        <v>Gg CH4</v>
      </c>
      <c r="F9" s="28">
        <f>Emissions!H15</f>
        <v>2.2399999999999998</v>
      </c>
      <c r="G9" s="28">
        <f>Emissions!I15</f>
        <v>2.2399999999999998</v>
      </c>
      <c r="H9" s="28">
        <f>Emissions!J15</f>
        <v>2.2399999999999998</v>
      </c>
      <c r="I9" s="28">
        <f>Emissions!K15</f>
        <v>2.2399999999999998</v>
      </c>
      <c r="J9" s="28">
        <f>Emissions!L15</f>
        <v>2.2399999999999998</v>
      </c>
      <c r="K9" s="28">
        <f>Emissions!M15</f>
        <v>2.2399999999999998</v>
      </c>
      <c r="L9" s="28">
        <f>Emissions!N15</f>
        <v>2.2399999999999998</v>
      </c>
      <c r="M9" s="28">
        <f>Emissions!O15</f>
        <v>2.2399999999999998</v>
      </c>
      <c r="N9" s="28">
        <f>Emissions!P15</f>
        <v>2.2399999999999998</v>
      </c>
      <c r="O9" s="28">
        <f>Emissions!Q15</f>
        <v>2.2399999999999998</v>
      </c>
      <c r="P9" s="28">
        <f>Emissions!R15</f>
        <v>1.64</v>
      </c>
      <c r="Q9" s="28">
        <f>Emissions!S15</f>
        <v>1.64</v>
      </c>
      <c r="R9" s="28">
        <f>Emissions!T15</f>
        <v>1.64</v>
      </c>
      <c r="S9" s="28">
        <f>Emissions!U15</f>
        <v>1.64</v>
      </c>
      <c r="T9" s="28">
        <f>Emissions!V15</f>
        <v>1.64</v>
      </c>
      <c r="U9" s="28">
        <f>Emissions!W15</f>
        <v>1.64</v>
      </c>
      <c r="V9" s="28">
        <f>Emissions!X15</f>
        <v>1.6404999999999998</v>
      </c>
      <c r="W9" s="28">
        <f>Emissions!Y15</f>
        <v>1.6459999999999999</v>
      </c>
      <c r="X9" s="28">
        <f>Emissions!Z15</f>
        <v>1.647</v>
      </c>
      <c r="Y9" s="28">
        <f>Emissions!AA15</f>
        <v>1.6479999999999999</v>
      </c>
      <c r="Z9" s="28">
        <f>Emissions!AB15</f>
        <v>1.663</v>
      </c>
      <c r="AA9" s="28">
        <f>Emissions!AC15</f>
        <v>1.67</v>
      </c>
      <c r="AB9" s="28">
        <f>Emissions!AD15</f>
        <v>1.67</v>
      </c>
      <c r="AC9" s="28">
        <f>Emissions!AE15</f>
        <v>1.67</v>
      </c>
      <c r="AD9" s="28">
        <f>Emissions!AF15</f>
        <v>1.67</v>
      </c>
      <c r="AE9" s="28">
        <f>Emissions!AG15</f>
        <v>1.67</v>
      </c>
      <c r="AF9" s="28">
        <f>Emissions!AH15</f>
        <v>1.67</v>
      </c>
      <c r="AG9" s="28">
        <f>Emissions!AI15</f>
        <v>1.67</v>
      </c>
      <c r="AH9" s="28">
        <f>Emissions!AJ15</f>
        <v>1.67</v>
      </c>
      <c r="AI9" s="28">
        <f>Emissions!AK15</f>
        <v>1.67</v>
      </c>
      <c r="AJ9" s="28">
        <f>Emissions!AL15</f>
        <v>1.67</v>
      </c>
      <c r="AK9" s="28">
        <f>Emissions!AM15</f>
        <v>1.67</v>
      </c>
      <c r="AL9" s="28">
        <f>Emissions!AN15</f>
        <v>1.67</v>
      </c>
      <c r="AM9" s="28">
        <f>Emissions!AO15</f>
        <v>1.67</v>
      </c>
      <c r="AN9" s="28">
        <f>Emissions!AP15</f>
        <v>1.67</v>
      </c>
      <c r="AO9" s="28">
        <f>Emissions!AQ15</f>
        <v>1.67</v>
      </c>
      <c r="AP9" s="28">
        <f>Emissions!AR15</f>
        <v>1.67</v>
      </c>
      <c r="AQ9" s="28">
        <f>Emissions!AS15</f>
        <v>1.67</v>
      </c>
      <c r="AR9" s="28">
        <f>Emissions!AT15</f>
        <v>1.67</v>
      </c>
      <c r="AS9" s="28">
        <f>Emissions!AU15</f>
        <v>1.67</v>
      </c>
      <c r="AT9" s="28">
        <f>Emissions!AV15</f>
        <v>1.67</v>
      </c>
      <c r="AU9" s="28">
        <f>Emissions!AW15</f>
        <v>1.67</v>
      </c>
      <c r="AV9" s="28">
        <f>Emissions!AX15</f>
        <v>1.67</v>
      </c>
      <c r="AW9" s="28">
        <f>Emissions!AY15</f>
        <v>1.67</v>
      </c>
      <c r="AX9" s="28">
        <f>Emissions!AZ15</f>
        <v>1.67</v>
      </c>
      <c r="AY9" s="28">
        <f>Emissions!BA15</f>
        <v>1.67</v>
      </c>
      <c r="AZ9" s="28">
        <f>Emissions!BB15</f>
        <v>1.67</v>
      </c>
      <c r="BA9" s="28">
        <f>Emissions!BC15</f>
        <v>1.67</v>
      </c>
      <c r="BB9" s="28">
        <f>Emissions!BD15</f>
        <v>1.67</v>
      </c>
      <c r="BC9" s="28">
        <f>Emissions!BE15</f>
        <v>1.67</v>
      </c>
      <c r="BD9" s="28">
        <f>Emissions!BF15</f>
        <v>1.67</v>
      </c>
      <c r="BE9" s="28">
        <f>Emissions!BG15</f>
        <v>1.67</v>
      </c>
      <c r="BF9" s="28">
        <f>Emissions!BH15</f>
        <v>1.67</v>
      </c>
      <c r="BG9" s="28">
        <f>Emissions!BI15</f>
        <v>1.67</v>
      </c>
      <c r="BH9" s="28">
        <f>Emissions!BJ15</f>
        <v>1.67</v>
      </c>
      <c r="BI9" s="28">
        <f>Emissions!BK15</f>
        <v>1.67</v>
      </c>
      <c r="BJ9" s="28">
        <f>Emissions!BL15</f>
        <v>1.67</v>
      </c>
      <c r="BK9" s="28">
        <f>Emissions!BM15</f>
        <v>1.67</v>
      </c>
      <c r="BL9" s="28">
        <f>Emissions!BN15</f>
        <v>1.67</v>
      </c>
      <c r="BM9" s="28">
        <f>Emissions!BO15</f>
        <v>1.67</v>
      </c>
      <c r="BN9" s="28">
        <f>Emissions!BP15</f>
        <v>1.67</v>
      </c>
    </row>
    <row r="10" spans="1:72" x14ac:dyDescent="0.25">
      <c r="A10" t="str">
        <f t="shared" si="2"/>
        <v>3A Livestock</v>
      </c>
      <c r="B10" t="str">
        <f t="shared" si="3"/>
        <v>3A1 Enteric fermentation (CH4)</v>
      </c>
      <c r="C10" t="str">
        <f>'IPCC Categories'!C11</f>
        <v>3A1h Swine</v>
      </c>
      <c r="D10" t="str">
        <f t="shared" si="4"/>
        <v>CH4</v>
      </c>
      <c r="E10" t="str">
        <f t="shared" si="5"/>
        <v>Gg CH4</v>
      </c>
      <c r="F10" s="28">
        <f>SUM(Emissions!H16:H17)</f>
        <v>1.9180695910937571</v>
      </c>
      <c r="G10" s="28">
        <f>SUM(Emissions!I16:I17)</f>
        <v>2.0955287855453451</v>
      </c>
      <c r="H10" s="28">
        <f>SUM(Emissions!J16:J17)</f>
        <v>2.0816844512264265</v>
      </c>
      <c r="I10" s="28">
        <f>SUM(Emissions!K16:K17)</f>
        <v>2.0804258753792526</v>
      </c>
      <c r="J10" s="28">
        <f>SUM(Emissions!L16:L17)</f>
        <v>1.9759640800637785</v>
      </c>
      <c r="K10" s="28">
        <f>SUM(Emissions!M16:M17)</f>
        <v>1.9948427177713943</v>
      </c>
      <c r="L10" s="28">
        <f>SUM(Emissions!N16:N17)</f>
        <v>2.148388971126669</v>
      </c>
      <c r="M10" s="28">
        <f>SUM(Emissions!O16:O17)</f>
        <v>2.1383203643492741</v>
      </c>
      <c r="N10" s="28">
        <f>SUM(Emissions!P16:P17)</f>
        <v>2.1848876706947262</v>
      </c>
      <c r="O10" s="28">
        <f>SUM(Emissions!Q16:Q17)</f>
        <v>2.240265007970399</v>
      </c>
      <c r="P10" s="28">
        <f>SUM(Emissions!R16:R17)</f>
        <v>2.0728744202962059</v>
      </c>
      <c r="Q10" s="28">
        <f>SUM(Emissions!S16:S17)</f>
        <v>2.1118902715586119</v>
      </c>
      <c r="R10" s="28">
        <f>SUM(Emissions!T16:T17)</f>
        <v>2.1521646986681922</v>
      </c>
      <c r="S10" s="28">
        <f>SUM(Emissions!U16:U17)</f>
        <v>2.0930116338509963</v>
      </c>
      <c r="T10" s="28">
        <f>SUM(Emissions!V16:V17)</f>
        <v>2.0930116338509963</v>
      </c>
      <c r="U10" s="28">
        <f>SUM(Emissions!W16:W17)</f>
        <v>2.0779087236849034</v>
      </c>
      <c r="V10" s="28">
        <f>SUM(Emissions!X16:X17)</f>
        <v>2.0414100241168467</v>
      </c>
      <c r="W10" s="28">
        <f>SUM(Emissions!Y16:Y17)</f>
        <v>2.0779087236849034</v>
      </c>
      <c r="X10" s="28">
        <f>SUM(Emissions!Z16:Z17)</f>
        <v>2.0325999931866261</v>
      </c>
      <c r="Y10" s="28">
        <f>SUM(Emissions!AA16:AA17)</f>
        <v>2.0300828414922774</v>
      </c>
      <c r="Z10" s="28">
        <f>SUM(Emissions!AB16:AB17)</f>
        <v>2.0061699003959639</v>
      </c>
      <c r="AA10" s="28">
        <f>SUM(Emissions!AC16:AC17)</f>
        <v>1.9935841419242202</v>
      </c>
      <c r="AB10" s="28">
        <f>SUM(Emissions!AD16:AD17)</f>
        <v>1.9735862706391045</v>
      </c>
      <c r="AC10" s="28">
        <f>SUM(Emissions!AE16:AE17)</f>
        <v>1.9655823325970694</v>
      </c>
      <c r="AD10" s="28">
        <f>SUM(Emissions!AF16:AF17)</f>
        <v>1.9598427914318564</v>
      </c>
      <c r="AE10" s="28">
        <f>SUM(Emissions!AG16:AG17)</f>
        <v>1.9563119110626441</v>
      </c>
      <c r="AF10" s="28">
        <f>SUM(Emissions!AH16:AH17)</f>
        <v>1.9545846649121899</v>
      </c>
      <c r="AG10" s="28">
        <f>SUM(Emissions!AI16:AI17)</f>
        <v>1.9514399772456554</v>
      </c>
      <c r="AH10" s="28">
        <f>SUM(Emissions!AJ16:AJ17)</f>
        <v>1.9489050339433096</v>
      </c>
      <c r="AI10" s="28">
        <f>SUM(Emissions!AK16:AK17)</f>
        <v>1.9469268078810653</v>
      </c>
      <c r="AJ10" s="28">
        <f>SUM(Emissions!AL16:AL17)</f>
        <v>1.9776420060781068</v>
      </c>
      <c r="AK10" s="28">
        <f>SUM(Emissions!AM16:AM17)</f>
        <v>1.9701896550128828</v>
      </c>
      <c r="AL10" s="28">
        <f>SUM(Emissions!AN16:AN17)</f>
        <v>1.9633470801375645</v>
      </c>
      <c r="AM10" s="28">
        <f>SUM(Emissions!AO16:AO17)</f>
        <v>1.9566552842600518</v>
      </c>
      <c r="AN10" s="28">
        <f>SUM(Emissions!AP16:AP17)</f>
        <v>1.9504519187988447</v>
      </c>
      <c r="AO10" s="28">
        <f>SUM(Emissions!AQ16:AQ17)</f>
        <v>1.944124845958819</v>
      </c>
      <c r="AP10" s="28">
        <f>SUM(Emissions!AR16:AR17)</f>
        <v>1.9367389730551952</v>
      </c>
      <c r="AQ10" s="28">
        <f>SUM(Emissions!AS16:AS17)</f>
        <v>1.9296943038772407</v>
      </c>
      <c r="AR10" s="28">
        <f>SUM(Emissions!AT16:AT17)</f>
        <v>1.9225237509505382</v>
      </c>
      <c r="AS10" s="28">
        <f>SUM(Emissions!AU16:AU17)</f>
        <v>1.9153441073853801</v>
      </c>
      <c r="AT10" s="28">
        <f>SUM(Emissions!AV16:AV17)</f>
        <v>1.9081453899607905</v>
      </c>
      <c r="AU10" s="28">
        <f>SUM(Emissions!AW16:AW17)</f>
        <v>1.9226495807687005</v>
      </c>
      <c r="AV10" s="28">
        <f>SUM(Emissions!AX16:AX17)</f>
        <v>1.9301345161555796</v>
      </c>
      <c r="AW10" s="28">
        <f>SUM(Emissions!AY16:AY17)</f>
        <v>1.9405826879243564</v>
      </c>
      <c r="AX10" s="28">
        <f>SUM(Emissions!AZ16:AZ17)</f>
        <v>1.9513227704587526</v>
      </c>
      <c r="AY10" s="28">
        <f>SUM(Emissions!BA16:BA17)</f>
        <v>1.962086560963425</v>
      </c>
      <c r="AZ10" s="28">
        <f>SUM(Emissions!BB16:BB17)</f>
        <v>1.9699704579790414</v>
      </c>
      <c r="BA10" s="28">
        <f>SUM(Emissions!BC16:BC17)</f>
        <v>1.9759244090147594</v>
      </c>
      <c r="BB10" s="28">
        <f>SUM(Emissions!BD16:BD17)</f>
        <v>1.9780477982575013</v>
      </c>
      <c r="BC10" s="28">
        <f>SUM(Emissions!BE16:BE17)</f>
        <v>1.9779129718494806</v>
      </c>
      <c r="BD10" s="28">
        <f>SUM(Emissions!BF16:BF17)</f>
        <v>1.9765919553246771</v>
      </c>
      <c r="BE10" s="28">
        <f>SUM(Emissions!BG16:BG17)</f>
        <v>1.9873297945005248</v>
      </c>
      <c r="BF10" s="28">
        <f>SUM(Emissions!BH16:BH17)</f>
        <v>1.9964414052557846</v>
      </c>
      <c r="BG10" s="28">
        <f>SUM(Emissions!BI16:BI17)</f>
        <v>2.0035517792667821</v>
      </c>
      <c r="BH10" s="28">
        <f>SUM(Emissions!BJ16:BJ17)</f>
        <v>2.0087863186469708</v>
      </c>
      <c r="BI10" s="28">
        <f>SUM(Emissions!BK16:BK17)</f>
        <v>2.013134371503551</v>
      </c>
      <c r="BJ10" s="28">
        <f>SUM(Emissions!BL16:BL17)</f>
        <v>2.0156390302569132</v>
      </c>
      <c r="BK10" s="28">
        <f>SUM(Emissions!BM16:BM17)</f>
        <v>2.01603877499663</v>
      </c>
      <c r="BL10" s="28">
        <f>SUM(Emissions!BN16:BN17)</f>
        <v>2.0120752225119558</v>
      </c>
      <c r="BM10" s="28">
        <f>SUM(Emissions!BO16:BO17)</f>
        <v>2.0059014710634813</v>
      </c>
      <c r="BN10" s="28">
        <f>SUM(Emissions!BP16:BP17)</f>
        <v>1.9974345765317605</v>
      </c>
    </row>
    <row r="11" spans="1:72" s="47" customFormat="1" ht="15.75" x14ac:dyDescent="0.25">
      <c r="A11" s="47" t="str">
        <f>A18</f>
        <v>3A Livestock</v>
      </c>
      <c r="B11" s="47" t="str">
        <f>B18</f>
        <v>3A2 Manure management (CH4)</v>
      </c>
      <c r="C11" s="47" t="s">
        <v>148</v>
      </c>
      <c r="D11" s="47" t="str">
        <f>D18</f>
        <v>CH4</v>
      </c>
      <c r="E11" s="47" t="str">
        <f>E18</f>
        <v>Gg CH4</v>
      </c>
      <c r="F11" s="48">
        <f t="shared" ref="F11:AK11" si="6">SUM(F12:F18)</f>
        <v>31.717240444762641</v>
      </c>
      <c r="G11" s="48">
        <f t="shared" si="6"/>
        <v>34.863065191387641</v>
      </c>
      <c r="H11" s="48">
        <f t="shared" si="6"/>
        <v>33.360324284065669</v>
      </c>
      <c r="I11" s="48">
        <f t="shared" si="6"/>
        <v>33.926518562570628</v>
      </c>
      <c r="J11" s="48">
        <f t="shared" si="6"/>
        <v>32.087628121998627</v>
      </c>
      <c r="K11" s="48">
        <f t="shared" si="6"/>
        <v>33.035785132548178</v>
      </c>
      <c r="L11" s="48">
        <f t="shared" si="6"/>
        <v>35.00253661405641</v>
      </c>
      <c r="M11" s="48">
        <f t="shared" si="6"/>
        <v>34.610145930191955</v>
      </c>
      <c r="N11" s="48">
        <f t="shared" si="6"/>
        <v>35.192900214008944</v>
      </c>
      <c r="O11" s="48">
        <f t="shared" si="6"/>
        <v>35.787753318756899</v>
      </c>
      <c r="P11" s="48">
        <f t="shared" si="6"/>
        <v>36.315141923273671</v>
      </c>
      <c r="Q11" s="48">
        <f t="shared" si="6"/>
        <v>36.668444903527764</v>
      </c>
      <c r="R11" s="48">
        <f t="shared" si="6"/>
        <v>35.980097091073482</v>
      </c>
      <c r="S11" s="48">
        <f t="shared" si="6"/>
        <v>34.369115931437662</v>
      </c>
      <c r="T11" s="48">
        <f t="shared" si="6"/>
        <v>34.127373678995582</v>
      </c>
      <c r="U11" s="48">
        <f t="shared" si="6"/>
        <v>34.729684624820386</v>
      </c>
      <c r="V11" s="48">
        <f t="shared" si="6"/>
        <v>34.318570238323929</v>
      </c>
      <c r="W11" s="48">
        <f t="shared" si="6"/>
        <v>34.826859775255656</v>
      </c>
      <c r="X11" s="48">
        <f t="shared" si="6"/>
        <v>36.26492118459177</v>
      </c>
      <c r="Y11" s="48">
        <f t="shared" si="6"/>
        <v>36.352133478024271</v>
      </c>
      <c r="Z11" s="48">
        <f t="shared" si="6"/>
        <v>36.15489282072145</v>
      </c>
      <c r="AA11" s="48">
        <f t="shared" si="6"/>
        <v>35.781483348352424</v>
      </c>
      <c r="AB11" s="48">
        <f t="shared" si="6"/>
        <v>35.489433378454976</v>
      </c>
      <c r="AC11" s="48">
        <f t="shared" si="6"/>
        <v>35.557278035804941</v>
      </c>
      <c r="AD11" s="48">
        <f t="shared" si="6"/>
        <v>35.615696625049992</v>
      </c>
      <c r="AE11" s="48">
        <f t="shared" si="6"/>
        <v>35.662517636460073</v>
      </c>
      <c r="AF11" s="48">
        <f t="shared" si="6"/>
        <v>35.699746166913314</v>
      </c>
      <c r="AG11" s="48">
        <f t="shared" si="6"/>
        <v>35.74706965251017</v>
      </c>
      <c r="AH11" s="48">
        <f t="shared" si="6"/>
        <v>35.791273183311411</v>
      </c>
      <c r="AI11" s="48">
        <f t="shared" si="6"/>
        <v>35.83242368486178</v>
      </c>
      <c r="AJ11" s="48">
        <f t="shared" si="6"/>
        <v>35.675675369216741</v>
      </c>
      <c r="AK11" s="48">
        <f t="shared" si="6"/>
        <v>35.743125892007001</v>
      </c>
      <c r="AL11" s="48">
        <f t="shared" ref="AL11:BN11" si="7">SUM(AL12:AL18)</f>
        <v>35.811021587126341</v>
      </c>
      <c r="AM11" s="48">
        <f t="shared" si="7"/>
        <v>35.881556693010708</v>
      </c>
      <c r="AN11" s="48">
        <f t="shared" si="7"/>
        <v>35.952317639052815</v>
      </c>
      <c r="AO11" s="48">
        <f t="shared" si="7"/>
        <v>36.027182375713238</v>
      </c>
      <c r="AP11" s="48">
        <f t="shared" si="7"/>
        <v>36.114712779416251</v>
      </c>
      <c r="AQ11" s="48">
        <f t="shared" si="7"/>
        <v>36.203970227315466</v>
      </c>
      <c r="AR11" s="48">
        <f t="shared" si="7"/>
        <v>36.298666607963014</v>
      </c>
      <c r="AS11" s="48">
        <f t="shared" si="7"/>
        <v>36.398033674146589</v>
      </c>
      <c r="AT11" s="48">
        <f t="shared" si="7"/>
        <v>36.502434758723659</v>
      </c>
      <c r="AU11" s="48">
        <f t="shared" si="7"/>
        <v>36.884401439075994</v>
      </c>
      <c r="AV11" s="48">
        <f t="shared" si="7"/>
        <v>37.176426494164303</v>
      </c>
      <c r="AW11" s="48">
        <f t="shared" si="7"/>
        <v>37.520991475858949</v>
      </c>
      <c r="AX11" s="48">
        <f t="shared" si="7"/>
        <v>37.881012054545437</v>
      </c>
      <c r="AY11" s="48">
        <f t="shared" si="7"/>
        <v>38.253588411270954</v>
      </c>
      <c r="AZ11" s="48">
        <f t="shared" si="7"/>
        <v>38.597751382578792</v>
      </c>
      <c r="BA11" s="48">
        <f t="shared" si="7"/>
        <v>38.927257501538023</v>
      </c>
      <c r="BB11" s="48">
        <f t="shared" si="7"/>
        <v>39.192033271253536</v>
      </c>
      <c r="BC11" s="48">
        <f t="shared" si="7"/>
        <v>39.433772849868447</v>
      </c>
      <c r="BD11" s="48">
        <f t="shared" si="7"/>
        <v>39.672819645707001</v>
      </c>
      <c r="BE11" s="48">
        <f t="shared" si="7"/>
        <v>40.055182574617064</v>
      </c>
      <c r="BF11" s="48">
        <f t="shared" si="7"/>
        <v>40.426076878788422</v>
      </c>
      <c r="BG11" s="48">
        <f t="shared" si="7"/>
        <v>40.780296956248783</v>
      </c>
      <c r="BH11" s="48">
        <f t="shared" si="7"/>
        <v>41.120304733626853</v>
      </c>
      <c r="BI11" s="48">
        <f t="shared" si="7"/>
        <v>41.462232583240635</v>
      </c>
      <c r="BJ11" s="48">
        <f t="shared" si="7"/>
        <v>41.791478434495836</v>
      </c>
      <c r="BK11" s="48">
        <f t="shared" si="7"/>
        <v>42.105266509908674</v>
      </c>
      <c r="BL11" s="48">
        <f t="shared" si="7"/>
        <v>42.368022396811746</v>
      </c>
      <c r="BM11" s="48">
        <f t="shared" si="7"/>
        <v>42.614602554553848</v>
      </c>
      <c r="BN11" s="48">
        <f t="shared" si="7"/>
        <v>42.844563236503355</v>
      </c>
    </row>
    <row r="12" spans="1:72" x14ac:dyDescent="0.25">
      <c r="A12" t="str">
        <f>A10</f>
        <v>3A Livestock</v>
      </c>
      <c r="B12" t="str">
        <f>'IPCC Categories'!B12</f>
        <v>3A2 Manure management (CH4)</v>
      </c>
      <c r="C12" t="str">
        <f t="shared" ref="C12:C17" si="8">C5</f>
        <v>3A1a Cattle</v>
      </c>
      <c r="D12" t="str">
        <f>D10</f>
        <v>CH4</v>
      </c>
      <c r="E12" t="str">
        <f>E10</f>
        <v>Gg CH4</v>
      </c>
      <c r="F12" s="28">
        <f>SUM(Emissions!H18:H23)</f>
        <v>8.7557045663955044</v>
      </c>
      <c r="G12" s="28">
        <f>SUM(Emissions!I18:I23)</f>
        <v>9.9920566419603514</v>
      </c>
      <c r="H12" s="28">
        <f>SUM(Emissions!J18:J23)</f>
        <v>8.7193239278903327</v>
      </c>
      <c r="I12" s="28">
        <f>SUM(Emissions!K18:K23)</f>
        <v>9.2018052926292064</v>
      </c>
      <c r="J12" s="28">
        <f>SUM(Emissions!L18:L23)</f>
        <v>8.5526450494584783</v>
      </c>
      <c r="K12" s="28">
        <f>SUM(Emissions!M18:M23)</f>
        <v>9.1196828585210081</v>
      </c>
      <c r="L12" s="28">
        <f>SUM(Emissions!N18:N23)</f>
        <v>9.1638995934723386</v>
      </c>
      <c r="M12" s="28">
        <f>SUM(Emissions!O18:O23)</f>
        <v>8.8612424526108367</v>
      </c>
      <c r="N12" s="28">
        <f>SUM(Emissions!P18:P23)</f>
        <v>8.7507395670199486</v>
      </c>
      <c r="O12" s="28">
        <f>SUM(Emissions!Q18:Q23)</f>
        <v>8.6341639912710377</v>
      </c>
      <c r="P12" s="28">
        <f>SUM(Emissions!R18:R23)</f>
        <v>10.93272080161257</v>
      </c>
      <c r="Q12" s="28">
        <f>SUM(Emissions!S18:S23)</f>
        <v>10.893283590410016</v>
      </c>
      <c r="R12" s="28">
        <f>SUM(Emissions!T18:T23)</f>
        <v>9.5919113599354251</v>
      </c>
      <c r="S12" s="28">
        <f>SUM(Emissions!U18:U23)</f>
        <v>8.7471499570917572</v>
      </c>
      <c r="T12" s="28">
        <f>SUM(Emissions!V18:V23)</f>
        <v>8.4510791631677051</v>
      </c>
      <c r="U12" s="28">
        <f>SUM(Emissions!W18:W23)</f>
        <v>9.0165511460766972</v>
      </c>
      <c r="V12" s="28">
        <f>SUM(Emissions!X18:X23)</f>
        <v>8.8358791208883254</v>
      </c>
      <c r="W12" s="28">
        <f>SUM(Emissions!Y18:Y23)</f>
        <v>8.7897188206013865</v>
      </c>
      <c r="X12" s="28">
        <f>SUM(Emissions!Z18:Z23)</f>
        <v>10.591807286939806</v>
      </c>
      <c r="Y12" s="28">
        <f>SUM(Emissions!AA18:AA23)</f>
        <v>10.855190003831462</v>
      </c>
      <c r="Z12" s="28">
        <f>SUM(Emissions!AB18:AB23)</f>
        <v>10.85296403946187</v>
      </c>
      <c r="AA12" s="28">
        <f>SUM(Emissions!AC18:AC23)</f>
        <v>10.520960639506599</v>
      </c>
      <c r="AB12" s="28">
        <f>SUM(Emissions!AD18:AD23)</f>
        <v>10.48992307008796</v>
      </c>
      <c r="AC12" s="28">
        <f>SUM(Emissions!AE18:AE23)</f>
        <v>10.595309119269011</v>
      </c>
      <c r="AD12" s="28">
        <f>SUM(Emissions!AF18:AF23)</f>
        <v>10.679146180274641</v>
      </c>
      <c r="AE12" s="28">
        <f>SUM(Emissions!AG18:AG23)</f>
        <v>10.740468105719074</v>
      </c>
      <c r="AF12" s="28">
        <f>SUM(Emissions!AH18:AH23)</f>
        <v>10.783558694392468</v>
      </c>
      <c r="AG12" s="28">
        <f>SUM(Emissions!AI18:AI23)</f>
        <v>10.843015261599067</v>
      </c>
      <c r="AH12" s="28">
        <f>SUM(Emissions!AJ18:AJ23)</f>
        <v>10.896417309521086</v>
      </c>
      <c r="AI12" s="28">
        <f>SUM(Emissions!AK18:AK23)</f>
        <v>10.944181625523736</v>
      </c>
      <c r="AJ12" s="28">
        <f>SUM(Emissions!AL18:AL23)</f>
        <v>10.639977621807907</v>
      </c>
      <c r="AK12" s="28">
        <f>SUM(Emissions!AM18:AM23)</f>
        <v>10.742793153250997</v>
      </c>
      <c r="AL12" s="28">
        <f>SUM(Emissions!AN18:AN23)</f>
        <v>10.841805958644889</v>
      </c>
      <c r="AM12" s="28">
        <f>SUM(Emissions!AO18:AO23)</f>
        <v>10.941599309529343</v>
      </c>
      <c r="AN12" s="28">
        <f>SUM(Emissions!AP18:AP23)</f>
        <v>11.038310355443414</v>
      </c>
      <c r="AO12" s="28">
        <f>SUM(Emissions!AQ18:AQ23)</f>
        <v>11.138645975681014</v>
      </c>
      <c r="AP12" s="28">
        <f>SUM(Emissions!AR18:AR23)</f>
        <v>11.254723313581716</v>
      </c>
      <c r="AQ12" s="28">
        <f>SUM(Emissions!AS18:AS23)</f>
        <v>11.369703084876306</v>
      </c>
      <c r="AR12" s="28">
        <f>SUM(Emissions!AT18:AT23)</f>
        <v>11.489176089720976</v>
      </c>
      <c r="AS12" s="28">
        <f>SUM(Emissions!AU18:AU23)</f>
        <v>11.611852278305909</v>
      </c>
      <c r="AT12" s="28">
        <f>SUM(Emissions!AV18:AV23)</f>
        <v>11.737961552582021</v>
      </c>
      <c r="AU12" s="28">
        <f>SUM(Emissions!AW18:AW23)</f>
        <v>11.886216802788386</v>
      </c>
      <c r="AV12" s="28">
        <f>SUM(Emissions!AX18:AX23)</f>
        <v>12.027373172649403</v>
      </c>
      <c r="AW12" s="28">
        <f>SUM(Emissions!AY18:AY23)</f>
        <v>12.18093119652827</v>
      </c>
      <c r="AX12" s="28">
        <f>SUM(Emissions!AZ18:AZ23)</f>
        <v>12.342356879193943</v>
      </c>
      <c r="AY12" s="28">
        <f>SUM(Emissions!BA18:BA23)</f>
        <v>12.511715612671621</v>
      </c>
      <c r="AZ12" s="28">
        <f>SUM(Emissions!BB18:BB23)</f>
        <v>12.683766996472329</v>
      </c>
      <c r="BA12" s="28">
        <f>SUM(Emissions!BC18:BC23)</f>
        <v>12.860389208032172</v>
      </c>
      <c r="BB12" s="28">
        <f>SUM(Emissions!BD18:BD23)</f>
        <v>13.015141005908289</v>
      </c>
      <c r="BC12" s="28">
        <f>SUM(Emissions!BE18:BE23)</f>
        <v>13.169907560934933</v>
      </c>
      <c r="BD12" s="28">
        <f>SUM(Emissions!BF18:BF23)</f>
        <v>13.331255443427397</v>
      </c>
      <c r="BE12" s="28">
        <f>SUM(Emissions!BG18:BG23)</f>
        <v>13.498420309264214</v>
      </c>
      <c r="BF12" s="28">
        <f>SUM(Emissions!BH18:BH23)</f>
        <v>13.669757471760047</v>
      </c>
      <c r="BG12" s="28">
        <f>SUM(Emissions!BI18:BI23)</f>
        <v>13.844629768394162</v>
      </c>
      <c r="BH12" s="28">
        <f>SUM(Emissions!BJ18:BJ23)</f>
        <v>14.023700374085697</v>
      </c>
      <c r="BI12" s="28">
        <f>SUM(Emissions!BK18:BK23)</f>
        <v>14.210147475713324</v>
      </c>
      <c r="BJ12" s="28">
        <f>SUM(Emissions!BL18:BL23)</f>
        <v>14.401414836530025</v>
      </c>
      <c r="BK12" s="28">
        <f>SUM(Emissions!BM18:BM23)</f>
        <v>14.597698388612322</v>
      </c>
      <c r="BL12" s="28">
        <f>SUM(Emissions!BN18:BN23)</f>
        <v>14.792524044458194</v>
      </c>
      <c r="BM12" s="28">
        <f>SUM(Emissions!BO18:BO23)</f>
        <v>14.992651036421524</v>
      </c>
      <c r="BN12" s="28">
        <f>SUM(Emissions!BP18:BP23)</f>
        <v>15.198380030930759</v>
      </c>
    </row>
    <row r="13" spans="1:72" x14ac:dyDescent="0.25">
      <c r="A13" t="str">
        <f t="shared" si="2"/>
        <v>3A Livestock</v>
      </c>
      <c r="B13" t="str">
        <f>B12</f>
        <v>3A2 Manure management (CH4)</v>
      </c>
      <c r="C13" t="str">
        <f t="shared" si="8"/>
        <v>3A1c Sheep</v>
      </c>
      <c r="D13" t="str">
        <f t="shared" ref="D13:D18" si="9">D12</f>
        <v>CH4</v>
      </c>
      <c r="E13" t="str">
        <f t="shared" ref="E13:E18" si="10">E12</f>
        <v>Gg CH4</v>
      </c>
      <c r="F13" s="28">
        <f>SUM(Emissions!H24:H25)</f>
        <v>6.2894599121782607E-2</v>
      </c>
      <c r="G13" s="28">
        <f>SUM(Emissions!I24:I25)</f>
        <v>6.0066555504044758E-2</v>
      </c>
      <c r="H13" s="28">
        <f>SUM(Emissions!J24:J25)</f>
        <v>5.7584674495303009E-2</v>
      </c>
      <c r="I13" s="28">
        <f>SUM(Emissions!K24:K25)</f>
        <v>5.3854510138969261E-2</v>
      </c>
      <c r="J13" s="28">
        <f>SUM(Emissions!L24:L25)</f>
        <v>5.4234240031261954E-2</v>
      </c>
      <c r="K13" s="28">
        <f>SUM(Emissions!M24:M25)</f>
        <v>5.3457996605028271E-2</v>
      </c>
      <c r="L13" s="28">
        <f>SUM(Emissions!N24:N25)</f>
        <v>5.3636322797541415E-2</v>
      </c>
      <c r="M13" s="28">
        <f>SUM(Emissions!O24:O25)</f>
        <v>5.2469859702984858E-2</v>
      </c>
      <c r="N13" s="28">
        <f>SUM(Emissions!P24:P25)</f>
        <v>5.2614618612201423E-2</v>
      </c>
      <c r="O13" s="28">
        <f>SUM(Emissions!Q24:Q25)</f>
        <v>5.1322278205282637E-2</v>
      </c>
      <c r="P13" s="28">
        <f>SUM(Emissions!R24:R25)</f>
        <v>4.9482371489588214E-2</v>
      </c>
      <c r="Q13" s="28">
        <f>SUM(Emissions!S24:S25)</f>
        <v>4.8248773828438465E-2</v>
      </c>
      <c r="R13" s="28">
        <f>SUM(Emissions!T24:T25)</f>
        <v>4.7443159029320267E-2</v>
      </c>
      <c r="S13" s="28">
        <f>SUM(Emissions!U24:U25)</f>
        <v>4.7608897490597185E-2</v>
      </c>
      <c r="T13" s="28">
        <f>SUM(Emissions!V24:V25)</f>
        <v>4.6761323587358246E-2</v>
      </c>
      <c r="U13" s="28">
        <f>SUM(Emissions!W24:W25)</f>
        <v>4.6650131961438294E-2</v>
      </c>
      <c r="V13" s="28">
        <f>SUM(Emissions!X24:X25)</f>
        <v>4.6039626996481529E-2</v>
      </c>
      <c r="W13" s="28">
        <f>SUM(Emissions!Y24:Y25)</f>
        <v>4.5995569937154757E-2</v>
      </c>
      <c r="X13" s="28">
        <f>SUM(Emissions!Z24:Z25)</f>
        <v>4.6144524756783378E-2</v>
      </c>
      <c r="Y13" s="28">
        <f>SUM(Emissions!AA24:AA25)</f>
        <v>4.5980884250712492E-2</v>
      </c>
      <c r="Z13" s="28">
        <f>SUM(Emissions!AB24:AB25)</f>
        <v>4.5091351243352819E-2</v>
      </c>
      <c r="AA13" s="28">
        <f>SUM(Emissions!AC24:AC25)</f>
        <v>4.4738894768738595E-2</v>
      </c>
      <c r="AB13" s="28">
        <f>SUM(Emissions!AD24:AD25)</f>
        <v>4.5946786485491838E-2</v>
      </c>
      <c r="AC13" s="28">
        <f>SUM(Emissions!AE24:AE25)</f>
        <v>4.5795095685353865E-2</v>
      </c>
      <c r="AD13" s="28">
        <f>SUM(Emissions!AF24:AF25)</f>
        <v>4.5647200093648532E-2</v>
      </c>
      <c r="AE13" s="28">
        <f>SUM(Emissions!AG24:AG25)</f>
        <v>4.550318342091262E-2</v>
      </c>
      <c r="AF13" s="28">
        <f>SUM(Emissions!AH24:AH25)</f>
        <v>4.5351485303030792E-2</v>
      </c>
      <c r="AG13" s="28">
        <f>SUM(Emissions!AI24:AI25)</f>
        <v>4.519976013285909E-2</v>
      </c>
      <c r="AH13" s="28">
        <f>SUM(Emissions!AJ24:AJ25)</f>
        <v>4.5050990692096518E-2</v>
      </c>
      <c r="AI13" s="28">
        <f>SUM(Emissions!AK24:AK25)</f>
        <v>4.4905033580889285E-2</v>
      </c>
      <c r="AJ13" s="28">
        <f>SUM(Emissions!AL24:AL25)</f>
        <v>4.4804436618153844E-2</v>
      </c>
      <c r="AK13" s="28">
        <f>SUM(Emissions!AM24:AM25)</f>
        <v>4.4653490395039075E-2</v>
      </c>
      <c r="AL13" s="28">
        <f>SUM(Emissions!AN24:AN25)</f>
        <v>4.4505056504933013E-2</v>
      </c>
      <c r="AM13" s="28">
        <f>SUM(Emissions!AO24:AO25)</f>
        <v>4.4358541349115231E-2</v>
      </c>
      <c r="AN13" s="28">
        <f>SUM(Emissions!AP24:AP25)</f>
        <v>4.4214349180702932E-2</v>
      </c>
      <c r="AO13" s="28">
        <f>SUM(Emissions!AQ24:AQ25)</f>
        <v>4.4071645711904528E-2</v>
      </c>
      <c r="AP13" s="28">
        <f>SUM(Emissions!AR24:AR25)</f>
        <v>4.3918110093244984E-2</v>
      </c>
      <c r="AQ13" s="28">
        <f>SUM(Emissions!AS24:AS25)</f>
        <v>4.3766834606430133E-2</v>
      </c>
      <c r="AR13" s="28">
        <f>SUM(Emissions!AT24:AT25)</f>
        <v>4.3617115007598108E-2</v>
      </c>
      <c r="AS13" s="28">
        <f>SUM(Emissions!AU24:AU25)</f>
        <v>4.3469052055206001E-2</v>
      </c>
      <c r="AT13" s="28">
        <f>SUM(Emissions!AV24:AV25)</f>
        <v>4.3322570941378348E-2</v>
      </c>
      <c r="AU13" s="28">
        <f>SUM(Emissions!AW24:AW25)</f>
        <v>4.3180064630120599E-2</v>
      </c>
      <c r="AV13" s="28">
        <f>SUM(Emissions!AX24:AX25)</f>
        <v>4.3180064630120599E-2</v>
      </c>
      <c r="AW13" s="28">
        <f>SUM(Emissions!AY24:AY25)</f>
        <v>4.3180064630120599E-2</v>
      </c>
      <c r="AX13" s="28">
        <f>SUM(Emissions!AZ24:AZ25)</f>
        <v>4.3180064630120599E-2</v>
      </c>
      <c r="AY13" s="28">
        <f>SUM(Emissions!BA24:BA25)</f>
        <v>4.3180064630120599E-2</v>
      </c>
      <c r="AZ13" s="28">
        <f>SUM(Emissions!BB24:BB25)</f>
        <v>4.3180064630120599E-2</v>
      </c>
      <c r="BA13" s="28">
        <f>SUM(Emissions!BC24:BC25)</f>
        <v>4.3180064630120599E-2</v>
      </c>
      <c r="BB13" s="28">
        <f>SUM(Emissions!BD24:BD25)</f>
        <v>4.3180064630120599E-2</v>
      </c>
      <c r="BC13" s="28">
        <f>SUM(Emissions!BE24:BE25)</f>
        <v>4.3180064630120599E-2</v>
      </c>
      <c r="BD13" s="28">
        <f>SUM(Emissions!BF24:BF25)</f>
        <v>4.3180064630120599E-2</v>
      </c>
      <c r="BE13" s="28">
        <f>SUM(Emissions!BG24:BG25)</f>
        <v>4.3180064630120599E-2</v>
      </c>
      <c r="BF13" s="28">
        <f>SUM(Emissions!BH24:BH25)</f>
        <v>4.3180064630120599E-2</v>
      </c>
      <c r="BG13" s="28">
        <f>SUM(Emissions!BI24:BI25)</f>
        <v>4.3180064630120599E-2</v>
      </c>
      <c r="BH13" s="28">
        <f>SUM(Emissions!BJ24:BJ25)</f>
        <v>4.3180064630120599E-2</v>
      </c>
      <c r="BI13" s="28">
        <f>SUM(Emissions!BK24:BK25)</f>
        <v>4.3180064630120599E-2</v>
      </c>
      <c r="BJ13" s="28">
        <f>SUM(Emissions!BL24:BL25)</f>
        <v>4.3180064630120599E-2</v>
      </c>
      <c r="BK13" s="28">
        <f>SUM(Emissions!BM24:BM25)</f>
        <v>4.3180064630120599E-2</v>
      </c>
      <c r="BL13" s="28">
        <f>SUM(Emissions!BN24:BN25)</f>
        <v>4.3180064630120599E-2</v>
      </c>
      <c r="BM13" s="28">
        <f>SUM(Emissions!BO24:BO25)</f>
        <v>4.3180064630120599E-2</v>
      </c>
      <c r="BN13" s="28">
        <f>SUM(Emissions!BP24:BP25)</f>
        <v>4.3180064630120599E-2</v>
      </c>
    </row>
    <row r="14" spans="1:72" x14ac:dyDescent="0.25">
      <c r="A14" t="str">
        <f t="shared" si="2"/>
        <v>3A Livestock</v>
      </c>
      <c r="B14" t="str">
        <f t="shared" ref="B14:B18" si="11">B13</f>
        <v>3A2 Manure management (CH4)</v>
      </c>
      <c r="C14" t="str">
        <f t="shared" si="8"/>
        <v>3A1d Goats</v>
      </c>
      <c r="D14" t="str">
        <f t="shared" si="9"/>
        <v>CH4</v>
      </c>
      <c r="E14" t="str">
        <f t="shared" si="10"/>
        <v>Gg CH4</v>
      </c>
      <c r="F14" s="28">
        <f>SUM(Emissions!H26:H27)</f>
        <v>5.7474022342600642E-2</v>
      </c>
      <c r="G14" s="28">
        <f>SUM(Emissions!I26:I27)</f>
        <v>5.0823279310165601E-2</v>
      </c>
      <c r="H14" s="28">
        <f>SUM(Emissions!J26:J27)</f>
        <v>4.7342516601601464E-2</v>
      </c>
      <c r="I14" s="28">
        <f>SUM(Emissions!K26:K27)</f>
        <v>4.4731944570178372E-2</v>
      </c>
      <c r="J14" s="28">
        <f>SUM(Emissions!L26:L27)</f>
        <v>4.8419895535204649E-2</v>
      </c>
      <c r="K14" s="28">
        <f>SUM(Emissions!M26:M27)</f>
        <v>4.9082897955883539E-2</v>
      </c>
      <c r="L14" s="28">
        <f>SUM(Emissions!N26:N27)</f>
        <v>4.9849494504793493E-2</v>
      </c>
      <c r="M14" s="28">
        <f>SUM(Emissions!O26:O27)</f>
        <v>4.9600868597038911E-2</v>
      </c>
      <c r="N14" s="28">
        <f>SUM(Emissions!P26:P27)</f>
        <v>4.8896428525067599E-2</v>
      </c>
      <c r="O14" s="28">
        <f>SUM(Emissions!Q26:Q27)</f>
        <v>4.8171269627450081E-2</v>
      </c>
      <c r="P14" s="28">
        <f>SUM(Emissions!R26:R27)</f>
        <v>4.8792834396836522E-2</v>
      </c>
      <c r="Q14" s="28">
        <f>SUM(Emissions!S26:S27)</f>
        <v>5.0284589843364008E-2</v>
      </c>
      <c r="R14" s="28">
        <f>SUM(Emissions!T26:T27)</f>
        <v>4.5912917632012634E-2</v>
      </c>
      <c r="S14" s="28">
        <f>SUM(Emissions!U26:U27)</f>
        <v>4.475266339582458E-2</v>
      </c>
      <c r="T14" s="28">
        <f>SUM(Emissions!V26:V27)</f>
        <v>4.4835538698409449E-2</v>
      </c>
      <c r="U14" s="28">
        <f>SUM(Emissions!W26:W27)</f>
        <v>4.4255411580315415E-2</v>
      </c>
      <c r="V14" s="28">
        <f>SUM(Emissions!X26:X27)</f>
        <v>4.5187758734395102E-2</v>
      </c>
      <c r="W14" s="28">
        <f>SUM(Emissions!Y26:Y27)</f>
        <v>4.3841035067391121E-2</v>
      </c>
      <c r="X14" s="28">
        <f>SUM(Emissions!Z26:Z27)</f>
        <v>4.3799597416098693E-2</v>
      </c>
      <c r="Y14" s="28">
        <f>SUM(Emissions!AA26:AA27)</f>
        <v>4.3033000867188732E-2</v>
      </c>
      <c r="Z14" s="28">
        <f>SUM(Emissions!AB26:AB27)</f>
        <v>4.2515030226033354E-2</v>
      </c>
      <c r="AA14" s="28">
        <f>SUM(Emissions!AC26:AC27)</f>
        <v>4.2121372538755267E-2</v>
      </c>
      <c r="AB14" s="28">
        <f>SUM(Emissions!AD26:AD27)</f>
        <v>4.2586590855797413E-2</v>
      </c>
      <c r="AC14" s="28">
        <f>SUM(Emissions!AE26:AE27)</f>
        <v>4.2433054116846912E-2</v>
      </c>
      <c r="AD14" s="28">
        <f>SUM(Emissions!AF26:AF27)</f>
        <v>4.2281266492258419E-2</v>
      </c>
      <c r="AE14" s="28">
        <f>SUM(Emissions!AG26:AG27)</f>
        <v>4.2131447263741018E-2</v>
      </c>
      <c r="AF14" s="28">
        <f>SUM(Emissions!AH26:AH27)</f>
        <v>4.1971459905667446E-2</v>
      </c>
      <c r="AG14" s="28">
        <f>SUM(Emissions!AI26:AI27)</f>
        <v>4.1809178576445269E-2</v>
      </c>
      <c r="AH14" s="28">
        <f>SUM(Emissions!AJ26:AJ27)</f>
        <v>4.1647827810094254E-2</v>
      </c>
      <c r="AI14" s="28">
        <f>SUM(Emissions!AK26:AK27)</f>
        <v>4.1487350777482737E-2</v>
      </c>
      <c r="AJ14" s="28">
        <f>SUM(Emissions!AL26:AL27)</f>
        <v>4.1375476076215403E-2</v>
      </c>
      <c r="AK14" s="28">
        <f>SUM(Emissions!AM26:AM27)</f>
        <v>4.1205638899751297E-2</v>
      </c>
      <c r="AL14" s="28">
        <f>SUM(Emissions!AN26:AN27)</f>
        <v>4.1036295780917581E-2</v>
      </c>
      <c r="AM14" s="28">
        <f>SUM(Emissions!AO26:AO27)</f>
        <v>4.0866841760316588E-2</v>
      </c>
      <c r="AN14" s="28">
        <f>SUM(Emissions!AP26:AP27)</f>
        <v>4.0697813051957903E-2</v>
      </c>
      <c r="AO14" s="28">
        <f>SUM(Emissions!AQ26:AQ27)</f>
        <v>4.0528291022293134E-2</v>
      </c>
      <c r="AP14" s="28">
        <f>SUM(Emissions!AR26:AR27)</f>
        <v>4.0343380279465643E-2</v>
      </c>
      <c r="AQ14" s="28">
        <f>SUM(Emissions!AS26:AS27)</f>
        <v>4.0158600338041556E-2</v>
      </c>
      <c r="AR14" s="28">
        <f>SUM(Emissions!AT26:AT27)</f>
        <v>3.9973152644880196E-2</v>
      </c>
      <c r="AS14" s="28">
        <f>SUM(Emissions!AU26:AU27)</f>
        <v>3.9787209122264952E-2</v>
      </c>
      <c r="AT14" s="28">
        <f>SUM(Emissions!AV26:AV27)</f>
        <v>3.9718484314707654E-2</v>
      </c>
      <c r="AU14" s="28">
        <f>SUM(Emissions!AW26:AW27)</f>
        <v>3.9725697858323521E-2</v>
      </c>
      <c r="AV14" s="28">
        <f>SUM(Emissions!AX26:AX27)</f>
        <v>3.9729655290782658E-2</v>
      </c>
      <c r="AW14" s="28">
        <f>SUM(Emissions!AY26:AY27)</f>
        <v>3.9732544829052766E-2</v>
      </c>
      <c r="AX14" s="28">
        <f>SUM(Emissions!AZ26:AZ27)</f>
        <v>3.9733876132926269E-2</v>
      </c>
      <c r="AY14" s="28">
        <f>SUM(Emissions!BA26:BA27)</f>
        <v>3.9733675448560372E-2</v>
      </c>
      <c r="AZ14" s="28">
        <f>SUM(Emissions!BB26:BB27)</f>
        <v>3.9736047624145468E-2</v>
      </c>
      <c r="BA14" s="28">
        <f>SUM(Emissions!BC26:BC27)</f>
        <v>3.9736412865833737E-2</v>
      </c>
      <c r="BB14" s="28">
        <f>SUM(Emissions!BD26:BD27)</f>
        <v>3.9734293350659193E-2</v>
      </c>
      <c r="BC14" s="28">
        <f>SUM(Emissions!BE26:BE27)</f>
        <v>3.9730139797477144E-2</v>
      </c>
      <c r="BD14" s="28">
        <f>SUM(Emissions!BF26:BF27)</f>
        <v>3.9724332671939186E-2</v>
      </c>
      <c r="BE14" s="28">
        <f>SUM(Emissions!BG26:BG27)</f>
        <v>3.9770349477618414E-2</v>
      </c>
      <c r="BF14" s="28">
        <f>SUM(Emissions!BH26:BH27)</f>
        <v>3.9814848527334343E-2</v>
      </c>
      <c r="BG14" s="28">
        <f>SUM(Emissions!BI26:BI27)</f>
        <v>3.9857762462630918E-2</v>
      </c>
      <c r="BH14" s="28">
        <f>SUM(Emissions!BJ26:BJ27)</f>
        <v>3.9899190369058965E-2</v>
      </c>
      <c r="BI14" s="28">
        <f>SUM(Emissions!BK26:BK27)</f>
        <v>3.9939573071276518E-2</v>
      </c>
      <c r="BJ14" s="28">
        <f>SUM(Emissions!BL26:BL27)</f>
        <v>3.9974060985893747E-2</v>
      </c>
      <c r="BK14" s="28">
        <f>SUM(Emissions!BM26:BM27)</f>
        <v>4.0007331555151279E-2</v>
      </c>
      <c r="BL14" s="28">
        <f>SUM(Emissions!BN26:BN27)</f>
        <v>4.0038499887436005E-2</v>
      </c>
      <c r="BM14" s="28">
        <f>SUM(Emissions!BO26:BO27)</f>
        <v>4.0068512495757588E-2</v>
      </c>
      <c r="BN14" s="28">
        <f>SUM(Emissions!BP26:BP27)</f>
        <v>4.0097441873306633E-2</v>
      </c>
    </row>
    <row r="15" spans="1:72" x14ac:dyDescent="0.25">
      <c r="A15" t="str">
        <f t="shared" si="2"/>
        <v>3A Livestock</v>
      </c>
      <c r="B15" t="str">
        <f t="shared" si="11"/>
        <v>3A2 Manure management (CH4)</v>
      </c>
      <c r="C15" t="str">
        <f t="shared" si="8"/>
        <v>3A1f Horses</v>
      </c>
      <c r="D15" t="str">
        <f t="shared" si="9"/>
        <v>CH4</v>
      </c>
      <c r="E15" t="str">
        <f t="shared" si="10"/>
        <v>Gg CH4</v>
      </c>
      <c r="F15" s="28">
        <f>Emissions!H28</f>
        <v>3.0819999999999997E-3</v>
      </c>
      <c r="G15" s="28">
        <f>Emissions!I28</f>
        <v>3.0819999999999997E-3</v>
      </c>
      <c r="H15" s="28">
        <f>Emissions!J28</f>
        <v>3.0819999999999997E-3</v>
      </c>
      <c r="I15" s="28">
        <f>Emissions!K28</f>
        <v>3.1489999999999999E-3</v>
      </c>
      <c r="J15" s="28">
        <f>Emissions!L28</f>
        <v>3.2159999999999997E-3</v>
      </c>
      <c r="K15" s="28">
        <f>Emissions!M28</f>
        <v>3.2829999999999999E-3</v>
      </c>
      <c r="L15" s="28">
        <f>Emissions!N28</f>
        <v>3.3499999999999997E-3</v>
      </c>
      <c r="M15" s="28">
        <f>Emissions!O28</f>
        <v>3.4169999999999999E-3</v>
      </c>
      <c r="N15" s="28">
        <f>Emissions!P28</f>
        <v>3.4839999999999997E-3</v>
      </c>
      <c r="O15" s="28">
        <f>Emissions!Q28</f>
        <v>3.4572000000000001E-3</v>
      </c>
      <c r="P15" s="28">
        <f>Emissions!R28</f>
        <v>3.6179999999999997E-3</v>
      </c>
      <c r="Q15" s="28">
        <f>Emissions!S28</f>
        <v>3.6179999999999997E-3</v>
      </c>
      <c r="R15" s="28">
        <f>Emissions!T28</f>
        <v>3.6179999999999997E-3</v>
      </c>
      <c r="S15" s="28">
        <f>Emissions!U28</f>
        <v>3.6179999999999997E-3</v>
      </c>
      <c r="T15" s="28">
        <f>Emissions!V28</f>
        <v>3.6179999999999997E-3</v>
      </c>
      <c r="U15" s="28">
        <f>Emissions!W28</f>
        <v>3.6179999999999997E-3</v>
      </c>
      <c r="V15" s="28">
        <f>Emissions!X28</f>
        <v>3.7519999999999997E-3</v>
      </c>
      <c r="W15" s="28">
        <f>Emissions!Y28</f>
        <v>3.8859999999999997E-3</v>
      </c>
      <c r="X15" s="28">
        <f>Emissions!Z28</f>
        <v>3.9931999999999997E-3</v>
      </c>
      <c r="Y15" s="28">
        <f>Emissions!AA28</f>
        <v>4.0200000000000001E-3</v>
      </c>
      <c r="Z15" s="28">
        <f>Emissions!AB28</f>
        <v>4.0200000000000001E-3</v>
      </c>
      <c r="AA15" s="28">
        <f>Emissions!AC28</f>
        <v>4.0869999999999995E-3</v>
      </c>
      <c r="AB15" s="28">
        <f>Emissions!AD28</f>
        <v>4.1029619207876159E-3</v>
      </c>
      <c r="AC15" s="28">
        <f>Emissions!AE28</f>
        <v>4.1467077279333658E-3</v>
      </c>
      <c r="AD15" s="28">
        <f>Emissions!AF28</f>
        <v>4.1741688817670142E-3</v>
      </c>
      <c r="AE15" s="28">
        <f>Emissions!AG28</f>
        <v>4.1846159954301828E-3</v>
      </c>
      <c r="AF15" s="28">
        <f>Emissions!AH28</f>
        <v>4.17942826081174E-3</v>
      </c>
      <c r="AG15" s="28">
        <f>Emissions!AI28</f>
        <v>4.1856113914517023E-3</v>
      </c>
      <c r="AH15" s="28">
        <f>Emissions!AJ28</f>
        <v>4.1871480881541167E-3</v>
      </c>
      <c r="AI15" s="28">
        <f>Emissions!AK28</f>
        <v>4.1844438664516538E-3</v>
      </c>
      <c r="AJ15" s="28">
        <f>Emissions!AL28</f>
        <v>3.9496890858976615E-3</v>
      </c>
      <c r="AK15" s="28">
        <f>Emissions!AM28</f>
        <v>3.9831777592314842E-3</v>
      </c>
      <c r="AL15" s="28">
        <f>Emissions!AN28</f>
        <v>4.0137279906246005E-3</v>
      </c>
      <c r="AM15" s="28">
        <f>Emissions!AO28</f>
        <v>4.0442301254902772E-3</v>
      </c>
      <c r="AN15" s="28">
        <f>Emissions!AP28</f>
        <v>4.0722183136064011E-3</v>
      </c>
      <c r="AO15" s="28">
        <f>Emissions!AQ28</f>
        <v>4.1019492523918588E-3</v>
      </c>
      <c r="AP15" s="28">
        <f>Emissions!AR28</f>
        <v>4.1392103739141331E-3</v>
      </c>
      <c r="AQ15" s="28">
        <f>Emissions!AS28</f>
        <v>4.175170068106613E-3</v>
      </c>
      <c r="AR15" s="28">
        <f>Emissions!AT28</f>
        <v>4.2134024618285136E-3</v>
      </c>
      <c r="AS15" s="28">
        <f>Emissions!AU28</f>
        <v>4.2530889439538998E-3</v>
      </c>
      <c r="AT15" s="28">
        <f>Emissions!AV28</f>
        <v>4.2943854477446542E-3</v>
      </c>
      <c r="AU15" s="28">
        <f>Emissions!AW28</f>
        <v>4.349561562533244E-3</v>
      </c>
      <c r="AV15" s="28">
        <f>Emissions!AX28</f>
        <v>4.3999612968752457E-3</v>
      </c>
      <c r="AW15" s="28">
        <f>Emissions!AY28</f>
        <v>4.4579656485971434E-3</v>
      </c>
      <c r="AX15" s="28">
        <f>Emissions!AZ28</f>
        <v>4.5208431580209506E-3</v>
      </c>
      <c r="AY15" s="28">
        <f>Emissions!BA28</f>
        <v>4.5887832563760332E-3</v>
      </c>
      <c r="AZ15" s="28">
        <f>Emissions!BB28</f>
        <v>4.6572277745589741E-3</v>
      </c>
      <c r="BA15" s="28">
        <f>Emissions!BC28</f>
        <v>4.7286198027543793E-3</v>
      </c>
      <c r="BB15" s="28">
        <f>Emissions!BD28</f>
        <v>4.8002935777139016E-3</v>
      </c>
      <c r="BC15" s="28">
        <f>Emissions!BE28</f>
        <v>4.8748463053129455E-3</v>
      </c>
      <c r="BD15" s="28">
        <f>Emissions!BF28</f>
        <v>4.9544901683018583E-3</v>
      </c>
      <c r="BE15" s="28">
        <f>Emissions!BG28</f>
        <v>5.0327857208663359E-3</v>
      </c>
      <c r="BF15" s="28">
        <f>Emissions!BH28</f>
        <v>5.114372639048387E-3</v>
      </c>
      <c r="BG15" s="28">
        <f>Emissions!BI28</f>
        <v>5.1988859585914591E-3</v>
      </c>
      <c r="BH15" s="28">
        <f>Emissions!BJ28</f>
        <v>5.2869051543386093E-3</v>
      </c>
      <c r="BI15" s="28">
        <f>Emissions!BK28</f>
        <v>5.3809333044093407E-3</v>
      </c>
      <c r="BJ15" s="28">
        <f>Emissions!BL28</f>
        <v>5.4810203584978318E-3</v>
      </c>
      <c r="BK15" s="28">
        <f>Emissions!BM28</f>
        <v>5.5858171870711163E-3</v>
      </c>
      <c r="BL15" s="28">
        <f>Emissions!BN28</f>
        <v>5.6903848923808035E-3</v>
      </c>
      <c r="BM15" s="28">
        <f>Emissions!BO28</f>
        <v>5.8000797184545915E-3</v>
      </c>
      <c r="BN15" s="28">
        <f>Emissions!BP28</f>
        <v>5.9153436938775847E-3</v>
      </c>
    </row>
    <row r="16" spans="1:72" x14ac:dyDescent="0.25">
      <c r="A16" t="str">
        <f t="shared" si="2"/>
        <v>3A Livestock</v>
      </c>
      <c r="B16" t="str">
        <f t="shared" si="11"/>
        <v>3A2 Manure management (CH4)</v>
      </c>
      <c r="C16" t="str">
        <f t="shared" si="8"/>
        <v>3A1g Mules &amp; asses</v>
      </c>
      <c r="D16" t="str">
        <f t="shared" si="9"/>
        <v>CH4</v>
      </c>
      <c r="E16" t="str">
        <f t="shared" si="10"/>
        <v>Gg CH4</v>
      </c>
      <c r="F16" s="28">
        <f>Emissions!H29</f>
        <v>1.0079999999999998E-3</v>
      </c>
      <c r="G16" s="28">
        <f>Emissions!I29</f>
        <v>1.0079999999999998E-3</v>
      </c>
      <c r="H16" s="28">
        <f>Emissions!J29</f>
        <v>1.0079999999999998E-3</v>
      </c>
      <c r="I16" s="28">
        <f>Emissions!K29</f>
        <v>1.0079999999999998E-3</v>
      </c>
      <c r="J16" s="28">
        <f>Emissions!L29</f>
        <v>1.0079999999999998E-3</v>
      </c>
      <c r="K16" s="28">
        <f>Emissions!M29</f>
        <v>1.0079999999999998E-3</v>
      </c>
      <c r="L16" s="28">
        <f>Emissions!N29</f>
        <v>1.0079999999999998E-3</v>
      </c>
      <c r="M16" s="28">
        <f>Emissions!O29</f>
        <v>1.0079999999999998E-3</v>
      </c>
      <c r="N16" s="28">
        <f>Emissions!P29</f>
        <v>1.0079999999999998E-3</v>
      </c>
      <c r="O16" s="28">
        <f>Emissions!Q29</f>
        <v>1.0079999999999998E-3</v>
      </c>
      <c r="P16" s="28">
        <f>Emissions!R29</f>
        <v>7.3799999999999994E-4</v>
      </c>
      <c r="Q16" s="28">
        <f>Emissions!S29</f>
        <v>7.3799999999999994E-4</v>
      </c>
      <c r="R16" s="28">
        <f>Emissions!T29</f>
        <v>7.3799999999999994E-4</v>
      </c>
      <c r="S16" s="28">
        <f>Emissions!U29</f>
        <v>7.3799999999999994E-4</v>
      </c>
      <c r="T16" s="28">
        <f>Emissions!V29</f>
        <v>7.3799999999999994E-4</v>
      </c>
      <c r="U16" s="28">
        <f>Emissions!W29</f>
        <v>7.3799999999999994E-4</v>
      </c>
      <c r="V16" s="28">
        <f>Emissions!X29</f>
        <v>7.3822499999999991E-4</v>
      </c>
      <c r="W16" s="28">
        <f>Emissions!Y29</f>
        <v>7.4069999999999995E-4</v>
      </c>
      <c r="X16" s="28">
        <f>Emissions!Z29</f>
        <v>7.4114999999999999E-4</v>
      </c>
      <c r="Y16" s="28">
        <f>Emissions!AA29</f>
        <v>7.4159999999999992E-4</v>
      </c>
      <c r="Z16" s="28">
        <f>Emissions!AB29</f>
        <v>7.4834999999999984E-4</v>
      </c>
      <c r="AA16" s="28">
        <f>Emissions!AC29</f>
        <v>7.515E-4</v>
      </c>
      <c r="AB16" s="28">
        <f>Emissions!AD29</f>
        <v>7.515E-4</v>
      </c>
      <c r="AC16" s="28">
        <f>Emissions!AE29</f>
        <v>7.515E-4</v>
      </c>
      <c r="AD16" s="28">
        <f>Emissions!AF29</f>
        <v>7.515E-4</v>
      </c>
      <c r="AE16" s="28">
        <f>Emissions!AG29</f>
        <v>7.515E-4</v>
      </c>
      <c r="AF16" s="28">
        <f>Emissions!AH29</f>
        <v>7.515E-4</v>
      </c>
      <c r="AG16" s="28">
        <f>Emissions!AI29</f>
        <v>7.515E-4</v>
      </c>
      <c r="AH16" s="28">
        <f>Emissions!AJ29</f>
        <v>7.515E-4</v>
      </c>
      <c r="AI16" s="28">
        <f>Emissions!AK29</f>
        <v>7.515E-4</v>
      </c>
      <c r="AJ16" s="28">
        <f>Emissions!AL29</f>
        <v>7.515E-4</v>
      </c>
      <c r="AK16" s="28">
        <f>Emissions!AM29</f>
        <v>7.515E-4</v>
      </c>
      <c r="AL16" s="28">
        <f>Emissions!AN29</f>
        <v>7.515E-4</v>
      </c>
      <c r="AM16" s="28">
        <f>Emissions!AO29</f>
        <v>7.515E-4</v>
      </c>
      <c r="AN16" s="28">
        <f>Emissions!AP29</f>
        <v>7.515E-4</v>
      </c>
      <c r="AO16" s="28">
        <f>Emissions!AQ29</f>
        <v>7.515E-4</v>
      </c>
      <c r="AP16" s="28">
        <f>Emissions!AR29</f>
        <v>7.515E-4</v>
      </c>
      <c r="AQ16" s="28">
        <f>Emissions!AS29</f>
        <v>7.515E-4</v>
      </c>
      <c r="AR16" s="28">
        <f>Emissions!AT29</f>
        <v>7.515E-4</v>
      </c>
      <c r="AS16" s="28">
        <f>Emissions!AU29</f>
        <v>7.515E-4</v>
      </c>
      <c r="AT16" s="28">
        <f>Emissions!AV29</f>
        <v>7.515E-4</v>
      </c>
      <c r="AU16" s="28">
        <f>Emissions!AW29</f>
        <v>7.515E-4</v>
      </c>
      <c r="AV16" s="28">
        <f>Emissions!AX29</f>
        <v>7.515E-4</v>
      </c>
      <c r="AW16" s="28">
        <f>Emissions!AY29</f>
        <v>7.515E-4</v>
      </c>
      <c r="AX16" s="28">
        <f>Emissions!AZ29</f>
        <v>7.515E-4</v>
      </c>
      <c r="AY16" s="28">
        <f>Emissions!BA29</f>
        <v>7.515E-4</v>
      </c>
      <c r="AZ16" s="28">
        <f>Emissions!BB29</f>
        <v>7.515E-4</v>
      </c>
      <c r="BA16" s="28">
        <f>Emissions!BC29</f>
        <v>7.515E-4</v>
      </c>
      <c r="BB16" s="28">
        <f>Emissions!BD29</f>
        <v>7.515E-4</v>
      </c>
      <c r="BC16" s="28">
        <f>Emissions!BE29</f>
        <v>7.515E-4</v>
      </c>
      <c r="BD16" s="28">
        <f>Emissions!BF29</f>
        <v>7.515E-4</v>
      </c>
      <c r="BE16" s="28">
        <f>Emissions!BG29</f>
        <v>7.515E-4</v>
      </c>
      <c r="BF16" s="28">
        <f>Emissions!BH29</f>
        <v>7.515E-4</v>
      </c>
      <c r="BG16" s="28">
        <f>Emissions!BI29</f>
        <v>7.515E-4</v>
      </c>
      <c r="BH16" s="28">
        <f>Emissions!BJ29</f>
        <v>7.515E-4</v>
      </c>
      <c r="BI16" s="28">
        <f>Emissions!BK29</f>
        <v>7.515E-4</v>
      </c>
      <c r="BJ16" s="28">
        <f>Emissions!BL29</f>
        <v>7.515E-4</v>
      </c>
      <c r="BK16" s="28">
        <f>Emissions!BM29</f>
        <v>7.515E-4</v>
      </c>
      <c r="BL16" s="28">
        <f>Emissions!BN29</f>
        <v>7.515E-4</v>
      </c>
      <c r="BM16" s="28">
        <f>Emissions!BO29</f>
        <v>7.515E-4</v>
      </c>
      <c r="BN16" s="28">
        <f>Emissions!BP29</f>
        <v>7.515E-4</v>
      </c>
    </row>
    <row r="17" spans="1:66" x14ac:dyDescent="0.25">
      <c r="A17" t="str">
        <f t="shared" si="2"/>
        <v>3A Livestock</v>
      </c>
      <c r="B17" t="str">
        <f t="shared" si="11"/>
        <v>3A2 Manure management (CH4)</v>
      </c>
      <c r="C17" t="str">
        <f t="shared" si="8"/>
        <v>3A1h Swine</v>
      </c>
      <c r="D17" t="str">
        <f t="shared" si="9"/>
        <v>CH4</v>
      </c>
      <c r="E17" t="str">
        <f t="shared" si="10"/>
        <v>Gg CH4</v>
      </c>
      <c r="F17" s="28">
        <f>SUM(Emissions!H30:H31)</f>
        <v>21.491561588124931</v>
      </c>
      <c r="G17" s="28">
        <f>SUM(Emissions!I30:I31)</f>
        <v>23.479954097262475</v>
      </c>
      <c r="H17" s="28">
        <f>SUM(Emissions!J30:J31)</f>
        <v>23.324831277400676</v>
      </c>
      <c r="I17" s="28">
        <f>SUM(Emissions!K30:K31)</f>
        <v>23.310729202867787</v>
      </c>
      <c r="J17" s="28">
        <f>SUM(Emissions!L30:L31)</f>
        <v>22.140257016637882</v>
      </c>
      <c r="K17" s="28">
        <f>SUM(Emissions!M30:M31)</f>
        <v>22.351788134631242</v>
      </c>
      <c r="L17" s="28">
        <f>SUM(Emissions!N30:N31)</f>
        <v>24.072241227643865</v>
      </c>
      <c r="M17" s="28">
        <f>SUM(Emissions!O30:O31)</f>
        <v>23.959424631380745</v>
      </c>
      <c r="N17" s="28">
        <f>SUM(Emissions!P30:P31)</f>
        <v>24.481201389097684</v>
      </c>
      <c r="O17" s="28">
        <f>SUM(Emissions!Q30:Q31)</f>
        <v>25.101692668544864</v>
      </c>
      <c r="P17" s="28">
        <f>SUM(Emissions!R30:R31)</f>
        <v>23.22611675567045</v>
      </c>
      <c r="Q17" s="28">
        <f>SUM(Emissions!S30:S31)</f>
        <v>23.663281066190045</v>
      </c>
      <c r="R17" s="28">
        <f>SUM(Emissions!T30:T31)</f>
        <v>24.11454745124254</v>
      </c>
      <c r="S17" s="28">
        <f>SUM(Emissions!U30:U31)</f>
        <v>23.451749948196689</v>
      </c>
      <c r="T17" s="28">
        <f>SUM(Emissions!V30:V31)</f>
        <v>23.451749948196689</v>
      </c>
      <c r="U17" s="28">
        <f>SUM(Emissions!W30:W31)</f>
        <v>23.282525053802008</v>
      </c>
      <c r="V17" s="28">
        <f>SUM(Emissions!X30:X31)</f>
        <v>22.873564892348188</v>
      </c>
      <c r="W17" s="28">
        <f>SUM(Emissions!Y30:Y31)</f>
        <v>23.282525053802008</v>
      </c>
      <c r="X17" s="28">
        <f>SUM(Emissions!Z30:Z31)</f>
        <v>22.774850370617955</v>
      </c>
      <c r="Y17" s="28">
        <f>SUM(Emissions!AA30:AA31)</f>
        <v>22.746646221552176</v>
      </c>
      <c r="Z17" s="28">
        <f>SUM(Emissions!AB30:AB31)</f>
        <v>22.478706805427255</v>
      </c>
      <c r="AA17" s="28">
        <f>SUM(Emissions!AC30:AC31)</f>
        <v>22.337686060098353</v>
      </c>
      <c r="AB17" s="28">
        <f>SUM(Emissions!AD30:AD31)</f>
        <v>22.105589450451784</v>
      </c>
      <c r="AC17" s="28">
        <f>SUM(Emissions!AE30:AE31)</f>
        <v>22.015939572472657</v>
      </c>
      <c r="AD17" s="28">
        <f>SUM(Emissions!AF30:AF31)</f>
        <v>21.951652572446516</v>
      </c>
      <c r="AE17" s="28">
        <f>SUM(Emissions!AG30:AG31)</f>
        <v>21.912104166075011</v>
      </c>
      <c r="AF17" s="28">
        <f>SUM(Emissions!AH30:AH31)</f>
        <v>21.892757763614757</v>
      </c>
      <c r="AG17" s="28">
        <f>SUM(Emissions!AI30:AI31)</f>
        <v>21.857534994009757</v>
      </c>
      <c r="AH17" s="28">
        <f>SUM(Emissions!AJ30:AJ31)</f>
        <v>21.829141800990794</v>
      </c>
      <c r="AI17" s="28">
        <f>SUM(Emissions!AK30:AK31)</f>
        <v>21.806984242528454</v>
      </c>
      <c r="AJ17" s="28">
        <f>SUM(Emissions!AL30:AL31)</f>
        <v>22.151016612095546</v>
      </c>
      <c r="AK17" s="28">
        <f>SUM(Emissions!AM30:AM31)</f>
        <v>22.067544906024583</v>
      </c>
      <c r="AL17" s="28">
        <f>SUM(Emissions!AN30:AN31)</f>
        <v>21.99090313301064</v>
      </c>
      <c r="AM17" s="28">
        <f>SUM(Emissions!AO30:AO31)</f>
        <v>21.91595019350391</v>
      </c>
      <c r="AN17" s="28">
        <f>SUM(Emissions!AP30:AP31)</f>
        <v>21.846468026883372</v>
      </c>
      <c r="AO17" s="28">
        <f>SUM(Emissions!AQ30:AQ31)</f>
        <v>21.77560024841052</v>
      </c>
      <c r="AP17" s="28">
        <f>SUM(Emissions!AR30:AR31)</f>
        <v>21.692873145689113</v>
      </c>
      <c r="AQ17" s="28">
        <f>SUM(Emissions!AS30:AS31)</f>
        <v>21.613967770748658</v>
      </c>
      <c r="AR17" s="28">
        <f>SUM(Emissions!AT30:AT31)</f>
        <v>21.533652407043224</v>
      </c>
      <c r="AS17" s="28">
        <f>SUM(Emissions!AU30:AU31)</f>
        <v>21.453235221631534</v>
      </c>
      <c r="AT17" s="28">
        <f>SUM(Emissions!AV30:AV31)</f>
        <v>21.372604395239399</v>
      </c>
      <c r="AU17" s="28">
        <f>SUM(Emissions!AW30:AW31)</f>
        <v>21.535061791746749</v>
      </c>
      <c r="AV17" s="28">
        <f>SUM(Emissions!AX30:AX31)</f>
        <v>21.618898465717898</v>
      </c>
      <c r="AW17" s="28">
        <f>SUM(Emissions!AY30:AY31)</f>
        <v>21.735925524055506</v>
      </c>
      <c r="AX17" s="28">
        <f>SUM(Emissions!AZ30:AZ31)</f>
        <v>21.856222193474693</v>
      </c>
      <c r="AY17" s="28">
        <f>SUM(Emissions!BA30:BA31)</f>
        <v>21.976784409257597</v>
      </c>
      <c r="AZ17" s="28">
        <f>SUM(Emissions!BB30:BB31)</f>
        <v>22.065089741175225</v>
      </c>
      <c r="BA17" s="28">
        <f>SUM(Emissions!BC30:BC31)</f>
        <v>22.131778286369176</v>
      </c>
      <c r="BB17" s="28">
        <f>SUM(Emissions!BD30:BD31)</f>
        <v>22.155561777135127</v>
      </c>
      <c r="BC17" s="28">
        <f>SUM(Emissions!BE30:BE31)</f>
        <v>22.154051624137445</v>
      </c>
      <c r="BD17" s="28">
        <f>SUM(Emissions!BF30:BF31)</f>
        <v>22.139255286430298</v>
      </c>
      <c r="BE17" s="28">
        <f>SUM(Emissions!BG30:BG31)</f>
        <v>22.259526828615986</v>
      </c>
      <c r="BF17" s="28">
        <f>SUM(Emissions!BH30:BH31)</f>
        <v>22.361583439763205</v>
      </c>
      <c r="BG17" s="28">
        <f>SUM(Emissions!BI30:BI31)</f>
        <v>22.4412247562157</v>
      </c>
      <c r="BH17" s="28">
        <f>SUM(Emissions!BJ30:BJ31)</f>
        <v>22.499855372075832</v>
      </c>
      <c r="BI17" s="28">
        <f>SUM(Emissions!BK30:BK31)</f>
        <v>22.548556699596368</v>
      </c>
      <c r="BJ17" s="28">
        <f>SUM(Emissions!BL30:BL31)</f>
        <v>22.576610683827507</v>
      </c>
      <c r="BK17" s="28">
        <f>SUM(Emissions!BM30:BM31)</f>
        <v>22.581088113181686</v>
      </c>
      <c r="BL17" s="28">
        <f>SUM(Emissions!BN30:BN31)</f>
        <v>22.536693467102616</v>
      </c>
      <c r="BM17" s="28">
        <f>SUM(Emissions!BO30:BO31)</f>
        <v>22.467542998780338</v>
      </c>
      <c r="BN17" s="28">
        <f>SUM(Emissions!BP30:BP31)</f>
        <v>22.372707674263271</v>
      </c>
    </row>
    <row r="18" spans="1:66" x14ac:dyDescent="0.25">
      <c r="A18" t="str">
        <f t="shared" si="2"/>
        <v>3A Livestock</v>
      </c>
      <c r="B18" t="str">
        <f t="shared" si="11"/>
        <v>3A2 Manure management (CH4)</v>
      </c>
      <c r="C18" t="str">
        <f>'IPCC Categories'!C19</f>
        <v>3A2i Poultry</v>
      </c>
      <c r="D18" t="str">
        <f t="shared" si="9"/>
        <v>CH4</v>
      </c>
      <c r="E18" t="str">
        <f t="shared" si="10"/>
        <v>Gg CH4</v>
      </c>
      <c r="F18" s="28">
        <f>SUM(Emissions!H32:H35)</f>
        <v>1.3455156687778258</v>
      </c>
      <c r="G18" s="28">
        <f>SUM(Emissions!I32:I35)</f>
        <v>1.2760746173506023</v>
      </c>
      <c r="H18" s="28">
        <f>SUM(Emissions!J32:J35)</f>
        <v>1.2071518876777516</v>
      </c>
      <c r="I18" s="28">
        <f>SUM(Emissions!K32:K35)</f>
        <v>1.3112406123644875</v>
      </c>
      <c r="J18" s="28">
        <f>SUM(Emissions!L32:L35)</f>
        <v>1.2878479203358015</v>
      </c>
      <c r="K18" s="28">
        <f>SUM(Emissions!M32:M35)</f>
        <v>1.4574822448350102</v>
      </c>
      <c r="L18" s="28">
        <f>SUM(Emissions!N32:N35)</f>
        <v>1.6585519756378786</v>
      </c>
      <c r="M18" s="28">
        <f>SUM(Emissions!O32:O35)</f>
        <v>1.6829831179003492</v>
      </c>
      <c r="N18" s="28">
        <f>SUM(Emissions!P32:P35)</f>
        <v>1.8549562107540372</v>
      </c>
      <c r="O18" s="28">
        <f>SUM(Emissions!Q32:Q35)</f>
        <v>1.9479379111082711</v>
      </c>
      <c r="P18" s="28">
        <f>SUM(Emissions!R32:R35)</f>
        <v>2.0536731601042231</v>
      </c>
      <c r="Q18" s="28">
        <f>SUM(Emissions!S32:S35)</f>
        <v>2.0089908832558949</v>
      </c>
      <c r="R18" s="28">
        <f>SUM(Emissions!T32:T35)</f>
        <v>2.1759262032341824</v>
      </c>
      <c r="S18" s="28">
        <f>SUM(Emissions!U32:U35)</f>
        <v>2.0734984652627912</v>
      </c>
      <c r="T18" s="28">
        <f>SUM(Emissions!V32:V35)</f>
        <v>2.1285917053454204</v>
      </c>
      <c r="U18" s="28">
        <f>SUM(Emissions!W32:W35)</f>
        <v>2.3353468813999299</v>
      </c>
      <c r="V18" s="28">
        <f>SUM(Emissions!X32:X35)</f>
        <v>2.5134086143565382</v>
      </c>
      <c r="W18" s="28">
        <f>SUM(Emissions!Y32:Y35)</f>
        <v>2.6601525958477232</v>
      </c>
      <c r="X18" s="28">
        <f>SUM(Emissions!Z32:Z35)</f>
        <v>2.8035850548611285</v>
      </c>
      <c r="Y18" s="28">
        <f>SUM(Emissions!AA32:AA35)</f>
        <v>2.6565217675227304</v>
      </c>
      <c r="Z18" s="28">
        <f>SUM(Emissions!AB32:AB35)</f>
        <v>2.7308472443629443</v>
      </c>
      <c r="AA18" s="28">
        <f>SUM(Emissions!AC32:AC35)</f>
        <v>2.8311378814399824</v>
      </c>
      <c r="AB18" s="28">
        <f>SUM(Emissions!AD32:AD35)</f>
        <v>2.8005330186531565</v>
      </c>
      <c r="AC18" s="28">
        <f>SUM(Emissions!AE32:AE35)</f>
        <v>2.8529029865331395</v>
      </c>
      <c r="AD18" s="28">
        <f>SUM(Emissions!AF32:AF35)</f>
        <v>2.8920437368611593</v>
      </c>
      <c r="AE18" s="28">
        <f>SUM(Emissions!AG32:AG35)</f>
        <v>2.9173746179859079</v>
      </c>
      <c r="AF18" s="28">
        <f>SUM(Emissions!AH32:AH35)</f>
        <v>2.9311758354365747</v>
      </c>
      <c r="AG18" s="28">
        <f>SUM(Emissions!AI32:AI35)</f>
        <v>2.954573346800593</v>
      </c>
      <c r="AH18" s="28">
        <f>SUM(Emissions!AJ32:AJ35)</f>
        <v>2.9740766062091883</v>
      </c>
      <c r="AI18" s="28">
        <f>SUM(Emissions!AK32:AK35)</f>
        <v>2.9899294885847647</v>
      </c>
      <c r="AJ18" s="28">
        <f>SUM(Emissions!AL32:AL35)</f>
        <v>2.7938000335330253</v>
      </c>
      <c r="AK18" s="28">
        <f>SUM(Emissions!AM32:AM35)</f>
        <v>2.8421940256774012</v>
      </c>
      <c r="AL18" s="28">
        <f>SUM(Emissions!AN32:AN35)</f>
        <v>2.8880059151943311</v>
      </c>
      <c r="AM18" s="28">
        <f>SUM(Emissions!AO32:AO35)</f>
        <v>2.9339860767425336</v>
      </c>
      <c r="AN18" s="28">
        <f>SUM(Emissions!AP32:AP35)</f>
        <v>2.9778033761797662</v>
      </c>
      <c r="AO18" s="28">
        <f>SUM(Emissions!AQ32:AQ35)</f>
        <v>3.0234827656351144</v>
      </c>
      <c r="AP18" s="28">
        <f>SUM(Emissions!AR32:AR35)</f>
        <v>3.0779641193987968</v>
      </c>
      <c r="AQ18" s="28">
        <f>SUM(Emissions!AS32:AS35)</f>
        <v>3.1314472666779252</v>
      </c>
      <c r="AR18" s="28">
        <f>SUM(Emissions!AT32:AT35)</f>
        <v>3.1872829410845043</v>
      </c>
      <c r="AS18" s="28">
        <f>SUM(Emissions!AU32:AU35)</f>
        <v>3.2446853240877203</v>
      </c>
      <c r="AT18" s="28">
        <f>SUM(Emissions!AV32:AV35)</f>
        <v>3.3037818701984052</v>
      </c>
      <c r="AU18" s="28">
        <f>SUM(Emissions!AW32:AW35)</f>
        <v>3.3751160204898869</v>
      </c>
      <c r="AV18" s="28">
        <f>SUM(Emissions!AX32:AX35)</f>
        <v>3.442093674579223</v>
      </c>
      <c r="AW18" s="28">
        <f>SUM(Emissions!AY32:AY35)</f>
        <v>3.5160126801673988</v>
      </c>
      <c r="AX18" s="28">
        <f>SUM(Emissions!AZ32:AZ35)</f>
        <v>3.5942466979557324</v>
      </c>
      <c r="AY18" s="28">
        <f>SUM(Emissions!BA32:BA35)</f>
        <v>3.6768343660066805</v>
      </c>
      <c r="AZ18" s="28">
        <f>SUM(Emissions!BB32:BB35)</f>
        <v>3.7605698049024152</v>
      </c>
      <c r="BA18" s="28">
        <f>SUM(Emissions!BC32:BC35)</f>
        <v>3.8466934098379655</v>
      </c>
      <c r="BB18" s="28">
        <f>SUM(Emissions!BD32:BD35)</f>
        <v>3.9328643366516247</v>
      </c>
      <c r="BC18" s="28">
        <f>SUM(Emissions!BE32:BE35)</f>
        <v>4.0212771140631602</v>
      </c>
      <c r="BD18" s="28">
        <f>SUM(Emissions!BF32:BF35)</f>
        <v>4.11369852837894</v>
      </c>
      <c r="BE18" s="28">
        <f>SUM(Emissions!BG32:BG35)</f>
        <v>4.208500736908257</v>
      </c>
      <c r="BF18" s="28">
        <f>SUM(Emissions!BH32:BH35)</f>
        <v>4.3058751814686662</v>
      </c>
      <c r="BG18" s="28">
        <f>SUM(Emissions!BI32:BI35)</f>
        <v>4.405454218587578</v>
      </c>
      <c r="BH18" s="28">
        <f>SUM(Emissions!BJ32:BJ35)</f>
        <v>4.5076313273118025</v>
      </c>
      <c r="BI18" s="28">
        <f>SUM(Emissions!BK32:BK35)</f>
        <v>4.6142763369251361</v>
      </c>
      <c r="BJ18" s="28">
        <f>SUM(Emissions!BL32:BL35)</f>
        <v>4.7240662681637859</v>
      </c>
      <c r="BK18" s="28">
        <f>SUM(Emissions!BM32:BM35)</f>
        <v>4.8369552947423218</v>
      </c>
      <c r="BL18" s="28">
        <f>SUM(Emissions!BN32:BN35)</f>
        <v>4.9491444358410011</v>
      </c>
      <c r="BM18" s="28">
        <f>SUM(Emissions!BO32:BO35)</f>
        <v>5.0646083625076468</v>
      </c>
      <c r="BN18" s="28">
        <f>SUM(Emissions!BP32:BP35)</f>
        <v>5.1835311811120235</v>
      </c>
    </row>
    <row r="19" spans="1:66" s="19" customFormat="1" ht="15.75" x14ac:dyDescent="0.25">
      <c r="A19" s="19" t="str">
        <f>A26</f>
        <v>3A Livestock</v>
      </c>
      <c r="B19" s="19" t="str">
        <f>B26</f>
        <v>3A2 Manure management (N2O)</v>
      </c>
      <c r="C19" s="19" t="s">
        <v>148</v>
      </c>
      <c r="D19" s="19" t="str">
        <f>D26</f>
        <v>N2O</v>
      </c>
      <c r="E19" s="19" t="str">
        <f>E26</f>
        <v>Gg N2O</v>
      </c>
      <c r="F19" s="46">
        <f t="shared" ref="F19:AK19" si="12">SUM(F20:F26)</f>
        <v>4.0489202435061733</v>
      </c>
      <c r="G19" s="46">
        <f t="shared" si="12"/>
        <v>4.0581108516258499</v>
      </c>
      <c r="H19" s="46">
        <f t="shared" si="12"/>
        <v>3.9523108469855508</v>
      </c>
      <c r="I19" s="46">
        <f t="shared" si="12"/>
        <v>3.9881370090214134</v>
      </c>
      <c r="J19" s="46">
        <f t="shared" si="12"/>
        <v>3.8596091660510146</v>
      </c>
      <c r="K19" s="46">
        <f t="shared" si="12"/>
        <v>4.0056915692552817</v>
      </c>
      <c r="L19" s="46">
        <f t="shared" si="12"/>
        <v>4.2146380949607511</v>
      </c>
      <c r="M19" s="46">
        <f t="shared" si="12"/>
        <v>4.2631402122136377</v>
      </c>
      <c r="N19" s="46">
        <f t="shared" si="12"/>
        <v>4.4285472775715782</v>
      </c>
      <c r="O19" s="46">
        <f t="shared" si="12"/>
        <v>4.5084214708754295</v>
      </c>
      <c r="P19" s="46">
        <f t="shared" si="12"/>
        <v>4.6359747139413212</v>
      </c>
      <c r="Q19" s="46">
        <f t="shared" si="12"/>
        <v>4.583075053876323</v>
      </c>
      <c r="R19" s="46">
        <f t="shared" si="12"/>
        <v>4.6903004002985913</v>
      </c>
      <c r="S19" s="46">
        <f t="shared" si="12"/>
        <v>4.5922622280724834</v>
      </c>
      <c r="T19" s="46">
        <f t="shared" si="12"/>
        <v>4.6024310028472675</v>
      </c>
      <c r="U19" s="46">
        <f t="shared" si="12"/>
        <v>4.7649961403990622</v>
      </c>
      <c r="V19" s="46">
        <f t="shared" si="12"/>
        <v>4.8955839913686727</v>
      </c>
      <c r="W19" s="46">
        <f t="shared" si="12"/>
        <v>5.0445282551941304</v>
      </c>
      <c r="X19" s="46">
        <f t="shared" si="12"/>
        <v>5.1644447960615416</v>
      </c>
      <c r="Y19" s="46">
        <f t="shared" si="12"/>
        <v>5.0655807972972005</v>
      </c>
      <c r="Z19" s="46">
        <f t="shared" si="12"/>
        <v>5.0962811115216784</v>
      </c>
      <c r="AA19" s="46">
        <f t="shared" si="12"/>
        <v>5.2595978575440903</v>
      </c>
      <c r="AB19" s="46">
        <f t="shared" si="12"/>
        <v>5.2524838768582782</v>
      </c>
      <c r="AC19" s="46">
        <f t="shared" si="12"/>
        <v>5.3173574481400765</v>
      </c>
      <c r="AD19" s="46">
        <f t="shared" si="12"/>
        <v>5.3736609276906258</v>
      </c>
      <c r="AE19" s="46">
        <f t="shared" si="12"/>
        <v>5.4209231275318244</v>
      </c>
      <c r="AF19" s="46">
        <f t="shared" si="12"/>
        <v>5.4608987376717373</v>
      </c>
      <c r="AG19" s="46">
        <f t="shared" si="12"/>
        <v>5.5086418068825491</v>
      </c>
      <c r="AH19" s="46">
        <f t="shared" si="12"/>
        <v>5.5544770328153721</v>
      </c>
      <c r="AI19" s="46">
        <f t="shared" si="12"/>
        <v>5.5985971992902375</v>
      </c>
      <c r="AJ19" s="46">
        <f t="shared" si="12"/>
        <v>5.4917009040768185</v>
      </c>
      <c r="AK19" s="46">
        <f t="shared" si="12"/>
        <v>5.5608174705232782</v>
      </c>
      <c r="AL19" s="46">
        <f t="shared" ref="AL19:BN19" si="13">SUM(AL20:AL26)</f>
        <v>5.6291863900588943</v>
      </c>
      <c r="AM19" s="46">
        <f t="shared" si="13"/>
        <v>5.6987880992655597</v>
      </c>
      <c r="AN19" s="46">
        <f t="shared" si="13"/>
        <v>5.7679691328570977</v>
      </c>
      <c r="AO19" s="46">
        <f t="shared" si="13"/>
        <v>5.839649231530359</v>
      </c>
      <c r="AP19" s="46">
        <f t="shared" si="13"/>
        <v>5.9190529534159086</v>
      </c>
      <c r="AQ19" s="46">
        <f t="shared" si="13"/>
        <v>5.9989818647215376</v>
      </c>
      <c r="AR19" s="46">
        <f t="shared" si="13"/>
        <v>6.0818966025724475</v>
      </c>
      <c r="AS19" s="46">
        <f t="shared" si="13"/>
        <v>6.1672653760822982</v>
      </c>
      <c r="AT19" s="46">
        <f t="shared" si="13"/>
        <v>6.2557280169391589</v>
      </c>
      <c r="AU19" s="46">
        <f t="shared" si="13"/>
        <v>6.3636782633777429</v>
      </c>
      <c r="AV19" s="46">
        <f t="shared" si="13"/>
        <v>6.4672321018274257</v>
      </c>
      <c r="AW19" s="46">
        <f t="shared" si="13"/>
        <v>6.5785449242201413</v>
      </c>
      <c r="AX19" s="46">
        <f t="shared" si="13"/>
        <v>6.694534881462392</v>
      </c>
      <c r="AY19" s="46">
        <f t="shared" si="13"/>
        <v>6.8151495229832157</v>
      </c>
      <c r="AZ19" s="46">
        <f t="shared" si="13"/>
        <v>6.9368985236492939</v>
      </c>
      <c r="BA19" s="46">
        <f t="shared" si="13"/>
        <v>7.0610445471772039</v>
      </c>
      <c r="BB19" s="46">
        <f t="shared" si="13"/>
        <v>7.1384238648594742</v>
      </c>
      <c r="BC19" s="46">
        <f t="shared" si="13"/>
        <v>7.2090269524972088</v>
      </c>
      <c r="BD19" s="46">
        <f t="shared" si="13"/>
        <v>7.2820129297116649</v>
      </c>
      <c r="BE19" s="46">
        <f t="shared" si="13"/>
        <v>7.3626300086947243</v>
      </c>
      <c r="BF19" s="46">
        <f t="shared" si="13"/>
        <v>7.4444390016744713</v>
      </c>
      <c r="BG19" s="46">
        <f t="shared" si="13"/>
        <v>7.5270041894198032</v>
      </c>
      <c r="BH19" s="46">
        <f t="shared" si="13"/>
        <v>7.6106703049183553</v>
      </c>
      <c r="BI19" s="46">
        <f t="shared" si="13"/>
        <v>7.6972489139930493</v>
      </c>
      <c r="BJ19" s="46">
        <f t="shared" si="13"/>
        <v>7.7852203795158488</v>
      </c>
      <c r="BK19" s="46">
        <f t="shared" si="13"/>
        <v>7.8745598619027337</v>
      </c>
      <c r="BL19" s="46">
        <f t="shared" si="13"/>
        <v>7.9614773265536822</v>
      </c>
      <c r="BM19" s="46">
        <f t="shared" si="13"/>
        <v>8.0498456649125654</v>
      </c>
      <c r="BN19" s="46">
        <f t="shared" si="13"/>
        <v>8.1397637800988605</v>
      </c>
    </row>
    <row r="20" spans="1:66" x14ac:dyDescent="0.25">
      <c r="A20" t="str">
        <f>A18</f>
        <v>3A Livestock</v>
      </c>
      <c r="B20" t="str">
        <f>'IPCC Categories'!B20</f>
        <v>3A2 Manure management (N2O)</v>
      </c>
      <c r="C20" t="str">
        <f t="shared" ref="C20:C26" si="14">C12</f>
        <v>3A1a Cattle</v>
      </c>
      <c r="D20" t="s">
        <v>139</v>
      </c>
      <c r="E20" t="s">
        <v>287</v>
      </c>
      <c r="F20" s="28">
        <f>SUM(Emissions!H36:H41)</f>
        <v>2.5010375387464534</v>
      </c>
      <c r="G20" s="28">
        <f>SUM(Emissions!I36:I41)</f>
        <v>2.5832887235505946</v>
      </c>
      <c r="H20" s="28">
        <f>SUM(Emissions!J36:J41)</f>
        <v>2.5498113714020896</v>
      </c>
      <c r="I20" s="28">
        <f>SUM(Emissions!K36:K41)</f>
        <v>2.5290634259622209</v>
      </c>
      <c r="J20" s="28">
        <f>SUM(Emissions!L36:L41)</f>
        <v>2.4097368305027631</v>
      </c>
      <c r="K20" s="28">
        <f>SUM(Emissions!M36:M41)</f>
        <v>2.4304813872257673</v>
      </c>
      <c r="L20" s="28">
        <f>SUM(Emissions!N36:N41)</f>
        <v>2.4750424550200139</v>
      </c>
      <c r="M20" s="28">
        <f>SUM(Emissions!O36:O41)</f>
        <v>2.5114913609472325</v>
      </c>
      <c r="N20" s="28">
        <f>SUM(Emissions!P36:P41)</f>
        <v>2.5511693225135841</v>
      </c>
      <c r="O20" s="28">
        <f>SUM(Emissions!Q36:Q41)</f>
        <v>2.5690639496362295</v>
      </c>
      <c r="P20" s="28">
        <f>SUM(Emissions!R36:R41)</f>
        <v>2.6305009198027434</v>
      </c>
      <c r="Q20" s="28">
        <f>SUM(Emissions!S36:S41)</f>
        <v>2.6124014550191936</v>
      </c>
      <c r="R20" s="28">
        <f>SUM(Emissions!T36:T41)</f>
        <v>2.6048290524397744</v>
      </c>
      <c r="S20" s="28">
        <f>SUM(Emissions!U36:U41)</f>
        <v>2.5891750372763642</v>
      </c>
      <c r="T20" s="28">
        <f>SUM(Emissions!V36:V41)</f>
        <v>2.5631164252640359</v>
      </c>
      <c r="U20" s="28">
        <f>SUM(Emissions!W36:W41)</f>
        <v>2.5743989921830224</v>
      </c>
      <c r="V20" s="28">
        <f>SUM(Emissions!X36:X41)</f>
        <v>2.5785831511763577</v>
      </c>
      <c r="W20" s="28">
        <f>SUM(Emissions!Y36:Y41)</f>
        <v>2.6261984816679491</v>
      </c>
      <c r="X20" s="28">
        <f>SUM(Emissions!Z36:Z41)</f>
        <v>2.6393793156186018</v>
      </c>
      <c r="Y20" s="28">
        <f>SUM(Emissions!AA36:AA41)</f>
        <v>2.6532322274635911</v>
      </c>
      <c r="Z20" s="28">
        <f>SUM(Emissions!AB36:AB41)</f>
        <v>2.6375647156747131</v>
      </c>
      <c r="AA20" s="28">
        <f>SUM(Emissions!AC36:AC41)</f>
        <v>2.731928919852928</v>
      </c>
      <c r="AB20" s="28">
        <f>SUM(Emissions!AD36:AD41)</f>
        <v>2.7431825431661858</v>
      </c>
      <c r="AC20" s="28">
        <f>SUM(Emissions!AE36:AE41)</f>
        <v>2.7718400600425941</v>
      </c>
      <c r="AD20" s="28">
        <f>SUM(Emissions!AF36:AF41)</f>
        <v>2.8014264382392398</v>
      </c>
      <c r="AE20" s="28">
        <f>SUM(Emissions!AG36:AG41)</f>
        <v>2.8318971980481398</v>
      </c>
      <c r="AF20" s="28">
        <f>SUM(Emissions!AH36:AH41)</f>
        <v>2.863487236799009</v>
      </c>
      <c r="AG20" s="28">
        <f>SUM(Emissions!AI36:AI41)</f>
        <v>2.8959334990743901</v>
      </c>
      <c r="AH20" s="28">
        <f>SUM(Emissions!AJ36:AJ41)</f>
        <v>2.9292613540636889</v>
      </c>
      <c r="AI20" s="28">
        <f>SUM(Emissions!AK36:AK41)</f>
        <v>2.9634896653830531</v>
      </c>
      <c r="AJ20" s="28">
        <f>SUM(Emissions!AL36:AL41)</f>
        <v>2.9990910400733113</v>
      </c>
      <c r="AK20" s="28">
        <f>SUM(Emissions!AM36:AM41)</f>
        <v>3.0349548496475656</v>
      </c>
      <c r="AL20" s="28">
        <f>SUM(Emissions!AN36:AN41)</f>
        <v>3.0719052877046318</v>
      </c>
      <c r="AM20" s="28">
        <f>SUM(Emissions!AO36:AO41)</f>
        <v>3.109947788756422</v>
      </c>
      <c r="AN20" s="28">
        <f>SUM(Emissions!AP36:AP41)</f>
        <v>3.1491065076672591</v>
      </c>
      <c r="AO20" s="28">
        <f>SUM(Emissions!AQ36:AQ41)</f>
        <v>3.1894070479211951</v>
      </c>
      <c r="AP20" s="28">
        <f>SUM(Emissions!AR36:AR41)</f>
        <v>3.2312008382481752</v>
      </c>
      <c r="AQ20" s="28">
        <f>SUM(Emissions!AS36:AS41)</f>
        <v>3.2742166451677139</v>
      </c>
      <c r="AR20" s="28">
        <f>SUM(Emissions!AT36:AT41)</f>
        <v>3.3185031769301747</v>
      </c>
      <c r="AS20" s="28">
        <f>SUM(Emissions!AU36:AU41)</f>
        <v>3.3640941559810686</v>
      </c>
      <c r="AT20" s="28">
        <f>SUM(Emissions!AV36:AV41)</f>
        <v>3.4110288543757825</v>
      </c>
      <c r="AU20" s="28">
        <f>SUM(Emissions!AW36:AW41)</f>
        <v>3.4670134248498909</v>
      </c>
      <c r="AV20" s="28">
        <f>SUM(Emissions!AX36:AX41)</f>
        <v>3.521610139933582</v>
      </c>
      <c r="AW20" s="28">
        <f>SUM(Emissions!AY36:AY41)</f>
        <v>3.5787059760538495</v>
      </c>
      <c r="AX20" s="28">
        <f>SUM(Emissions!AZ36:AZ41)</f>
        <v>3.6373097308371607</v>
      </c>
      <c r="AY20" s="28">
        <f>SUM(Emissions!BA36:BA41)</f>
        <v>3.6973579560574201</v>
      </c>
      <c r="AZ20" s="28">
        <f>SUM(Emissions!BB36:BB41)</f>
        <v>3.7579027591135512</v>
      </c>
      <c r="BA20" s="28">
        <f>SUM(Emissions!BC36:BC41)</f>
        <v>3.8192261299550299</v>
      </c>
      <c r="BB20" s="28">
        <f>SUM(Emissions!BD36:BD41)</f>
        <v>3.8339968692957251</v>
      </c>
      <c r="BC20" s="28">
        <f>SUM(Emissions!BE36:BE41)</f>
        <v>3.8405009360221714</v>
      </c>
      <c r="BD20" s="28">
        <f>SUM(Emissions!BF36:BF41)</f>
        <v>3.8465376167140803</v>
      </c>
      <c r="BE20" s="28">
        <f>SUM(Emissions!BG36:BG41)</f>
        <v>3.8577096383339429</v>
      </c>
      <c r="BF20" s="28">
        <f>SUM(Emissions!BH36:BH41)</f>
        <v>3.8683006839406033</v>
      </c>
      <c r="BG20" s="28">
        <f>SUM(Emissions!BI36:BI41)</f>
        <v>3.8781677572951487</v>
      </c>
      <c r="BH20" s="28">
        <f>SUM(Emissions!BJ36:BJ41)</f>
        <v>3.8873600211708457</v>
      </c>
      <c r="BI20" s="28">
        <f>SUM(Emissions!BK36:BK41)</f>
        <v>3.8962592032880057</v>
      </c>
      <c r="BJ20" s="28">
        <f>SUM(Emissions!BL36:BL41)</f>
        <v>3.9043591237529567</v>
      </c>
      <c r="BK20" s="28">
        <f>SUM(Emissions!BM36:BM41)</f>
        <v>3.9116998410534611</v>
      </c>
      <c r="BL20" s="28">
        <f>SUM(Emissions!BN36:BN41)</f>
        <v>3.91741231924797</v>
      </c>
      <c r="BM20" s="28">
        <f>SUM(Emissions!BO36:BO41)</f>
        <v>3.9223268341821402</v>
      </c>
      <c r="BN20" s="28">
        <f>SUM(Emissions!BP36:BP41)</f>
        <v>3.9264130777237991</v>
      </c>
    </row>
    <row r="21" spans="1:66" x14ac:dyDescent="0.25">
      <c r="A21" t="str">
        <f t="shared" si="2"/>
        <v>3A Livestock</v>
      </c>
      <c r="B21" t="str">
        <f>B20</f>
        <v>3A2 Manure management (N2O)</v>
      </c>
      <c r="C21" t="str">
        <f t="shared" si="14"/>
        <v>3A1c Sheep</v>
      </c>
      <c r="D21" t="str">
        <f>D20</f>
        <v>N2O</v>
      </c>
      <c r="E21" t="str">
        <f>E20</f>
        <v>Gg N2O</v>
      </c>
      <c r="F21" s="28">
        <f>SUM(Emissions!H42:H43)</f>
        <v>0.27697977351015546</v>
      </c>
      <c r="G21" s="28">
        <f>SUM(Emissions!I42:I43)</f>
        <v>0.26452543098066184</v>
      </c>
      <c r="H21" s="28">
        <f>SUM(Emissions!J42:J43)</f>
        <v>0.25359554432458542</v>
      </c>
      <c r="I21" s="28">
        <f>SUM(Emissions!K42:K43)</f>
        <v>0.23716837739770139</v>
      </c>
      <c r="J21" s="28">
        <f>SUM(Emissions!L42:L43)</f>
        <v>0.23884065929520765</v>
      </c>
      <c r="K21" s="28">
        <f>SUM(Emissions!M42:M43)</f>
        <v>0.23542218248815072</v>
      </c>
      <c r="L21" s="28">
        <f>SUM(Emissions!N42:N43)</f>
        <v>0.23620750824112324</v>
      </c>
      <c r="M21" s="28">
        <f>SUM(Emissions!O42:O43)</f>
        <v>0.23107055390403242</v>
      </c>
      <c r="N21" s="28">
        <f>SUM(Emissions!P42:P43)</f>
        <v>0.23170805363291622</v>
      </c>
      <c r="O21" s="28">
        <f>SUM(Emissions!Q42:Q43)</f>
        <v>0.22601675170549185</v>
      </c>
      <c r="P21" s="28">
        <f>SUM(Emissions!R42:R43)</f>
        <v>0.21791403776011653</v>
      </c>
      <c r="Q21" s="28">
        <f>SUM(Emissions!S42:S43)</f>
        <v>0.21248143137484779</v>
      </c>
      <c r="R21" s="28">
        <f>SUM(Emissions!T42:T43)</f>
        <v>0.20893360679671308</v>
      </c>
      <c r="S21" s="28">
        <f>SUM(Emissions!U42:U43)</f>
        <v>0.20966349779065224</v>
      </c>
      <c r="T21" s="28">
        <f>SUM(Emissions!V42:V43)</f>
        <v>0.20593089068240639</v>
      </c>
      <c r="U21" s="28">
        <f>SUM(Emissions!W42:W43)</f>
        <v>0.20544121697761175</v>
      </c>
      <c r="V21" s="28">
        <f>SUM(Emissions!X42:X43)</f>
        <v>0.20275263116449405</v>
      </c>
      <c r="W21" s="28">
        <f>SUM(Emissions!Y42:Y43)</f>
        <v>0.20255860950787735</v>
      </c>
      <c r="X21" s="28">
        <f>SUM(Emissions!Z42:Z43)</f>
        <v>0.203214587489772</v>
      </c>
      <c r="Y21" s="28">
        <f>SUM(Emissions!AA42:AA43)</f>
        <v>0.20249393562233842</v>
      </c>
      <c r="Z21" s="28">
        <f>SUM(Emissions!AB42:AB43)</f>
        <v>0.19857654598398133</v>
      </c>
      <c r="AA21" s="28">
        <f>SUM(Emissions!AC42:AC43)</f>
        <v>0.19702437273104745</v>
      </c>
      <c r="AB21" s="28">
        <f>SUM(Emissions!AD42:AD43)</f>
        <v>0.20249480208248785</v>
      </c>
      <c r="AC21" s="28">
        <f>SUM(Emissions!AE42:AE43)</f>
        <v>0.20182627657937416</v>
      </c>
      <c r="AD21" s="28">
        <f>SUM(Emissions!AF42:AF43)</f>
        <v>0.20117447716396342</v>
      </c>
      <c r="AE21" s="28">
        <f>SUM(Emissions!AG42:AG43)</f>
        <v>0.20053977276191681</v>
      </c>
      <c r="AF21" s="28">
        <f>SUM(Emissions!AH42:AH43)</f>
        <v>0.19987121500834099</v>
      </c>
      <c r="AG21" s="28">
        <f>SUM(Emissions!AI42:AI43)</f>
        <v>0.19920253803101748</v>
      </c>
      <c r="AH21" s="28">
        <f>SUM(Emissions!AJ42:AJ43)</f>
        <v>0.1985468874237078</v>
      </c>
      <c r="AI21" s="28">
        <f>SUM(Emissions!AK42:AK43)</f>
        <v>0.19790363120042936</v>
      </c>
      <c r="AJ21" s="28">
        <f>SUM(Emissions!AL42:AL43)</f>
        <v>0.19746028437212299</v>
      </c>
      <c r="AK21" s="28">
        <f>SUM(Emissions!AM42:AM43)</f>
        <v>0.19679504033847606</v>
      </c>
      <c r="AL21" s="28">
        <f>SUM(Emissions!AN42:AN43)</f>
        <v>0.19614086855632423</v>
      </c>
      <c r="AM21" s="28">
        <f>SUM(Emissions!AO42:AO43)</f>
        <v>0.19549515294161474</v>
      </c>
      <c r="AN21" s="28">
        <f>SUM(Emissions!AP42:AP43)</f>
        <v>0.19485967510218599</v>
      </c>
      <c r="AO21" s="28">
        <f>SUM(Emissions!AQ42:AQ43)</f>
        <v>0.19423075819893443</v>
      </c>
      <c r="AP21" s="28">
        <f>SUM(Emissions!AR42:AR43)</f>
        <v>0.1935541022869286</v>
      </c>
      <c r="AQ21" s="28">
        <f>SUM(Emissions!AS42:AS43)</f>
        <v>0.19288740713574154</v>
      </c>
      <c r="AR21" s="28">
        <f>SUM(Emissions!AT42:AT43)</f>
        <v>0.19222756903056887</v>
      </c>
      <c r="AS21" s="28">
        <f>SUM(Emissions!AU42:AU43)</f>
        <v>0.19157503202997023</v>
      </c>
      <c r="AT21" s="28">
        <f>SUM(Emissions!AV42:AV43)</f>
        <v>0.19092946644373016</v>
      </c>
      <c r="AU21" s="28">
        <f>SUM(Emissions!AW42:AW43)</f>
        <v>0.19030141844514478</v>
      </c>
      <c r="AV21" s="28">
        <f>SUM(Emissions!AX42:AX43)</f>
        <v>0.19030141844514478</v>
      </c>
      <c r="AW21" s="28">
        <f>SUM(Emissions!AY42:AY43)</f>
        <v>0.19030141844514478</v>
      </c>
      <c r="AX21" s="28">
        <f>SUM(Emissions!AZ42:AZ43)</f>
        <v>0.19030141844514478</v>
      </c>
      <c r="AY21" s="28">
        <f>SUM(Emissions!BA42:BA43)</f>
        <v>0.19030141844514478</v>
      </c>
      <c r="AZ21" s="28">
        <f>SUM(Emissions!BB42:BB43)</f>
        <v>0.19030141844514478</v>
      </c>
      <c r="BA21" s="28">
        <f>SUM(Emissions!BC42:BC43)</f>
        <v>0.19030141844514478</v>
      </c>
      <c r="BB21" s="28">
        <f>SUM(Emissions!BD42:BD43)</f>
        <v>0.19030141844514478</v>
      </c>
      <c r="BC21" s="28">
        <f>SUM(Emissions!BE42:BE43)</f>
        <v>0.19030141844514478</v>
      </c>
      <c r="BD21" s="28">
        <f>SUM(Emissions!BF42:BF43)</f>
        <v>0.19030141844514478</v>
      </c>
      <c r="BE21" s="28">
        <f>SUM(Emissions!BG42:BG43)</f>
        <v>0.19030141844514478</v>
      </c>
      <c r="BF21" s="28">
        <f>SUM(Emissions!BH42:BH43)</f>
        <v>0.19030141844514478</v>
      </c>
      <c r="BG21" s="28">
        <f>SUM(Emissions!BI42:BI43)</f>
        <v>0.19030141844514478</v>
      </c>
      <c r="BH21" s="28">
        <f>SUM(Emissions!BJ42:BJ43)</f>
        <v>0.19030141844514478</v>
      </c>
      <c r="BI21" s="28">
        <f>SUM(Emissions!BK42:BK43)</f>
        <v>0.19030141844514478</v>
      </c>
      <c r="BJ21" s="28">
        <f>SUM(Emissions!BL42:BL43)</f>
        <v>0.19030141844514478</v>
      </c>
      <c r="BK21" s="28">
        <f>SUM(Emissions!BM42:BM43)</f>
        <v>0.19030141844514478</v>
      </c>
      <c r="BL21" s="28">
        <f>SUM(Emissions!BN42:BN43)</f>
        <v>0.19030141844514478</v>
      </c>
      <c r="BM21" s="28">
        <f>SUM(Emissions!BO42:BO43)</f>
        <v>0.19030141844514478</v>
      </c>
      <c r="BN21" s="28">
        <f>SUM(Emissions!BP42:BP43)</f>
        <v>0.19030141844514478</v>
      </c>
    </row>
    <row r="22" spans="1:66" x14ac:dyDescent="0.25">
      <c r="A22" t="str">
        <f t="shared" si="2"/>
        <v>3A Livestock</v>
      </c>
      <c r="B22" t="str">
        <f t="shared" ref="B22:B26" si="15">B21</f>
        <v>3A2 Manure management (N2O)</v>
      </c>
      <c r="C22" t="str">
        <f t="shared" si="14"/>
        <v>3A1d Goats</v>
      </c>
      <c r="D22" t="str">
        <f t="shared" ref="D22:D26" si="16">D21</f>
        <v>N2O</v>
      </c>
      <c r="E22" t="str">
        <f t="shared" ref="E22:E26" si="17">E21</f>
        <v>Gg N2O</v>
      </c>
      <c r="F22" s="28">
        <f>SUM(Emissions!H44:H45)</f>
        <v>0.17617782385130304</v>
      </c>
      <c r="G22" s="28">
        <f>SUM(Emissions!I44:I45)</f>
        <v>0.15579098843087474</v>
      </c>
      <c r="H22" s="28">
        <f>SUM(Emissions!J44:J45)</f>
        <v>0.14512124279027669</v>
      </c>
      <c r="I22" s="28">
        <f>SUM(Emissions!K44:K45)</f>
        <v>0.13711893355982818</v>
      </c>
      <c r="J22" s="28">
        <f>SUM(Emissions!L44:L45)</f>
        <v>0.14842378310760462</v>
      </c>
      <c r="K22" s="28">
        <f>SUM(Emissions!M44:M45)</f>
        <v>0.1504561156105757</v>
      </c>
      <c r="L22" s="28">
        <f>SUM(Emissions!N44:N45)</f>
        <v>0.15280600006713599</v>
      </c>
      <c r="M22" s="28">
        <f>SUM(Emissions!O44:O45)</f>
        <v>0.15204387537852188</v>
      </c>
      <c r="N22" s="28">
        <f>SUM(Emissions!P44:P45)</f>
        <v>0.1498845220941151</v>
      </c>
      <c r="O22" s="28">
        <f>SUM(Emissions!Q44:Q45)</f>
        <v>0.14766165841899051</v>
      </c>
      <c r="P22" s="28">
        <f>SUM(Emissions!R44:R45)</f>
        <v>0.14956697014052586</v>
      </c>
      <c r="Q22" s="28">
        <f>SUM(Emissions!S44:S45)</f>
        <v>0.15413971827221074</v>
      </c>
      <c r="R22" s="28">
        <f>SUM(Emissions!T44:T45)</f>
        <v>0.14073902583074538</v>
      </c>
      <c r="S22" s="28">
        <f>SUM(Emissions!U44:U45)</f>
        <v>0.13718244395054602</v>
      </c>
      <c r="T22" s="28">
        <f>SUM(Emissions!V44:V45)</f>
        <v>0.13743648551341742</v>
      </c>
      <c r="U22" s="28">
        <f>SUM(Emissions!W44:W45)</f>
        <v>0.13565819457331774</v>
      </c>
      <c r="V22" s="28">
        <f>SUM(Emissions!X44:X45)</f>
        <v>0.13851616215562079</v>
      </c>
      <c r="W22" s="28">
        <f>SUM(Emissions!Y44:Y45)</f>
        <v>0.13438798675896085</v>
      </c>
      <c r="X22" s="28">
        <f>SUM(Emissions!Z44:Z45)</f>
        <v>0.13426096597752513</v>
      </c>
      <c r="Y22" s="28">
        <f>SUM(Emissions!AA44:AA45)</f>
        <v>0.13191108152096487</v>
      </c>
      <c r="Z22" s="28">
        <f>SUM(Emissions!AB44:AB45)</f>
        <v>0.13032332175301872</v>
      </c>
      <c r="AA22" s="28">
        <f>SUM(Emissions!AC44:AC45)</f>
        <v>0.12911662432937968</v>
      </c>
      <c r="AB22" s="28">
        <f>SUM(Emissions!AD44:AD45)</f>
        <v>0.13053877377619968</v>
      </c>
      <c r="AC22" s="28">
        <f>SUM(Emissions!AE44:AE45)</f>
        <v>0.13006814447177706</v>
      </c>
      <c r="AD22" s="28">
        <f>SUM(Emissions!AF44:AF45)</f>
        <v>0.12960287664944123</v>
      </c>
      <c r="AE22" s="28">
        <f>SUM(Emissions!AG44:AG45)</f>
        <v>0.12914364246361543</v>
      </c>
      <c r="AF22" s="28">
        <f>SUM(Emissions!AH44:AH45)</f>
        <v>0.12865324036466991</v>
      </c>
      <c r="AG22" s="28">
        <f>SUM(Emissions!AI44:AI45)</f>
        <v>0.128155806658479</v>
      </c>
      <c r="AH22" s="28">
        <f>SUM(Emissions!AJ44:AJ45)</f>
        <v>0.12766122536507066</v>
      </c>
      <c r="AI22" s="28">
        <f>SUM(Emissions!AK44:AK45)</f>
        <v>0.1271693222886473</v>
      </c>
      <c r="AJ22" s="28">
        <f>SUM(Emissions!AL44:AL45)</f>
        <v>0.12682639776647861</v>
      </c>
      <c r="AK22" s="28">
        <f>SUM(Emissions!AM44:AM45)</f>
        <v>0.12630580345940423</v>
      </c>
      <c r="AL22" s="28">
        <f>SUM(Emissions!AN44:AN45)</f>
        <v>0.12578672356510498</v>
      </c>
      <c r="AM22" s="28">
        <f>SUM(Emissions!AO44:AO45)</f>
        <v>0.12526730372857472</v>
      </c>
      <c r="AN22" s="28">
        <f>SUM(Emissions!AP44:AP45)</f>
        <v>0.12474918758265378</v>
      </c>
      <c r="AO22" s="28">
        <f>SUM(Emissions!AQ44:AQ45)</f>
        <v>0.12422955928097959</v>
      </c>
      <c r="AP22" s="28">
        <f>SUM(Emissions!AR44:AR45)</f>
        <v>0.12366276064456182</v>
      </c>
      <c r="AQ22" s="28">
        <f>SUM(Emissions!AS44:AS45)</f>
        <v>0.1230963629478405</v>
      </c>
      <c r="AR22" s="28">
        <f>SUM(Emissions!AT44:AT45)</f>
        <v>0.12252791842156037</v>
      </c>
      <c r="AS22" s="28">
        <f>SUM(Emissions!AU44:AU45)</f>
        <v>0.12195795405141362</v>
      </c>
      <c r="AT22" s="28">
        <f>SUM(Emissions!AV44:AV45)</f>
        <v>0.12189490293495518</v>
      </c>
      <c r="AU22" s="28">
        <f>SUM(Emissions!AW44:AW45)</f>
        <v>0.12190152095244795</v>
      </c>
      <c r="AV22" s="28">
        <f>SUM(Emissions!AX44:AX45)</f>
        <v>0.12190515167247071</v>
      </c>
      <c r="AW22" s="28">
        <f>SUM(Emissions!AY44:AY45)</f>
        <v>0.1219078026600901</v>
      </c>
      <c r="AX22" s="28">
        <f>SUM(Emissions!AZ44:AZ45)</f>
        <v>0.12190902405595214</v>
      </c>
      <c r="AY22" s="28">
        <f>SUM(Emissions!BA44:BA45)</f>
        <v>0.12190883993941874</v>
      </c>
      <c r="AZ22" s="28">
        <f>SUM(Emissions!BB44:BB45)</f>
        <v>0.12191101627609238</v>
      </c>
      <c r="BA22" s="28">
        <f>SUM(Emissions!BC44:BC45)</f>
        <v>0.12191135136464397</v>
      </c>
      <c r="BB22" s="28">
        <f>SUM(Emissions!BD44:BD45)</f>
        <v>0.12190940682957933</v>
      </c>
      <c r="BC22" s="28">
        <f>SUM(Emissions!BE44:BE45)</f>
        <v>0.12190559617990702</v>
      </c>
      <c r="BD22" s="28">
        <f>SUM(Emissions!BF44:BF45)</f>
        <v>0.12190026847130228</v>
      </c>
      <c r="BE22" s="28">
        <f>SUM(Emissions!BG44:BG45)</f>
        <v>0.12194248628284737</v>
      </c>
      <c r="BF22" s="28">
        <f>SUM(Emissions!BH44:BH45)</f>
        <v>0.12198331163930383</v>
      </c>
      <c r="BG22" s="28">
        <f>SUM(Emissions!BI44:BI45)</f>
        <v>0.12202268274310529</v>
      </c>
      <c r="BH22" s="28">
        <f>SUM(Emissions!BJ44:BJ45)</f>
        <v>0.1220606904996297</v>
      </c>
      <c r="BI22" s="28">
        <f>SUM(Emissions!BK44:BK45)</f>
        <v>0.12209773934052026</v>
      </c>
      <c r="BJ22" s="28">
        <f>SUM(Emissions!BL44:BL45)</f>
        <v>0.12212938004783147</v>
      </c>
      <c r="BK22" s="28">
        <f>SUM(Emissions!BM44:BM45)</f>
        <v>0.1221599039097593</v>
      </c>
      <c r="BL22" s="28">
        <f>SUM(Emissions!BN44:BN45)</f>
        <v>0.12218849908839347</v>
      </c>
      <c r="BM22" s="28">
        <f>SUM(Emissions!BO44:BO45)</f>
        <v>0.12221603395578363</v>
      </c>
      <c r="BN22" s="28">
        <f>SUM(Emissions!BP44:BP45)</f>
        <v>0.12224257502032418</v>
      </c>
    </row>
    <row r="23" spans="1:66" x14ac:dyDescent="0.25">
      <c r="A23" t="str">
        <f t="shared" si="2"/>
        <v>3A Livestock</v>
      </c>
      <c r="B23" t="str">
        <f t="shared" si="15"/>
        <v>3A2 Manure management (N2O)</v>
      </c>
      <c r="C23" t="str">
        <f t="shared" si="14"/>
        <v>3A1f Horses</v>
      </c>
      <c r="D23" t="str">
        <f t="shared" si="16"/>
        <v>N2O</v>
      </c>
      <c r="E23" t="str">
        <f t="shared" si="17"/>
        <v>Gg N2O</v>
      </c>
      <c r="F23" s="28" t="str">
        <f>Emissions!H46</f>
        <v>NO</v>
      </c>
      <c r="G23" s="28" t="str">
        <f>Emissions!I46</f>
        <v>NO</v>
      </c>
      <c r="H23" s="28" t="str">
        <f>Emissions!J46</f>
        <v>NO</v>
      </c>
      <c r="I23" s="28" t="str">
        <f>Emissions!K46</f>
        <v>NO</v>
      </c>
      <c r="J23" s="28" t="str">
        <f>Emissions!L46</f>
        <v>NO</v>
      </c>
      <c r="K23" s="28" t="str">
        <f>Emissions!M46</f>
        <v>NO</v>
      </c>
      <c r="L23" s="28" t="str">
        <f>Emissions!N46</f>
        <v>NO</v>
      </c>
      <c r="M23" s="28" t="str">
        <f>Emissions!O46</f>
        <v>NO</v>
      </c>
      <c r="N23" s="28" t="str">
        <f>Emissions!P46</f>
        <v>NO</v>
      </c>
      <c r="O23" s="28" t="str">
        <f>Emissions!Q46</f>
        <v>NO</v>
      </c>
      <c r="P23" s="28" t="str">
        <f>Emissions!R46</f>
        <v>NO</v>
      </c>
      <c r="Q23" s="28" t="str">
        <f>Emissions!S46</f>
        <v>NO</v>
      </c>
      <c r="R23" s="28" t="str">
        <f>Emissions!T46</f>
        <v>NO</v>
      </c>
      <c r="S23" s="28" t="str">
        <f>Emissions!U46</f>
        <v>NO</v>
      </c>
      <c r="T23" s="28" t="str">
        <f>Emissions!V46</f>
        <v>NO</v>
      </c>
      <c r="U23" s="28" t="str">
        <f>Emissions!W46</f>
        <v>NO</v>
      </c>
      <c r="V23" s="28" t="str">
        <f>Emissions!X46</f>
        <v>NO</v>
      </c>
      <c r="W23" s="28" t="str">
        <f>Emissions!Y46</f>
        <v>NO</v>
      </c>
      <c r="X23" s="28" t="str">
        <f>Emissions!Z46</f>
        <v>NO</v>
      </c>
      <c r="Y23" s="28" t="str">
        <f>Emissions!AA46</f>
        <v>NO</v>
      </c>
      <c r="Z23" s="28" t="str">
        <f>Emissions!AB46</f>
        <v>NO</v>
      </c>
      <c r="AA23" s="28" t="str">
        <f>Emissions!AC46</f>
        <v>NO</v>
      </c>
      <c r="AB23" s="28" t="str">
        <f>Emissions!AD46</f>
        <v>NO</v>
      </c>
      <c r="AC23" s="28" t="str">
        <f>Emissions!AE46</f>
        <v>NO</v>
      </c>
      <c r="AD23" s="28" t="str">
        <f>Emissions!AF46</f>
        <v>NO</v>
      </c>
      <c r="AE23" s="28" t="str">
        <f>Emissions!AG46</f>
        <v>NO</v>
      </c>
      <c r="AF23" s="28" t="str">
        <f>Emissions!AH46</f>
        <v>NO</v>
      </c>
      <c r="AG23" s="28" t="str">
        <f>Emissions!AI46</f>
        <v>NO</v>
      </c>
      <c r="AH23" s="28" t="str">
        <f>Emissions!AJ46</f>
        <v>NO</v>
      </c>
      <c r="AI23" s="28" t="str">
        <f>Emissions!AK46</f>
        <v>NO</v>
      </c>
      <c r="AJ23" s="28" t="str">
        <f>Emissions!AL46</f>
        <v>NO</v>
      </c>
      <c r="AK23" s="28" t="str">
        <f>Emissions!AM46</f>
        <v>NO</v>
      </c>
      <c r="AL23" s="28" t="str">
        <f>Emissions!AN46</f>
        <v>NO</v>
      </c>
      <c r="AM23" s="28" t="str">
        <f>Emissions!AO46</f>
        <v>NO</v>
      </c>
      <c r="AN23" s="28" t="str">
        <f>Emissions!AP46</f>
        <v>NO</v>
      </c>
      <c r="AO23" s="28" t="str">
        <f>Emissions!AQ46</f>
        <v>NO</v>
      </c>
      <c r="AP23" s="28" t="str">
        <f>Emissions!AR46</f>
        <v>NO</v>
      </c>
      <c r="AQ23" s="28" t="str">
        <f>Emissions!AS46</f>
        <v>NO</v>
      </c>
      <c r="AR23" s="28" t="str">
        <f>Emissions!AT46</f>
        <v>NO</v>
      </c>
      <c r="AS23" s="28" t="str">
        <f>Emissions!AU46</f>
        <v>NO</v>
      </c>
      <c r="AT23" s="28" t="str">
        <f>Emissions!AV46</f>
        <v>NO</v>
      </c>
      <c r="AU23" s="28" t="str">
        <f>Emissions!AW46</f>
        <v>NO</v>
      </c>
      <c r="AV23" s="28" t="str">
        <f>Emissions!AX46</f>
        <v>NO</v>
      </c>
      <c r="AW23" s="28" t="str">
        <f>Emissions!AY46</f>
        <v>NO</v>
      </c>
      <c r="AX23" s="28" t="str">
        <f>Emissions!AZ46</f>
        <v>NO</v>
      </c>
      <c r="AY23" s="28" t="str">
        <f>Emissions!BA46</f>
        <v>NO</v>
      </c>
      <c r="AZ23" s="28" t="str">
        <f>Emissions!BB46</f>
        <v>NO</v>
      </c>
      <c r="BA23" s="28" t="str">
        <f>Emissions!BC46</f>
        <v>NO</v>
      </c>
      <c r="BB23" s="28" t="str">
        <f>Emissions!BD46</f>
        <v>NO</v>
      </c>
      <c r="BC23" s="28" t="str">
        <f>Emissions!BE46</f>
        <v>NO</v>
      </c>
      <c r="BD23" s="28" t="str">
        <f>Emissions!BF46</f>
        <v>NO</v>
      </c>
      <c r="BE23" s="28" t="str">
        <f>Emissions!BG46</f>
        <v>NO</v>
      </c>
      <c r="BF23" s="28" t="str">
        <f>Emissions!BH46</f>
        <v>NO</v>
      </c>
      <c r="BG23" s="28" t="str">
        <f>Emissions!BI46</f>
        <v>NO</v>
      </c>
      <c r="BH23" s="28" t="str">
        <f>Emissions!BJ46</f>
        <v>NO</v>
      </c>
      <c r="BI23" s="28" t="str">
        <f>Emissions!BK46</f>
        <v>NO</v>
      </c>
      <c r="BJ23" s="28" t="str">
        <f>Emissions!BL46</f>
        <v>NO</v>
      </c>
      <c r="BK23" s="28" t="str">
        <f>Emissions!BM46</f>
        <v>NO</v>
      </c>
      <c r="BL23" s="28" t="str">
        <f>Emissions!BN46</f>
        <v>NO</v>
      </c>
      <c r="BM23" s="28" t="str">
        <f>Emissions!BO46</f>
        <v>NO</v>
      </c>
      <c r="BN23" s="28" t="str">
        <f>Emissions!BP46</f>
        <v>NO</v>
      </c>
    </row>
    <row r="24" spans="1:66" x14ac:dyDescent="0.25">
      <c r="A24" t="str">
        <f t="shared" si="2"/>
        <v>3A Livestock</v>
      </c>
      <c r="B24" t="str">
        <f t="shared" si="15"/>
        <v>3A2 Manure management (N2O)</v>
      </c>
      <c r="C24" t="str">
        <f t="shared" si="14"/>
        <v>3A1g Mules &amp; asses</v>
      </c>
      <c r="D24" t="str">
        <f t="shared" si="16"/>
        <v>N2O</v>
      </c>
      <c r="E24" t="str">
        <f t="shared" si="17"/>
        <v>Gg N2O</v>
      </c>
      <c r="F24" s="28" t="str">
        <f>Emissions!H47</f>
        <v>NO</v>
      </c>
      <c r="G24" s="28" t="str">
        <f>Emissions!I47</f>
        <v>NO</v>
      </c>
      <c r="H24" s="28" t="str">
        <f>Emissions!J47</f>
        <v>NO</v>
      </c>
      <c r="I24" s="28" t="str">
        <f>Emissions!K47</f>
        <v>NO</v>
      </c>
      <c r="J24" s="28" t="str">
        <f>Emissions!L47</f>
        <v>NO</v>
      </c>
      <c r="K24" s="28" t="str">
        <f>Emissions!M47</f>
        <v>NO</v>
      </c>
      <c r="L24" s="28" t="str">
        <f>Emissions!N47</f>
        <v>NO</v>
      </c>
      <c r="M24" s="28" t="str">
        <f>Emissions!O47</f>
        <v>NO</v>
      </c>
      <c r="N24" s="28" t="str">
        <f>Emissions!P47</f>
        <v>NO</v>
      </c>
      <c r="O24" s="28" t="str">
        <f>Emissions!Q47</f>
        <v>NO</v>
      </c>
      <c r="P24" s="28" t="str">
        <f>Emissions!R47</f>
        <v>NO</v>
      </c>
      <c r="Q24" s="28" t="str">
        <f>Emissions!S47</f>
        <v>NO</v>
      </c>
      <c r="R24" s="28" t="str">
        <f>Emissions!T47</f>
        <v>NO</v>
      </c>
      <c r="S24" s="28" t="str">
        <f>Emissions!U47</f>
        <v>NO</v>
      </c>
      <c r="T24" s="28" t="str">
        <f>Emissions!V47</f>
        <v>NO</v>
      </c>
      <c r="U24" s="28" t="str">
        <f>Emissions!W47</f>
        <v>NO</v>
      </c>
      <c r="V24" s="28" t="str">
        <f>Emissions!X47</f>
        <v>NO</v>
      </c>
      <c r="W24" s="28" t="str">
        <f>Emissions!Y47</f>
        <v>NO</v>
      </c>
      <c r="X24" s="28" t="str">
        <f>Emissions!Z47</f>
        <v>NO</v>
      </c>
      <c r="Y24" s="28" t="str">
        <f>Emissions!AA47</f>
        <v>NO</v>
      </c>
      <c r="Z24" s="28" t="str">
        <f>Emissions!AB47</f>
        <v>NO</v>
      </c>
      <c r="AA24" s="28" t="str">
        <f>Emissions!AC47</f>
        <v>NO</v>
      </c>
      <c r="AB24" s="28" t="str">
        <f>Emissions!AD47</f>
        <v>NO</v>
      </c>
      <c r="AC24" s="28" t="str">
        <f>Emissions!AE47</f>
        <v>NO</v>
      </c>
      <c r="AD24" s="28" t="str">
        <f>Emissions!AF47</f>
        <v>NO</v>
      </c>
      <c r="AE24" s="28" t="str">
        <f>Emissions!AG47</f>
        <v>NO</v>
      </c>
      <c r="AF24" s="28" t="str">
        <f>Emissions!AH47</f>
        <v>NO</v>
      </c>
      <c r="AG24" s="28" t="str">
        <f>Emissions!AI47</f>
        <v>NO</v>
      </c>
      <c r="AH24" s="28" t="str">
        <f>Emissions!AJ47</f>
        <v>NO</v>
      </c>
      <c r="AI24" s="28" t="str">
        <f>Emissions!AK47</f>
        <v>NO</v>
      </c>
      <c r="AJ24" s="28" t="str">
        <f>Emissions!AL47</f>
        <v>NO</v>
      </c>
      <c r="AK24" s="28" t="str">
        <f>Emissions!AM47</f>
        <v>NO</v>
      </c>
      <c r="AL24" s="28" t="str">
        <f>Emissions!AN47</f>
        <v>NO</v>
      </c>
      <c r="AM24" s="28" t="str">
        <f>Emissions!AO47</f>
        <v>NO</v>
      </c>
      <c r="AN24" s="28" t="str">
        <f>Emissions!AP47</f>
        <v>NO</v>
      </c>
      <c r="AO24" s="28" t="str">
        <f>Emissions!AQ47</f>
        <v>NO</v>
      </c>
      <c r="AP24" s="28" t="str">
        <f>Emissions!AR47</f>
        <v>NO</v>
      </c>
      <c r="AQ24" s="28" t="str">
        <f>Emissions!AS47</f>
        <v>NO</v>
      </c>
      <c r="AR24" s="28" t="str">
        <f>Emissions!AT47</f>
        <v>NO</v>
      </c>
      <c r="AS24" s="28" t="str">
        <f>Emissions!AU47</f>
        <v>NO</v>
      </c>
      <c r="AT24" s="28" t="str">
        <f>Emissions!AV47</f>
        <v>NO</v>
      </c>
      <c r="AU24" s="28" t="str">
        <f>Emissions!AW47</f>
        <v>NO</v>
      </c>
      <c r="AV24" s="28" t="str">
        <f>Emissions!AX47</f>
        <v>NO</v>
      </c>
      <c r="AW24" s="28" t="str">
        <f>Emissions!AY47</f>
        <v>NO</v>
      </c>
      <c r="AX24" s="28" t="str">
        <f>Emissions!AZ47</f>
        <v>NO</v>
      </c>
      <c r="AY24" s="28" t="str">
        <f>Emissions!BA47</f>
        <v>NO</v>
      </c>
      <c r="AZ24" s="28" t="str">
        <f>Emissions!BB47</f>
        <v>NO</v>
      </c>
      <c r="BA24" s="28" t="str">
        <f>Emissions!BC47</f>
        <v>NO</v>
      </c>
      <c r="BB24" s="28" t="str">
        <f>Emissions!BD47</f>
        <v>NO</v>
      </c>
      <c r="BC24" s="28" t="str">
        <f>Emissions!BE47</f>
        <v>NO</v>
      </c>
      <c r="BD24" s="28" t="str">
        <f>Emissions!BF47</f>
        <v>NO</v>
      </c>
      <c r="BE24" s="28" t="str">
        <f>Emissions!BG47</f>
        <v>NO</v>
      </c>
      <c r="BF24" s="28" t="str">
        <f>Emissions!BH47</f>
        <v>NO</v>
      </c>
      <c r="BG24" s="28" t="str">
        <f>Emissions!BI47</f>
        <v>NO</v>
      </c>
      <c r="BH24" s="28" t="str">
        <f>Emissions!BJ47</f>
        <v>NO</v>
      </c>
      <c r="BI24" s="28" t="str">
        <f>Emissions!BK47</f>
        <v>NO</v>
      </c>
      <c r="BJ24" s="28" t="str">
        <f>Emissions!BL47</f>
        <v>NO</v>
      </c>
      <c r="BK24" s="28" t="str">
        <f>Emissions!BM47</f>
        <v>NO</v>
      </c>
      <c r="BL24" s="28" t="str">
        <f>Emissions!BN47</f>
        <v>NO</v>
      </c>
      <c r="BM24" s="28" t="str">
        <f>Emissions!BO47</f>
        <v>NO</v>
      </c>
      <c r="BN24" s="28" t="str">
        <f>Emissions!BP47</f>
        <v>NO</v>
      </c>
    </row>
    <row r="25" spans="1:66" x14ac:dyDescent="0.25">
      <c r="A25" t="str">
        <f t="shared" si="2"/>
        <v>3A Livestock</v>
      </c>
      <c r="B25" t="str">
        <f t="shared" si="15"/>
        <v>3A2 Manure management (N2O)</v>
      </c>
      <c r="C25" t="str">
        <f t="shared" si="14"/>
        <v>3A1h Swine</v>
      </c>
      <c r="D25" t="str">
        <f t="shared" si="16"/>
        <v>N2O</v>
      </c>
      <c r="E25" t="str">
        <f t="shared" si="17"/>
        <v>Gg N2O</v>
      </c>
      <c r="F25" s="28">
        <f>SUM(Emissions!H48:H49)</f>
        <v>0.12329867623327949</v>
      </c>
      <c r="G25" s="28">
        <f>SUM(Emissions!I48:I49)</f>
        <v>0.13470623092415376</v>
      </c>
      <c r="H25" s="28">
        <f>SUM(Emissions!J48:J49)</f>
        <v>0.13381627984897917</v>
      </c>
      <c r="I25" s="28">
        <f>SUM(Emissions!K48:K49)</f>
        <v>0.13373537520578149</v>
      </c>
      <c r="J25" s="28">
        <f>SUM(Emissions!L48:L49)</f>
        <v>0.12702028982037319</v>
      </c>
      <c r="K25" s="28">
        <f>SUM(Emissions!M48:M49)</f>
        <v>0.12823385946833857</v>
      </c>
      <c r="L25" s="28">
        <f>SUM(Emissions!N48:N49)</f>
        <v>0.13810422593845673</v>
      </c>
      <c r="M25" s="28">
        <f>SUM(Emissions!O48:O49)</f>
        <v>0.13745698879287524</v>
      </c>
      <c r="N25" s="28">
        <f>SUM(Emissions!P48:P49)</f>
        <v>0.14045046059118976</v>
      </c>
      <c r="O25" s="28">
        <f>SUM(Emissions!Q48:Q49)</f>
        <v>0.14401026489188812</v>
      </c>
      <c r="P25" s="28">
        <f>SUM(Emissions!R48:R49)</f>
        <v>0.13324994734659534</v>
      </c>
      <c r="Q25" s="28">
        <f>SUM(Emissions!S48:S49)</f>
        <v>0.13575799128572374</v>
      </c>
      <c r="R25" s="28">
        <f>SUM(Emissions!T48:T49)</f>
        <v>0.1383469398680498</v>
      </c>
      <c r="S25" s="28">
        <f>SUM(Emissions!U48:U49)</f>
        <v>0.1345444216377584</v>
      </c>
      <c r="T25" s="28">
        <f>SUM(Emissions!V48:V49)</f>
        <v>0.1345444216377584</v>
      </c>
      <c r="U25" s="28">
        <f>SUM(Emissions!W48:W49)</f>
        <v>0.1335735659193861</v>
      </c>
      <c r="V25" s="28">
        <f>SUM(Emissions!X48:X49)</f>
        <v>0.13122733126665309</v>
      </c>
      <c r="W25" s="28">
        <f>SUM(Emissions!Y48:Y49)</f>
        <v>0.1335735659193861</v>
      </c>
      <c r="X25" s="28">
        <f>SUM(Emissions!Z48:Z49)</f>
        <v>0.13066099876426929</v>
      </c>
      <c r="Y25" s="28">
        <f>SUM(Emissions!AA48:AA49)</f>
        <v>0.13049918947787389</v>
      </c>
      <c r="Z25" s="28">
        <f>SUM(Emissions!AB48:AB49)</f>
        <v>0.12896200125711779</v>
      </c>
      <c r="AA25" s="28">
        <f>SUM(Emissions!AC48:AC49)</f>
        <v>0.12815295482514089</v>
      </c>
      <c r="AB25" s="28">
        <f>SUM(Emissions!AD48:AD49)</f>
        <v>0.12693021973416191</v>
      </c>
      <c r="AC25" s="28">
        <f>SUM(Emissions!AE48:AE49)</f>
        <v>0.12641545043852573</v>
      </c>
      <c r="AD25" s="28">
        <f>SUM(Emissions!AF48:AF49)</f>
        <v>0.12604631470217006</v>
      </c>
      <c r="AE25" s="28">
        <f>SUM(Emissions!AG48:AG49)</f>
        <v>0.1258192278867688</v>
      </c>
      <c r="AF25" s="28">
        <f>SUM(Emissions!AH48:AH49)</f>
        <v>0.12570814090938465</v>
      </c>
      <c r="AG25" s="28">
        <f>SUM(Emissions!AI48:AI49)</f>
        <v>0.12550589188564207</v>
      </c>
      <c r="AH25" s="28">
        <f>SUM(Emissions!AJ48:AJ49)</f>
        <v>0.12534285826751893</v>
      </c>
      <c r="AI25" s="28">
        <f>SUM(Emissions!AK48:AK49)</f>
        <v>0.12521562964189459</v>
      </c>
      <c r="AJ25" s="28">
        <f>SUM(Emissions!AL48:AL49)</f>
        <v>0.12719106234242017</v>
      </c>
      <c r="AK25" s="28">
        <f>SUM(Emissions!AM48:AM49)</f>
        <v>0.12671176808894996</v>
      </c>
      <c r="AL25" s="28">
        <f>SUM(Emissions!AN48:AN49)</f>
        <v>0.1262716912879544</v>
      </c>
      <c r="AM25" s="28">
        <f>SUM(Emissions!AO48:AO49)</f>
        <v>0.12584131176323579</v>
      </c>
      <c r="AN25" s="28">
        <f>SUM(Emissions!AP48:AP49)</f>
        <v>0.1254423453978955</v>
      </c>
      <c r="AO25" s="28">
        <f>SUM(Emissions!AQ48:AQ49)</f>
        <v>0.12503542285399352</v>
      </c>
      <c r="AP25" s="28">
        <f>SUM(Emissions!AR48:AR49)</f>
        <v>0.12456040411043388</v>
      </c>
      <c r="AQ25" s="28">
        <f>SUM(Emissions!AS48:AS49)</f>
        <v>0.12410732971484505</v>
      </c>
      <c r="AR25" s="28">
        <f>SUM(Emissions!AT48:AT49)</f>
        <v>0.12364615916854454</v>
      </c>
      <c r="AS25" s="28">
        <f>SUM(Emissions!AU48:AU49)</f>
        <v>0.12318440396235164</v>
      </c>
      <c r="AT25" s="28">
        <f>SUM(Emissions!AV48:AV49)</f>
        <v>0.12272142203037287</v>
      </c>
      <c r="AU25" s="28">
        <f>SUM(Emissions!AW48:AW49)</f>
        <v>0.12365425185073742</v>
      </c>
      <c r="AV25" s="28">
        <f>SUM(Emissions!AX48:AX49)</f>
        <v>0.124135641748654</v>
      </c>
      <c r="AW25" s="28">
        <f>SUM(Emissions!AY48:AY49)</f>
        <v>0.1248076107211589</v>
      </c>
      <c r="AX25" s="28">
        <f>SUM(Emissions!AZ48:AZ49)</f>
        <v>0.12549835378941729</v>
      </c>
      <c r="AY25" s="28">
        <f>SUM(Emissions!BA48:BA49)</f>
        <v>0.12619062162399652</v>
      </c>
      <c r="AZ25" s="28">
        <f>SUM(Emissions!BB48:BB49)</f>
        <v>0.12669767054070266</v>
      </c>
      <c r="BA25" s="28">
        <f>SUM(Emissions!BC48:BC49)</f>
        <v>0.1270805959412758</v>
      </c>
      <c r="BB25" s="28">
        <f>SUM(Emissions!BD48:BD49)</f>
        <v>0.12721716066467909</v>
      </c>
      <c r="BC25" s="28">
        <f>SUM(Emissions!BE48:BE49)</f>
        <v>0.1272084893712826</v>
      </c>
      <c r="BD25" s="28">
        <f>SUM(Emissions!BF48:BF49)</f>
        <v>0.12712352885029585</v>
      </c>
      <c r="BE25" s="28">
        <f>SUM(Emissions!BG48:BG49)</f>
        <v>0.12781412763806463</v>
      </c>
      <c r="BF25" s="28">
        <f>SUM(Emissions!BH48:BH49)</f>
        <v>0.12840013635351982</v>
      </c>
      <c r="BG25" s="28">
        <f>SUM(Emissions!BI48:BI49)</f>
        <v>0.12885743652277754</v>
      </c>
      <c r="BH25" s="28">
        <f>SUM(Emissions!BJ48:BJ49)</f>
        <v>0.12919409332041495</v>
      </c>
      <c r="BI25" s="28">
        <f>SUM(Emissions!BK48:BK49)</f>
        <v>0.12947373617804525</v>
      </c>
      <c r="BJ25" s="28">
        <f>SUM(Emissions!BL48:BL49)</f>
        <v>0.1296348220604579</v>
      </c>
      <c r="BK25" s="28">
        <f>SUM(Emissions!BM48:BM49)</f>
        <v>0.12966053144464074</v>
      </c>
      <c r="BL25" s="28">
        <f>SUM(Emissions!BN48:BN49)</f>
        <v>0.12940561753725696</v>
      </c>
      <c r="BM25" s="28">
        <f>SUM(Emissions!BO48:BO49)</f>
        <v>0.12900855578242157</v>
      </c>
      <c r="BN25" s="28">
        <f>SUM(Emissions!BP48:BP49)</f>
        <v>0.12846401167033206</v>
      </c>
    </row>
    <row r="26" spans="1:66" x14ac:dyDescent="0.25">
      <c r="A26" t="str">
        <f t="shared" si="2"/>
        <v>3A Livestock</v>
      </c>
      <c r="B26" t="str">
        <f t="shared" si="15"/>
        <v>3A2 Manure management (N2O)</v>
      </c>
      <c r="C26" t="str">
        <f t="shared" si="14"/>
        <v>3A2i Poultry</v>
      </c>
      <c r="D26" t="str">
        <f t="shared" si="16"/>
        <v>N2O</v>
      </c>
      <c r="E26" t="str">
        <f t="shared" si="17"/>
        <v>Gg N2O</v>
      </c>
      <c r="F26" s="28">
        <f>SUM(Emissions!H50:H53)</f>
        <v>0.97142643116498173</v>
      </c>
      <c r="G26" s="28">
        <f>SUM(Emissions!I50:I53)</f>
        <v>0.91979947773956539</v>
      </c>
      <c r="H26" s="28">
        <f>SUM(Emissions!J50:J53)</f>
        <v>0.86996640861962027</v>
      </c>
      <c r="I26" s="28">
        <f>SUM(Emissions!K50:K53)</f>
        <v>0.95105089689588118</v>
      </c>
      <c r="J26" s="28">
        <f>SUM(Emissions!L50:L53)</f>
        <v>0.93558760332506563</v>
      </c>
      <c r="K26" s="28">
        <f>SUM(Emissions!M50:M53)</f>
        <v>1.0610980244624493</v>
      </c>
      <c r="L26" s="28">
        <f>SUM(Emissions!N50:N53)</f>
        <v>1.2124779056940209</v>
      </c>
      <c r="M26" s="28">
        <f>SUM(Emissions!O50:O53)</f>
        <v>1.2310774331909755</v>
      </c>
      <c r="N26" s="28">
        <f>SUM(Emissions!P50:P53)</f>
        <v>1.3553349187397734</v>
      </c>
      <c r="O26" s="28">
        <f>SUM(Emissions!Q50:Q53)</f>
        <v>1.4216688462228295</v>
      </c>
      <c r="P26" s="28">
        <f>SUM(Emissions!R50:R53)</f>
        <v>1.5047428388913393</v>
      </c>
      <c r="Q26" s="28">
        <f>SUM(Emissions!S50:S53)</f>
        <v>1.4682944579243469</v>
      </c>
      <c r="R26" s="28">
        <f>SUM(Emissions!T50:T53)</f>
        <v>1.5974517753633082</v>
      </c>
      <c r="S26" s="28">
        <f>SUM(Emissions!U50:U53)</f>
        <v>1.5216968274171625</v>
      </c>
      <c r="T26" s="28">
        <f>SUM(Emissions!V50:V53)</f>
        <v>1.561402779749649</v>
      </c>
      <c r="U26" s="28">
        <f>SUM(Emissions!W50:W53)</f>
        <v>1.715924170745724</v>
      </c>
      <c r="V26" s="28">
        <f>SUM(Emissions!X50:X53)</f>
        <v>1.8445047156055465</v>
      </c>
      <c r="W26" s="28">
        <f>SUM(Emissions!Y50:Y53)</f>
        <v>1.9478096113399568</v>
      </c>
      <c r="X26" s="28">
        <f>SUM(Emissions!Z50:Z53)</f>
        <v>2.0569289282113736</v>
      </c>
      <c r="Y26" s="28">
        <f>SUM(Emissions!AA50:AA53)</f>
        <v>1.9474443632124327</v>
      </c>
      <c r="Z26" s="28">
        <f>SUM(Emissions!AB50:AB53)</f>
        <v>2.0008545268528479</v>
      </c>
      <c r="AA26" s="28">
        <f>SUM(Emissions!AC50:AC53)</f>
        <v>2.0733749858055939</v>
      </c>
      <c r="AB26" s="28">
        <f>SUM(Emissions!AD50:AD53)</f>
        <v>2.0493375380992433</v>
      </c>
      <c r="AC26" s="28">
        <f>SUM(Emissions!AE50:AE53)</f>
        <v>2.0872075166078052</v>
      </c>
      <c r="AD26" s="28">
        <f>SUM(Emissions!AF50:AF53)</f>
        <v>2.1154108209358111</v>
      </c>
      <c r="AE26" s="28">
        <f>SUM(Emissions!AG50:AG53)</f>
        <v>2.1335232863713838</v>
      </c>
      <c r="AF26" s="28">
        <f>SUM(Emissions!AH50:AH53)</f>
        <v>2.1431789045903331</v>
      </c>
      <c r="AG26" s="28">
        <f>SUM(Emissions!AI50:AI53)</f>
        <v>2.15984407123302</v>
      </c>
      <c r="AH26" s="28">
        <f>SUM(Emissions!AJ50:AJ53)</f>
        <v>2.173664707695385</v>
      </c>
      <c r="AI26" s="28">
        <f>SUM(Emissions!AK50:AK53)</f>
        <v>2.1848189507762132</v>
      </c>
      <c r="AJ26" s="28">
        <f>SUM(Emissions!AL50:AL53)</f>
        <v>2.0411321195224854</v>
      </c>
      <c r="AK26" s="28">
        <f>SUM(Emissions!AM50:AM53)</f>
        <v>2.0760500089888825</v>
      </c>
      <c r="AL26" s="28">
        <f>SUM(Emissions!AN50:AN53)</f>
        <v>2.1090818189448783</v>
      </c>
      <c r="AM26" s="28">
        <f>SUM(Emissions!AO50:AO53)</f>
        <v>2.1422365420757128</v>
      </c>
      <c r="AN26" s="28">
        <f>SUM(Emissions!AP50:AP53)</f>
        <v>2.1738114171071032</v>
      </c>
      <c r="AO26" s="28">
        <f>SUM(Emissions!AQ50:AQ53)</f>
        <v>2.2067464432752568</v>
      </c>
      <c r="AP26" s="28">
        <f>SUM(Emissions!AR50:AR53)</f>
        <v>2.2460748481258093</v>
      </c>
      <c r="AQ26" s="28">
        <f>SUM(Emissions!AS50:AS53)</f>
        <v>2.284674119755397</v>
      </c>
      <c r="AR26" s="28">
        <f>SUM(Emissions!AT50:AT53)</f>
        <v>2.324991779021599</v>
      </c>
      <c r="AS26" s="28">
        <f>SUM(Emissions!AU50:AU53)</f>
        <v>2.3664538300574947</v>
      </c>
      <c r="AT26" s="28">
        <f>SUM(Emissions!AV50:AV53)</f>
        <v>2.4091533711543183</v>
      </c>
      <c r="AU26" s="28">
        <f>SUM(Emissions!AW50:AW53)</f>
        <v>2.4608076472795224</v>
      </c>
      <c r="AV26" s="28">
        <f>SUM(Emissions!AX50:AX53)</f>
        <v>2.5092797500275745</v>
      </c>
      <c r="AW26" s="28">
        <f>SUM(Emissions!AY50:AY53)</f>
        <v>2.5628221163398979</v>
      </c>
      <c r="AX26" s="28">
        <f>SUM(Emissions!AZ50:AZ53)</f>
        <v>2.6195163543347171</v>
      </c>
      <c r="AY26" s="28">
        <f>SUM(Emissions!BA50:BA53)</f>
        <v>2.6793906869172357</v>
      </c>
      <c r="AZ26" s="28">
        <f>SUM(Emissions!BB50:BB53)</f>
        <v>2.7400856592738028</v>
      </c>
      <c r="BA26" s="28">
        <f>SUM(Emissions!BC50:BC53)</f>
        <v>2.8025250514711098</v>
      </c>
      <c r="BB26" s="28">
        <f>SUM(Emissions!BD50:BD53)</f>
        <v>2.8649990096243454</v>
      </c>
      <c r="BC26" s="28">
        <f>SUM(Emissions!BE50:BE53)</f>
        <v>2.9291105124787027</v>
      </c>
      <c r="BD26" s="28">
        <f>SUM(Emissions!BF50:BF53)</f>
        <v>2.9961500972308412</v>
      </c>
      <c r="BE26" s="28">
        <f>SUM(Emissions!BG50:BG53)</f>
        <v>3.064862337994724</v>
      </c>
      <c r="BF26" s="28">
        <f>SUM(Emissions!BH50:BH53)</f>
        <v>3.1354534512958998</v>
      </c>
      <c r="BG26" s="28">
        <f>SUM(Emissions!BI50:BI53)</f>
        <v>3.2076548944136265</v>
      </c>
      <c r="BH26" s="28">
        <f>SUM(Emissions!BJ50:BJ53)</f>
        <v>3.2817540814823207</v>
      </c>
      <c r="BI26" s="28">
        <f>SUM(Emissions!BK50:BK53)</f>
        <v>3.3591168167413326</v>
      </c>
      <c r="BJ26" s="28">
        <f>SUM(Emissions!BL50:BL53)</f>
        <v>3.4387956352094569</v>
      </c>
      <c r="BK26" s="28">
        <f>SUM(Emissions!BM50:BM53)</f>
        <v>3.5207381670497275</v>
      </c>
      <c r="BL26" s="28">
        <f>SUM(Emissions!BN50:BN53)</f>
        <v>3.6021694722349165</v>
      </c>
      <c r="BM26" s="28">
        <f>SUM(Emissions!BO50:BO53)</f>
        <v>3.6859928225470742</v>
      </c>
      <c r="BN26" s="28">
        <f>SUM(Emissions!BP50:BP53)</f>
        <v>3.7723426972392597</v>
      </c>
    </row>
    <row r="27" spans="1:66" s="19" customFormat="1" ht="15.75" x14ac:dyDescent="0.25">
      <c r="A27" s="19" t="str">
        <f>'IPCC Categories'!A59</f>
        <v>3C Aggregated and non-CO2 emissions on land</v>
      </c>
      <c r="B27" s="19" t="str">
        <f>'IPCC Categories'!B59</f>
        <v>3C1 Biomass burning (CH4)</v>
      </c>
      <c r="C27" s="19" t="s">
        <v>148</v>
      </c>
      <c r="D27" s="19" t="s">
        <v>121</v>
      </c>
      <c r="E27" s="19" t="s">
        <v>286</v>
      </c>
      <c r="F27" s="49">
        <f>SUM(F28:F33)</f>
        <v>53.0453492171862</v>
      </c>
      <c r="G27" s="49">
        <f t="shared" ref="G27:BN27" si="18">SUM(G28:G33)</f>
        <v>53.0453492171862</v>
      </c>
      <c r="H27" s="49">
        <f t="shared" si="18"/>
        <v>53.0453492171862</v>
      </c>
      <c r="I27" s="49">
        <f t="shared" si="18"/>
        <v>53.0453492171862</v>
      </c>
      <c r="J27" s="49">
        <f t="shared" si="18"/>
        <v>53.0453492171862</v>
      </c>
      <c r="K27" s="49">
        <f t="shared" si="18"/>
        <v>53.0453492171862</v>
      </c>
      <c r="L27" s="49">
        <f t="shared" si="18"/>
        <v>53.0453492171862</v>
      </c>
      <c r="M27" s="49">
        <f t="shared" si="18"/>
        <v>53.0453492171862</v>
      </c>
      <c r="N27" s="49">
        <f t="shared" si="18"/>
        <v>53.0453492171862</v>
      </c>
      <c r="O27" s="49">
        <f t="shared" si="18"/>
        <v>53.0453492171862</v>
      </c>
      <c r="P27" s="49">
        <f t="shared" si="18"/>
        <v>52.546557109309774</v>
      </c>
      <c r="Q27" s="49">
        <f t="shared" si="18"/>
        <v>61.073892579993647</v>
      </c>
      <c r="R27" s="49">
        <f t="shared" si="18"/>
        <v>61.377028794942774</v>
      </c>
      <c r="S27" s="49">
        <f t="shared" si="18"/>
        <v>48.163551471837515</v>
      </c>
      <c r="T27" s="49">
        <f t="shared" si="18"/>
        <v>42.065716129847253</v>
      </c>
      <c r="U27" s="49">
        <f t="shared" si="18"/>
        <v>67.254014225099425</v>
      </c>
      <c r="V27" s="49">
        <f t="shared" si="18"/>
        <v>58.899233231775128</v>
      </c>
      <c r="W27" s="49">
        <f t="shared" si="18"/>
        <v>58.027482006018275</v>
      </c>
      <c r="X27" s="49">
        <f t="shared" si="18"/>
        <v>54.279261632604765</v>
      </c>
      <c r="Y27" s="49">
        <f t="shared" si="18"/>
        <v>51.374827411779322</v>
      </c>
      <c r="Z27" s="49">
        <f t="shared" si="18"/>
        <v>52.716909833999999</v>
      </c>
      <c r="AA27" s="49">
        <f t="shared" si="18"/>
        <v>52.066398634182001</v>
      </c>
      <c r="AB27" s="49">
        <f t="shared" si="18"/>
        <v>43.839618357198454</v>
      </c>
      <c r="AC27" s="49">
        <f t="shared" si="18"/>
        <v>45.661722691763735</v>
      </c>
      <c r="AD27" s="49">
        <f t="shared" si="18"/>
        <v>44.876725746329022</v>
      </c>
      <c r="AE27" s="49">
        <f t="shared" si="18"/>
        <v>44.158961675263491</v>
      </c>
      <c r="AF27" s="49">
        <f t="shared" si="18"/>
        <v>44.51252688419796</v>
      </c>
      <c r="AG27" s="49">
        <f t="shared" si="18"/>
        <v>44.812873053132449</v>
      </c>
      <c r="AH27" s="49">
        <f t="shared" si="18"/>
        <v>44.809539062066925</v>
      </c>
      <c r="AI27" s="49">
        <f t="shared" si="18"/>
        <v>44.806855575216396</v>
      </c>
      <c r="AJ27" s="49">
        <f t="shared" si="18"/>
        <v>44.804172088365867</v>
      </c>
      <c r="AK27" s="49">
        <f t="shared" si="18"/>
        <v>44.801488601515324</v>
      </c>
      <c r="AL27" s="49">
        <f t="shared" si="18"/>
        <v>44.798805114664802</v>
      </c>
      <c r="AM27" s="49">
        <f t="shared" si="18"/>
        <v>44.796121627814273</v>
      </c>
      <c r="AN27" s="49">
        <f t="shared" si="18"/>
        <v>44.793438140963744</v>
      </c>
      <c r="AO27" s="49">
        <f t="shared" si="18"/>
        <v>44.790754654113215</v>
      </c>
      <c r="AP27" s="49">
        <f t="shared" si="18"/>
        <v>44.788071167262679</v>
      </c>
      <c r="AQ27" s="49">
        <f t="shared" si="18"/>
        <v>44.78538768041215</v>
      </c>
      <c r="AR27" s="49">
        <f t="shared" si="18"/>
        <v>44.782704193561621</v>
      </c>
      <c r="AS27" s="49">
        <f t="shared" si="18"/>
        <v>44.780020706711092</v>
      </c>
      <c r="AT27" s="49">
        <f t="shared" si="18"/>
        <v>44.777337219860549</v>
      </c>
      <c r="AU27" s="49">
        <f t="shared" si="18"/>
        <v>44.761179042176082</v>
      </c>
      <c r="AV27" s="49">
        <f t="shared" si="18"/>
        <v>44.7450208644916</v>
      </c>
      <c r="AW27" s="49">
        <f t="shared" si="18"/>
        <v>44.728862686807119</v>
      </c>
      <c r="AX27" s="49">
        <f t="shared" si="18"/>
        <v>44.712704509122631</v>
      </c>
      <c r="AY27" s="49">
        <f t="shared" si="18"/>
        <v>44.696546331438164</v>
      </c>
      <c r="AZ27" s="49">
        <f t="shared" si="18"/>
        <v>44.680388153753675</v>
      </c>
      <c r="BA27" s="49">
        <f t="shared" si="18"/>
        <v>44.664229976069194</v>
      </c>
      <c r="BB27" s="49">
        <f t="shared" si="18"/>
        <v>44.648071798384727</v>
      </c>
      <c r="BC27" s="49">
        <f t="shared" si="18"/>
        <v>44.627789936235786</v>
      </c>
      <c r="BD27" s="49">
        <f t="shared" si="18"/>
        <v>44.607508074086851</v>
      </c>
      <c r="BE27" s="49">
        <f t="shared" si="18"/>
        <v>44.587226211937917</v>
      </c>
      <c r="BF27" s="49">
        <f t="shared" si="18"/>
        <v>44.566944349788969</v>
      </c>
      <c r="BG27" s="49">
        <f t="shared" si="18"/>
        <v>44.546662487640035</v>
      </c>
      <c r="BH27" s="49">
        <f t="shared" si="18"/>
        <v>44.526380625491093</v>
      </c>
      <c r="BI27" s="49">
        <f t="shared" si="18"/>
        <v>44.506098763342152</v>
      </c>
      <c r="BJ27" s="49">
        <f t="shared" si="18"/>
        <v>44.485816901193211</v>
      </c>
      <c r="BK27" s="49">
        <f t="shared" si="18"/>
        <v>44.465535039044283</v>
      </c>
      <c r="BL27" s="49">
        <f t="shared" si="18"/>
        <v>44.445253176895349</v>
      </c>
      <c r="BM27" s="49">
        <f t="shared" si="18"/>
        <v>44.424971314746401</v>
      </c>
      <c r="BN27" s="49">
        <f t="shared" si="18"/>
        <v>44.404689452597466</v>
      </c>
    </row>
    <row r="28" spans="1:66" x14ac:dyDescent="0.25">
      <c r="A28" t="str">
        <f>'IPCC Categories'!A59</f>
        <v>3C Aggregated and non-CO2 emissions on land</v>
      </c>
      <c r="B28" t="str">
        <f>'IPCC Categories'!B59</f>
        <v>3C1 Biomass burning (CH4)</v>
      </c>
      <c r="C28" t="str">
        <f>'IPCC Categories'!C59</f>
        <v>3C1a Biomass burning in forest land</v>
      </c>
      <c r="D28" t="s">
        <v>121</v>
      </c>
      <c r="E28" t="s">
        <v>286</v>
      </c>
      <c r="F28" s="22">
        <f>SUMIF(Emissions!$C$54:$C$69,'Emissions summary'!$C28,Emissions!H$54:H$69)</f>
        <v>17.00038365344173</v>
      </c>
      <c r="G28" s="22">
        <f>SUMIF(Emissions!$C$54:$C$69,'Emissions summary'!$C28,Emissions!I$54:I$69)</f>
        <v>17.00038365344173</v>
      </c>
      <c r="H28" s="22">
        <f>SUMIF(Emissions!$C$54:$C$69,'Emissions summary'!$C28,Emissions!J$54:J$69)</f>
        <v>17.00038365344173</v>
      </c>
      <c r="I28" s="22">
        <f>SUMIF(Emissions!$C$54:$C$69,'Emissions summary'!$C28,Emissions!K$54:K$69)</f>
        <v>17.00038365344173</v>
      </c>
      <c r="J28" s="22">
        <f>SUMIF(Emissions!$C$54:$C$69,'Emissions summary'!$C28,Emissions!L$54:L$69)</f>
        <v>17.00038365344173</v>
      </c>
      <c r="K28" s="22">
        <f>SUMIF(Emissions!$C$54:$C$69,'Emissions summary'!$C28,Emissions!M$54:M$69)</f>
        <v>17.00038365344173</v>
      </c>
      <c r="L28" s="22">
        <f>SUMIF(Emissions!$C$54:$C$69,'Emissions summary'!$C28,Emissions!N$54:N$69)</f>
        <v>17.00038365344173</v>
      </c>
      <c r="M28" s="22">
        <f>SUMIF(Emissions!$C$54:$C$69,'Emissions summary'!$C28,Emissions!O$54:O$69)</f>
        <v>17.00038365344173</v>
      </c>
      <c r="N28" s="22">
        <f>SUMIF(Emissions!$C$54:$C$69,'Emissions summary'!$C28,Emissions!P$54:P$69)</f>
        <v>17.00038365344173</v>
      </c>
      <c r="O28" s="22">
        <f>SUMIF(Emissions!$C$54:$C$69,'Emissions summary'!$C28,Emissions!Q$54:Q$69)</f>
        <v>17.00038365344173</v>
      </c>
      <c r="P28" s="22">
        <f>SUMIF(Emissions!$C$54:$C$69,'Emissions summary'!$C28,Emissions!R$54:R$69)</f>
        <v>16.569822193461611</v>
      </c>
      <c r="Q28" s="22">
        <f>SUMIF(Emissions!$C$54:$C$69,'Emissions summary'!$C28,Emissions!S$54:S$69)</f>
        <v>21.58066748690964</v>
      </c>
      <c r="R28" s="22">
        <f>SUMIF(Emissions!$C$54:$C$69,'Emissions summary'!$C28,Emissions!T$54:T$69)</f>
        <v>18.378408970459198</v>
      </c>
      <c r="S28" s="22">
        <f>SUMIF(Emissions!$C$54:$C$69,'Emissions summary'!$C28,Emissions!U$54:U$69)</f>
        <v>14.650554917049229</v>
      </c>
      <c r="T28" s="22">
        <f>SUMIF(Emissions!$C$54:$C$69,'Emissions summary'!$C28,Emissions!V$54:V$69)</f>
        <v>13.82246469932897</v>
      </c>
      <c r="U28" s="22">
        <f>SUMIF(Emissions!$C$54:$C$69,'Emissions summary'!$C28,Emissions!W$54:W$69)</f>
        <v>21.599133953641967</v>
      </c>
      <c r="V28" s="22">
        <f>SUMIF(Emissions!$C$54:$C$69,'Emissions summary'!$C28,Emissions!X$54:X$69)</f>
        <v>17.797777704403263</v>
      </c>
      <c r="W28" s="22">
        <f>SUMIF(Emissions!$C$54:$C$69,'Emissions summary'!$C28,Emissions!Y$54:Y$69)</f>
        <v>21.680359355173707</v>
      </c>
      <c r="X28" s="22">
        <f>SUMIF(Emissions!$C$54:$C$69,'Emissions summary'!$C28,Emissions!Z$54:Z$69)</f>
        <v>20.332068235899591</v>
      </c>
      <c r="Y28" s="22">
        <f>SUMIF(Emissions!$C$54:$C$69,'Emissions summary'!$C28,Emissions!AA$54:AA$69)</f>
        <v>15.730541423024663</v>
      </c>
      <c r="Z28" s="22">
        <f>SUMIF(Emissions!$C$54:$C$69,'Emissions summary'!$C28,Emissions!AB$54:AB$69)</f>
        <v>16.81926023646</v>
      </c>
      <c r="AA28" s="22">
        <f>SUMIF(Emissions!$C$54:$C$69,'Emissions summary'!$C28,Emissions!AC$54:AC$69)</f>
        <v>16.168604044590001</v>
      </c>
      <c r="AB28" s="22">
        <f>SUMIF(Emissions!$C$54:$C$69,'Emissions summary'!$C28,Emissions!AD$54:AD$69)</f>
        <v>11.126647376908661</v>
      </c>
      <c r="AC28" s="22">
        <f>SUMIF(Emissions!$C$54:$C$69,'Emissions summary'!$C28,Emissions!AE$54:AE$69)</f>
        <v>13.017941288626186</v>
      </c>
      <c r="AD28" s="22">
        <f>SUMIF(Emissions!$C$54:$C$69,'Emissions summary'!$C28,Emissions!AF$54:AF$69)</f>
        <v>12.302133920343714</v>
      </c>
      <c r="AE28" s="22">
        <f>SUMIF(Emissions!$C$54:$C$69,'Emissions summary'!$C28,Emissions!AG$54:AG$69)</f>
        <v>11.59245893815546</v>
      </c>
      <c r="AF28" s="22">
        <f>SUMIF(Emissions!$C$54:$C$69,'Emissions summary'!$C28,Emissions!AH$54:AH$69)</f>
        <v>11.954113235967204</v>
      </c>
      <c r="AG28" s="22">
        <f>SUMIF(Emissions!$C$54:$C$69,'Emissions summary'!$C28,Emissions!AI$54:AI$69)</f>
        <v>12.262548493778951</v>
      </c>
      <c r="AH28" s="22">
        <f>SUMIF(Emissions!$C$54:$C$69,'Emissions summary'!$C28,Emissions!AJ$54:AJ$69)</f>
        <v>12.267303591590695</v>
      </c>
      <c r="AI28" s="22">
        <f>SUMIF(Emissions!$C$54:$C$69,'Emissions summary'!$C28,Emissions!AK$54:AK$69)</f>
        <v>12.27513942067969</v>
      </c>
      <c r="AJ28" s="22">
        <f>SUMIF(Emissions!$C$54:$C$69,'Emissions summary'!$C28,Emissions!AL$54:AL$69)</f>
        <v>12.282975249768684</v>
      </c>
      <c r="AK28" s="22">
        <f>SUMIF(Emissions!$C$54:$C$69,'Emissions summary'!$C28,Emissions!AM$54:AM$69)</f>
        <v>12.290811078857676</v>
      </c>
      <c r="AL28" s="22">
        <f>SUMIF(Emissions!$C$54:$C$69,'Emissions summary'!$C28,Emissions!AN$54:AN$69)</f>
        <v>12.298646907946672</v>
      </c>
      <c r="AM28" s="22">
        <f>SUMIF(Emissions!$C$54:$C$69,'Emissions summary'!$C28,Emissions!AO$54:AO$69)</f>
        <v>12.306482737035664</v>
      </c>
      <c r="AN28" s="22">
        <f>SUMIF(Emissions!$C$54:$C$69,'Emissions summary'!$C28,Emissions!AP$54:AP$69)</f>
        <v>12.314318566124658</v>
      </c>
      <c r="AO28" s="22">
        <f>SUMIF(Emissions!$C$54:$C$69,'Emissions summary'!$C28,Emissions!AQ$54:AQ$69)</f>
        <v>12.322154395213651</v>
      </c>
      <c r="AP28" s="22">
        <f>SUMIF(Emissions!$C$54:$C$69,'Emissions summary'!$C28,Emissions!AR$54:AR$69)</f>
        <v>12.329990224302646</v>
      </c>
      <c r="AQ28" s="22">
        <f>SUMIF(Emissions!$C$54:$C$69,'Emissions summary'!$C28,Emissions!AS$54:AS$69)</f>
        <v>12.337826053391639</v>
      </c>
      <c r="AR28" s="22">
        <f>SUMIF(Emissions!$C$54:$C$69,'Emissions summary'!$C28,Emissions!AT$54:AT$69)</f>
        <v>12.345661882480634</v>
      </c>
      <c r="AS28" s="22">
        <f>SUMIF(Emissions!$C$54:$C$69,'Emissions summary'!$C28,Emissions!AU$54:AU$69)</f>
        <v>12.353497711569629</v>
      </c>
      <c r="AT28" s="22">
        <f>SUMIF(Emissions!$C$54:$C$69,'Emissions summary'!$C28,Emissions!AV$54:AV$69)</f>
        <v>12.36133354065862</v>
      </c>
      <c r="AU28" s="22">
        <f>SUMIF(Emissions!$C$54:$C$69,'Emissions summary'!$C28,Emissions!AW$54:AW$69)</f>
        <v>12.350992173664068</v>
      </c>
      <c r="AV28" s="22">
        <f>SUMIF(Emissions!$C$54:$C$69,'Emissions summary'!$C28,Emissions!AX$54:AX$69)</f>
        <v>12.340650806669515</v>
      </c>
      <c r="AW28" s="22">
        <f>SUMIF(Emissions!$C$54:$C$69,'Emissions summary'!$C28,Emissions!AY$54:AY$69)</f>
        <v>12.330309439674961</v>
      </c>
      <c r="AX28" s="22">
        <f>SUMIF(Emissions!$C$54:$C$69,'Emissions summary'!$C28,Emissions!AZ$54:AZ$69)</f>
        <v>12.319968072680407</v>
      </c>
      <c r="AY28" s="22">
        <f>SUMIF(Emissions!$C$54:$C$69,'Emissions summary'!$C28,Emissions!BA$54:BA$69)</f>
        <v>12.309626705685853</v>
      </c>
      <c r="AZ28" s="22">
        <f>SUMIF(Emissions!$C$54:$C$69,'Emissions summary'!$C28,Emissions!BB$54:BB$69)</f>
        <v>12.299285338691298</v>
      </c>
      <c r="BA28" s="22">
        <f>SUMIF(Emissions!$C$54:$C$69,'Emissions summary'!$C28,Emissions!BC$54:BC$69)</f>
        <v>12.288943971696746</v>
      </c>
      <c r="BB28" s="22">
        <f>SUMIF(Emissions!$C$54:$C$69,'Emissions summary'!$C28,Emissions!BD$54:BD$69)</f>
        <v>12.278602604702193</v>
      </c>
      <c r="BC28" s="22">
        <f>SUMIF(Emissions!$C$54:$C$69,'Emissions summary'!$C28,Emissions!BE$54:BE$69)</f>
        <v>12.264137553243179</v>
      </c>
      <c r="BD28" s="22">
        <f>SUMIF(Emissions!$C$54:$C$69,'Emissions summary'!$C28,Emissions!BF$54:BF$69)</f>
        <v>12.249672501784165</v>
      </c>
      <c r="BE28" s="22">
        <f>SUMIF(Emissions!$C$54:$C$69,'Emissions summary'!$C28,Emissions!BG$54:BG$69)</f>
        <v>12.235207450325152</v>
      </c>
      <c r="BF28" s="22">
        <f>SUMIF(Emissions!$C$54:$C$69,'Emissions summary'!$C28,Emissions!BH$54:BH$69)</f>
        <v>12.220742398866138</v>
      </c>
      <c r="BG28" s="22">
        <f>SUMIF(Emissions!$C$54:$C$69,'Emissions summary'!$C28,Emissions!BI$54:BI$69)</f>
        <v>12.206277347407124</v>
      </c>
      <c r="BH28" s="22">
        <f>SUMIF(Emissions!$C$54:$C$69,'Emissions summary'!$C28,Emissions!BJ$54:BJ$69)</f>
        <v>12.191812295948113</v>
      </c>
      <c r="BI28" s="22">
        <f>SUMIF(Emissions!$C$54:$C$69,'Emissions summary'!$C28,Emissions!BK$54:BK$69)</f>
        <v>12.177347244489098</v>
      </c>
      <c r="BJ28" s="22">
        <f>SUMIF(Emissions!$C$54:$C$69,'Emissions summary'!$C28,Emissions!BL$54:BL$69)</f>
        <v>12.162882193030084</v>
      </c>
      <c r="BK28" s="22">
        <f>SUMIF(Emissions!$C$54:$C$69,'Emissions summary'!$C28,Emissions!BM$54:BM$69)</f>
        <v>12.148417141571073</v>
      </c>
      <c r="BL28" s="22">
        <f>SUMIF(Emissions!$C$54:$C$69,'Emissions summary'!$C28,Emissions!BN$54:BN$69)</f>
        <v>12.133952090112059</v>
      </c>
      <c r="BM28" s="22">
        <f>SUMIF(Emissions!$C$54:$C$69,'Emissions summary'!$C28,Emissions!BO$54:BO$69)</f>
        <v>12.119487038653045</v>
      </c>
      <c r="BN28" s="22">
        <f>SUMIF(Emissions!$C$54:$C$69,'Emissions summary'!$C28,Emissions!BP$54:BP$69)</f>
        <v>12.105021987194032</v>
      </c>
    </row>
    <row r="29" spans="1:66" x14ac:dyDescent="0.25">
      <c r="A29" t="str">
        <f>A28</f>
        <v>3C Aggregated and non-CO2 emissions on land</v>
      </c>
      <c r="B29" t="str">
        <f>B28</f>
        <v>3C1 Biomass burning (CH4)</v>
      </c>
      <c r="C29" t="str">
        <f>'IPCC Categories'!C60</f>
        <v>3C1b Biomass burning in Croplands</v>
      </c>
      <c r="D29" t="str">
        <f>D28</f>
        <v>CH4</v>
      </c>
      <c r="E29" t="str">
        <f>E28</f>
        <v>Gg CH4</v>
      </c>
      <c r="F29" s="22">
        <f>SUMIF(Emissions!$C$54:$C$69,'Emissions summary'!$C29,Emissions!H$54:H$69)</f>
        <v>10.116490581610325</v>
      </c>
      <c r="G29" s="22">
        <f>SUMIF(Emissions!$C$54:$C$69,'Emissions summary'!$C29,Emissions!I$54:I$69)</f>
        <v>10.116490581610325</v>
      </c>
      <c r="H29" s="22">
        <f>SUMIF(Emissions!$C$54:$C$69,'Emissions summary'!$C29,Emissions!J$54:J$69)</f>
        <v>10.116490581610325</v>
      </c>
      <c r="I29" s="22">
        <f>SUMIF(Emissions!$C$54:$C$69,'Emissions summary'!$C29,Emissions!K$54:K$69)</f>
        <v>10.116490581610325</v>
      </c>
      <c r="J29" s="22">
        <f>SUMIF(Emissions!$C$54:$C$69,'Emissions summary'!$C29,Emissions!L$54:L$69)</f>
        <v>10.116490581610325</v>
      </c>
      <c r="K29" s="22">
        <f>SUMIF(Emissions!$C$54:$C$69,'Emissions summary'!$C29,Emissions!M$54:M$69)</f>
        <v>10.116490581610325</v>
      </c>
      <c r="L29" s="22">
        <f>SUMIF(Emissions!$C$54:$C$69,'Emissions summary'!$C29,Emissions!N$54:N$69)</f>
        <v>10.116490581610325</v>
      </c>
      <c r="M29" s="22">
        <f>SUMIF(Emissions!$C$54:$C$69,'Emissions summary'!$C29,Emissions!O$54:O$69)</f>
        <v>10.116490581610325</v>
      </c>
      <c r="N29" s="22">
        <f>SUMIF(Emissions!$C$54:$C$69,'Emissions summary'!$C29,Emissions!P$54:P$69)</f>
        <v>10.116490581610325</v>
      </c>
      <c r="O29" s="22">
        <f>SUMIF(Emissions!$C$54:$C$69,'Emissions summary'!$C29,Emissions!Q$54:Q$69)</f>
        <v>10.116490581610325</v>
      </c>
      <c r="P29" s="22">
        <f>SUMIF(Emissions!$C$54:$C$69,'Emissions summary'!$C29,Emissions!R$54:R$69)</f>
        <v>10.51046399228327</v>
      </c>
      <c r="Q29" s="22">
        <f>SUMIF(Emissions!$C$54:$C$69,'Emissions summary'!$C29,Emissions!S$54:S$69)</f>
        <v>10.882894026282271</v>
      </c>
      <c r="R29" s="22">
        <f>SUMIF(Emissions!$C$54:$C$69,'Emissions summary'!$C29,Emissions!T$54:T$69)</f>
        <v>11.945235434738436</v>
      </c>
      <c r="S29" s="22">
        <f>SUMIF(Emissions!$C$54:$C$69,'Emissions summary'!$C29,Emissions!U$54:U$69)</f>
        <v>9.2981039284457765</v>
      </c>
      <c r="T29" s="22">
        <f>SUMIF(Emissions!$C$54:$C$69,'Emissions summary'!$C29,Emissions!V$54:V$69)</f>
        <v>7.9457555263018627</v>
      </c>
      <c r="U29" s="22">
        <f>SUMIF(Emissions!$C$54:$C$69,'Emissions summary'!$C29,Emissions!W$54:W$69)</f>
        <v>13.860153794562336</v>
      </c>
      <c r="V29" s="22">
        <f>SUMIF(Emissions!$C$54:$C$69,'Emissions summary'!$C29,Emissions!X$54:X$69)</f>
        <v>13.058600630053951</v>
      </c>
      <c r="W29" s="22">
        <f>SUMIF(Emissions!$C$54:$C$69,'Emissions summary'!$C29,Emissions!Y$54:Y$69)</f>
        <v>10.476884235119428</v>
      </c>
      <c r="X29" s="22">
        <f>SUMIF(Emissions!$C$54:$C$69,'Emissions summary'!$C29,Emissions!Z$54:Z$69)</f>
        <v>9.4298063526468283</v>
      </c>
      <c r="Y29" s="22">
        <f>SUMIF(Emissions!$C$54:$C$69,'Emissions summary'!$C29,Emissions!AA$54:AA$69)</f>
        <v>9.8044168903577642</v>
      </c>
      <c r="Z29" s="22">
        <f>SUMIF(Emissions!$C$54:$C$69,'Emissions summary'!$C29,Emissions!AB$54:AB$69)</f>
        <v>9.7783617960000022</v>
      </c>
      <c r="AA29" s="22">
        <f>SUMIF(Emissions!$C$54:$C$69,'Emissions summary'!$C29,Emissions!AC$54:AC$69)</f>
        <v>9.4288811400000014</v>
      </c>
      <c r="AB29" s="22">
        <f>SUMIF(Emissions!$C$54:$C$69,'Emissions summary'!$C29,Emissions!AD$54:AD$69)</f>
        <v>8.929388994926228</v>
      </c>
      <c r="AC29" s="22">
        <f>SUMIF(Emissions!$C$54:$C$69,'Emissions summary'!$C29,Emissions!AE$54:AE$69)</f>
        <v>8.9289309923184508</v>
      </c>
      <c r="AD29" s="22">
        <f>SUMIF(Emissions!$C$54:$C$69,'Emissions summary'!$C29,Emissions!AF$54:AF$69)</f>
        <v>8.9284729897106754</v>
      </c>
      <c r="AE29" s="22">
        <f>SUMIF(Emissions!$C$54:$C$69,'Emissions summary'!$C29,Emissions!AG$54:AG$69)</f>
        <v>8.9280149871028947</v>
      </c>
      <c r="AF29" s="22">
        <f>SUMIF(Emissions!$C$54:$C$69,'Emissions summary'!$C29,Emissions!AH$54:AH$69)</f>
        <v>8.9275569844951157</v>
      </c>
      <c r="AG29" s="22">
        <f>SUMIF(Emissions!$C$54:$C$69,'Emissions summary'!$C29,Emissions!AI$54:AI$69)</f>
        <v>8.9270989818873403</v>
      </c>
      <c r="AH29" s="22">
        <f>SUMIF(Emissions!$C$54:$C$69,'Emissions summary'!$C29,Emissions!AJ$54:AJ$69)</f>
        <v>8.9266409792795596</v>
      </c>
      <c r="AI29" s="22">
        <f>SUMIF(Emissions!$C$54:$C$69,'Emissions summary'!$C29,Emissions!AK$54:AK$69)</f>
        <v>8.9310178611809654</v>
      </c>
      <c r="AJ29" s="22">
        <f>SUMIF(Emissions!$C$54:$C$69,'Emissions summary'!$C29,Emissions!AL$54:AL$69)</f>
        <v>8.9353947430823659</v>
      </c>
      <c r="AK29" s="22">
        <f>SUMIF(Emissions!$C$54:$C$69,'Emissions summary'!$C29,Emissions!AM$54:AM$69)</f>
        <v>8.93977162498377</v>
      </c>
      <c r="AL29" s="22">
        <f>SUMIF(Emissions!$C$54:$C$69,'Emissions summary'!$C29,Emissions!AN$54:AN$69)</f>
        <v>8.944148506885174</v>
      </c>
      <c r="AM29" s="22">
        <f>SUMIF(Emissions!$C$54:$C$69,'Emissions summary'!$C29,Emissions!AO$54:AO$69)</f>
        <v>8.9485253887865781</v>
      </c>
      <c r="AN29" s="22">
        <f>SUMIF(Emissions!$C$54:$C$69,'Emissions summary'!$C29,Emissions!AP$54:AP$69)</f>
        <v>8.9529022706879786</v>
      </c>
      <c r="AO29" s="22">
        <f>SUMIF(Emissions!$C$54:$C$69,'Emissions summary'!$C29,Emissions!AQ$54:AQ$69)</f>
        <v>8.9572791525893827</v>
      </c>
      <c r="AP29" s="22">
        <f>SUMIF(Emissions!$C$54:$C$69,'Emissions summary'!$C29,Emissions!AR$54:AR$69)</f>
        <v>8.961656034490785</v>
      </c>
      <c r="AQ29" s="22">
        <f>SUMIF(Emissions!$C$54:$C$69,'Emissions summary'!$C29,Emissions!AS$54:AS$69)</f>
        <v>8.9660329163921872</v>
      </c>
      <c r="AR29" s="22">
        <f>SUMIF(Emissions!$C$54:$C$69,'Emissions summary'!$C29,Emissions!AT$54:AT$69)</f>
        <v>8.9704097982935913</v>
      </c>
      <c r="AS29" s="22">
        <f>SUMIF(Emissions!$C$54:$C$69,'Emissions summary'!$C29,Emissions!AU$54:AU$69)</f>
        <v>8.9747866801949954</v>
      </c>
      <c r="AT29" s="22">
        <f>SUMIF(Emissions!$C$54:$C$69,'Emissions summary'!$C29,Emissions!AV$54:AV$69)</f>
        <v>8.9791635620963959</v>
      </c>
      <c r="AU29" s="22">
        <f>SUMIF(Emissions!$C$54:$C$69,'Emissions summary'!$C29,Emissions!AW$54:AW$69)</f>
        <v>8.9835404439977982</v>
      </c>
      <c r="AV29" s="22">
        <f>SUMIF(Emissions!$C$54:$C$69,'Emissions summary'!$C29,Emissions!AX$54:AX$69)</f>
        <v>8.9879173258992022</v>
      </c>
      <c r="AW29" s="22">
        <f>SUMIF(Emissions!$C$54:$C$69,'Emissions summary'!$C29,Emissions!AY$54:AY$69)</f>
        <v>8.9922942078006045</v>
      </c>
      <c r="AX29" s="22">
        <f>SUMIF(Emissions!$C$54:$C$69,'Emissions summary'!$C29,Emissions!AZ$54:AZ$69)</f>
        <v>8.9966710897020068</v>
      </c>
      <c r="AY29" s="22">
        <f>SUMIF(Emissions!$C$54:$C$69,'Emissions summary'!$C29,Emissions!BA$54:BA$69)</f>
        <v>9.0010479716034109</v>
      </c>
      <c r="AZ29" s="22">
        <f>SUMIF(Emissions!$C$54:$C$69,'Emissions summary'!$C29,Emissions!BB$54:BB$69)</f>
        <v>9.0054248535048131</v>
      </c>
      <c r="BA29" s="22">
        <f>SUMIF(Emissions!$C$54:$C$69,'Emissions summary'!$C29,Emissions!BC$54:BC$69)</f>
        <v>9.0098017354062154</v>
      </c>
      <c r="BB29" s="22">
        <f>SUMIF(Emissions!$C$54:$C$69,'Emissions summary'!$C29,Emissions!BD$54:BD$69)</f>
        <v>9.0141786173076195</v>
      </c>
      <c r="BC29" s="22">
        <f>SUMIF(Emissions!$C$54:$C$69,'Emissions summary'!$C29,Emissions!BE$54:BE$69)</f>
        <v>9.0185554992090218</v>
      </c>
      <c r="BD29" s="22">
        <f>SUMIF(Emissions!$C$54:$C$69,'Emissions summary'!$C29,Emissions!BF$54:BF$69)</f>
        <v>9.0229323811104258</v>
      </c>
      <c r="BE29" s="22">
        <f>SUMIF(Emissions!$C$54:$C$69,'Emissions summary'!$C29,Emissions!BG$54:BG$69)</f>
        <v>9.0273092630118299</v>
      </c>
      <c r="BF29" s="22">
        <f>SUMIF(Emissions!$C$54:$C$69,'Emissions summary'!$C29,Emissions!BH$54:BH$69)</f>
        <v>9.0316861449132304</v>
      </c>
      <c r="BG29" s="22">
        <f>SUMIF(Emissions!$C$54:$C$69,'Emissions summary'!$C29,Emissions!BI$54:BI$69)</f>
        <v>9.0360630268146345</v>
      </c>
      <c r="BH29" s="22">
        <f>SUMIF(Emissions!$C$54:$C$69,'Emissions summary'!$C29,Emissions!BJ$54:BJ$69)</f>
        <v>9.0404399087160385</v>
      </c>
      <c r="BI29" s="22">
        <f>SUMIF(Emissions!$C$54:$C$69,'Emissions summary'!$C29,Emissions!BK$54:BK$69)</f>
        <v>9.0448167906174408</v>
      </c>
      <c r="BJ29" s="22">
        <f>SUMIF(Emissions!$C$54:$C$69,'Emissions summary'!$C29,Emissions!BL$54:BL$69)</f>
        <v>9.0491936725188431</v>
      </c>
      <c r="BK29" s="22">
        <f>SUMIF(Emissions!$C$54:$C$69,'Emissions summary'!$C29,Emissions!BM$54:BM$69)</f>
        <v>9.0535705544202454</v>
      </c>
      <c r="BL29" s="22">
        <f>SUMIF(Emissions!$C$54:$C$69,'Emissions summary'!$C29,Emissions!BN$54:BN$69)</f>
        <v>9.0579474363216477</v>
      </c>
      <c r="BM29" s="22">
        <f>SUMIF(Emissions!$C$54:$C$69,'Emissions summary'!$C29,Emissions!BO$54:BO$69)</f>
        <v>9.0623243182230517</v>
      </c>
      <c r="BN29" s="22">
        <f>SUMIF(Emissions!$C$54:$C$69,'Emissions summary'!$C29,Emissions!BP$54:BP$69)</f>
        <v>9.066701200124454</v>
      </c>
    </row>
    <row r="30" spans="1:66" x14ac:dyDescent="0.25">
      <c r="A30" t="str">
        <f t="shared" ref="A30:B46" si="19">A29</f>
        <v>3C Aggregated and non-CO2 emissions on land</v>
      </c>
      <c r="B30" t="str">
        <f t="shared" ref="B30:B33" si="20">B29</f>
        <v>3C1 Biomass burning (CH4)</v>
      </c>
      <c r="C30" t="str">
        <f>'IPCC Categories'!C61</f>
        <v>3C1c Biomass burning in Grasslands</v>
      </c>
      <c r="D30" t="str">
        <f t="shared" ref="D30:E33" si="21">D29</f>
        <v>CH4</v>
      </c>
      <c r="E30" t="str">
        <f t="shared" si="21"/>
        <v>Gg CH4</v>
      </c>
      <c r="F30" s="22">
        <f>SUMIF(Emissions!$C$54:$C$69,'Emissions summary'!$C30,Emissions!H$54:H$69)</f>
        <v>24.633908128575744</v>
      </c>
      <c r="G30" s="22">
        <f>SUMIF(Emissions!$C$54:$C$69,'Emissions summary'!$C30,Emissions!I$54:I$69)</f>
        <v>24.633908128575744</v>
      </c>
      <c r="H30" s="22">
        <f>SUMIF(Emissions!$C$54:$C$69,'Emissions summary'!$C30,Emissions!J$54:J$69)</f>
        <v>24.633908128575744</v>
      </c>
      <c r="I30" s="22">
        <f>SUMIF(Emissions!$C$54:$C$69,'Emissions summary'!$C30,Emissions!K$54:K$69)</f>
        <v>24.633908128575744</v>
      </c>
      <c r="J30" s="22">
        <f>SUMIF(Emissions!$C$54:$C$69,'Emissions summary'!$C30,Emissions!L$54:L$69)</f>
        <v>24.633908128575744</v>
      </c>
      <c r="K30" s="22">
        <f>SUMIF(Emissions!$C$54:$C$69,'Emissions summary'!$C30,Emissions!M$54:M$69)</f>
        <v>24.633908128575744</v>
      </c>
      <c r="L30" s="22">
        <f>SUMIF(Emissions!$C$54:$C$69,'Emissions summary'!$C30,Emissions!N$54:N$69)</f>
        <v>24.633908128575744</v>
      </c>
      <c r="M30" s="22">
        <f>SUMIF(Emissions!$C$54:$C$69,'Emissions summary'!$C30,Emissions!O$54:O$69)</f>
        <v>24.633908128575744</v>
      </c>
      <c r="N30" s="22">
        <f>SUMIF(Emissions!$C$54:$C$69,'Emissions summary'!$C30,Emissions!P$54:P$69)</f>
        <v>24.633908128575744</v>
      </c>
      <c r="O30" s="22">
        <f>SUMIF(Emissions!$C$54:$C$69,'Emissions summary'!$C30,Emissions!Q$54:Q$69)</f>
        <v>24.633908128575744</v>
      </c>
      <c r="P30" s="22">
        <f>SUMIF(Emissions!$C$54:$C$69,'Emissions summary'!$C30,Emissions!R$54:R$69)</f>
        <v>24.22100971223729</v>
      </c>
      <c r="Q30" s="22">
        <f>SUMIF(Emissions!$C$54:$C$69,'Emissions summary'!$C30,Emissions!S$54:S$69)</f>
        <v>27.159665944327305</v>
      </c>
      <c r="R30" s="22">
        <f>SUMIF(Emissions!$C$54:$C$69,'Emissions summary'!$C30,Emissions!T$54:T$69)</f>
        <v>29.557460778373962</v>
      </c>
      <c r="S30" s="22">
        <f>SUMIF(Emissions!$C$54:$C$69,'Emissions summary'!$C30,Emissions!U$54:U$69)</f>
        <v>22.967890703903489</v>
      </c>
      <c r="T30" s="22">
        <f>SUMIF(Emissions!$C$54:$C$69,'Emissions summary'!$C30,Emissions!V$54:V$69)</f>
        <v>19.263513504036663</v>
      </c>
      <c r="U30" s="22">
        <f>SUMIF(Emissions!$C$54:$C$69,'Emissions summary'!$C30,Emissions!W$54:W$69)</f>
        <v>29.989609054359072</v>
      </c>
      <c r="V30" s="22">
        <f>SUMIF(Emissions!$C$54:$C$69,'Emissions summary'!$C30,Emissions!X$54:X$69)</f>
        <v>26.44988664148541</v>
      </c>
      <c r="W30" s="22">
        <f>SUMIF(Emissions!$C$54:$C$69,'Emissions summary'!$C30,Emissions!Y$54:Y$69)</f>
        <v>24.310343671009509</v>
      </c>
      <c r="X30" s="22">
        <f>SUMIF(Emissions!$C$54:$C$69,'Emissions summary'!$C30,Emissions!Z$54:Z$69)</f>
        <v>23.321518510517112</v>
      </c>
      <c r="Y30" s="22">
        <f>SUMIF(Emissions!$C$54:$C$69,'Emissions summary'!$C30,Emissions!AA$54:AA$69)</f>
        <v>24.458614831490095</v>
      </c>
      <c r="Z30" s="22">
        <f>SUMIF(Emissions!$C$54:$C$69,'Emissions summary'!$C30,Emissions!AB$54:AB$69)</f>
        <v>24.608200366439995</v>
      </c>
      <c r="AA30" s="22">
        <f>SUMIF(Emissions!$C$54:$C$69,'Emissions summary'!$C30,Emissions!AC$54:AC$69)</f>
        <v>25.000606435391994</v>
      </c>
      <c r="AB30" s="22">
        <f>SUMIF(Emissions!$C$54:$C$69,'Emissions summary'!$C30,Emissions!AD$54:AD$69)</f>
        <v>22.490664653119122</v>
      </c>
      <c r="AC30" s="22">
        <f>SUMIF(Emissions!$C$54:$C$69,'Emissions summary'!$C30,Emissions!AE$54:AE$69)</f>
        <v>22.421024893087871</v>
      </c>
      <c r="AD30" s="22">
        <f>SUMIF(Emissions!$C$54:$C$69,'Emissions summary'!$C30,Emissions!AF$54:AF$69)</f>
        <v>22.351385133056617</v>
      </c>
      <c r="AE30" s="22">
        <f>SUMIF(Emissions!$C$54:$C$69,'Emissions summary'!$C30,Emissions!AG$54:AG$69)</f>
        <v>22.342845861300344</v>
      </c>
      <c r="AF30" s="22">
        <f>SUMIF(Emissions!$C$54:$C$69,'Emissions summary'!$C30,Emissions!AH$54:AH$69)</f>
        <v>22.334306589544067</v>
      </c>
      <c r="AG30" s="22">
        <f>SUMIF(Emissions!$C$54:$C$69,'Emissions summary'!$C30,Emissions!AI$54:AI$69)</f>
        <v>22.325767317787793</v>
      </c>
      <c r="AH30" s="22">
        <f>SUMIF(Emissions!$C$54:$C$69,'Emissions summary'!$C30,Emissions!AJ$54:AJ$69)</f>
        <v>22.31722804603152</v>
      </c>
      <c r="AI30" s="22">
        <f>SUMIF(Emissions!$C$54:$C$69,'Emissions summary'!$C30,Emissions!AK$54:AK$69)</f>
        <v>22.301458181944881</v>
      </c>
      <c r="AJ30" s="22">
        <f>SUMIF(Emissions!$C$54:$C$69,'Emissions summary'!$C30,Emissions!AL$54:AL$69)</f>
        <v>22.285688317858241</v>
      </c>
      <c r="AK30" s="22">
        <f>SUMIF(Emissions!$C$54:$C$69,'Emissions summary'!$C30,Emissions!AM$54:AM$69)</f>
        <v>22.269918453771602</v>
      </c>
      <c r="AL30" s="22">
        <f>SUMIF(Emissions!$C$54:$C$69,'Emissions summary'!$C30,Emissions!AN$54:AN$69)</f>
        <v>22.254148589684963</v>
      </c>
      <c r="AM30" s="22">
        <f>SUMIF(Emissions!$C$54:$C$69,'Emissions summary'!$C30,Emissions!AO$54:AO$69)</f>
        <v>22.238378725598327</v>
      </c>
      <c r="AN30" s="22">
        <f>SUMIF(Emissions!$C$54:$C$69,'Emissions summary'!$C30,Emissions!AP$54:AP$69)</f>
        <v>22.222608861511688</v>
      </c>
      <c r="AO30" s="22">
        <f>SUMIF(Emissions!$C$54:$C$69,'Emissions summary'!$C30,Emissions!AQ$54:AQ$69)</f>
        <v>22.206838997425052</v>
      </c>
      <c r="AP30" s="22">
        <f>SUMIF(Emissions!$C$54:$C$69,'Emissions summary'!$C30,Emissions!AR$54:AR$69)</f>
        <v>22.191069133338409</v>
      </c>
      <c r="AQ30" s="22">
        <f>SUMIF(Emissions!$C$54:$C$69,'Emissions summary'!$C30,Emissions!AS$54:AS$69)</f>
        <v>22.175299269251774</v>
      </c>
      <c r="AR30" s="22">
        <f>SUMIF(Emissions!$C$54:$C$69,'Emissions summary'!$C30,Emissions!AT$54:AT$69)</f>
        <v>22.159529405165138</v>
      </c>
      <c r="AS30" s="22">
        <f>SUMIF(Emissions!$C$54:$C$69,'Emissions summary'!$C30,Emissions!AU$54:AU$69)</f>
        <v>22.143759541078499</v>
      </c>
      <c r="AT30" s="22">
        <f>SUMIF(Emissions!$C$54:$C$69,'Emissions summary'!$C30,Emissions!AV$54:AV$69)</f>
        <v>22.127989676991856</v>
      </c>
      <c r="AU30" s="22">
        <f>SUMIF(Emissions!$C$54:$C$69,'Emissions summary'!$C30,Emissions!AW$54:AW$69)</f>
        <v>22.116922318154817</v>
      </c>
      <c r="AV30" s="22">
        <f>SUMIF(Emissions!$C$54:$C$69,'Emissions summary'!$C30,Emissions!AX$54:AX$69)</f>
        <v>22.105854959317774</v>
      </c>
      <c r="AW30" s="22">
        <f>SUMIF(Emissions!$C$54:$C$69,'Emissions summary'!$C30,Emissions!AY$54:AY$69)</f>
        <v>22.094787600480732</v>
      </c>
      <c r="AX30" s="22">
        <f>SUMIF(Emissions!$C$54:$C$69,'Emissions summary'!$C30,Emissions!AZ$54:AZ$69)</f>
        <v>22.083720241643693</v>
      </c>
      <c r="AY30" s="22">
        <f>SUMIF(Emissions!$C$54:$C$69,'Emissions summary'!$C30,Emissions!BA$54:BA$69)</f>
        <v>22.072652882806658</v>
      </c>
      <c r="AZ30" s="22">
        <f>SUMIF(Emissions!$C$54:$C$69,'Emissions summary'!$C30,Emissions!BB$54:BB$69)</f>
        <v>22.061585523969615</v>
      </c>
      <c r="BA30" s="22">
        <f>SUMIF(Emissions!$C$54:$C$69,'Emissions summary'!$C30,Emissions!BC$54:BC$69)</f>
        <v>22.050518165132573</v>
      </c>
      <c r="BB30" s="22">
        <f>SUMIF(Emissions!$C$54:$C$69,'Emissions summary'!$C30,Emissions!BD$54:BD$69)</f>
        <v>22.039450806295537</v>
      </c>
      <c r="BC30" s="22">
        <f>SUMIF(Emissions!$C$54:$C$69,'Emissions summary'!$C30,Emissions!BE$54:BE$69)</f>
        <v>22.028383447458495</v>
      </c>
      <c r="BD30" s="22">
        <f>SUMIF(Emissions!$C$54:$C$69,'Emissions summary'!$C30,Emissions!BF$54:BF$69)</f>
        <v>22.01731608862146</v>
      </c>
      <c r="BE30" s="22">
        <f>SUMIF(Emissions!$C$54:$C$69,'Emissions summary'!$C30,Emissions!BG$54:BG$69)</f>
        <v>22.006248729784424</v>
      </c>
      <c r="BF30" s="22">
        <f>SUMIF(Emissions!$C$54:$C$69,'Emissions summary'!$C30,Emissions!BH$54:BH$69)</f>
        <v>21.995181370947382</v>
      </c>
      <c r="BG30" s="22">
        <f>SUMIF(Emissions!$C$54:$C$69,'Emissions summary'!$C30,Emissions!BI$54:BI$69)</f>
        <v>21.984114012110343</v>
      </c>
      <c r="BH30" s="22">
        <f>SUMIF(Emissions!$C$54:$C$69,'Emissions summary'!$C30,Emissions!BJ$54:BJ$69)</f>
        <v>21.9730466532733</v>
      </c>
      <c r="BI30" s="22">
        <f>SUMIF(Emissions!$C$54:$C$69,'Emissions summary'!$C30,Emissions!BK$54:BK$69)</f>
        <v>21.961979294436262</v>
      </c>
      <c r="BJ30" s="22">
        <f>SUMIF(Emissions!$C$54:$C$69,'Emissions summary'!$C30,Emissions!BL$54:BL$69)</f>
        <v>21.950911935599226</v>
      </c>
      <c r="BK30" s="22">
        <f>SUMIF(Emissions!$C$54:$C$69,'Emissions summary'!$C30,Emissions!BM$54:BM$69)</f>
        <v>21.939844576762187</v>
      </c>
      <c r="BL30" s="22">
        <f>SUMIF(Emissions!$C$54:$C$69,'Emissions summary'!$C30,Emissions!BN$54:BN$69)</f>
        <v>21.928777217925148</v>
      </c>
      <c r="BM30" s="22">
        <f>SUMIF(Emissions!$C$54:$C$69,'Emissions summary'!$C30,Emissions!BO$54:BO$69)</f>
        <v>21.917709859088106</v>
      </c>
      <c r="BN30" s="22">
        <f>SUMIF(Emissions!$C$54:$C$69,'Emissions summary'!$C30,Emissions!BP$54:BP$69)</f>
        <v>21.906642500251071</v>
      </c>
    </row>
    <row r="31" spans="1:66" x14ac:dyDescent="0.25">
      <c r="A31" t="str">
        <f t="shared" si="19"/>
        <v>3C Aggregated and non-CO2 emissions on land</v>
      </c>
      <c r="B31" t="str">
        <f t="shared" si="20"/>
        <v>3C1 Biomass burning (CH4)</v>
      </c>
      <c r="C31" t="str">
        <f>'IPCC Categories'!C62</f>
        <v>3C1d Biomass burning in Wetlands</v>
      </c>
      <c r="D31" t="str">
        <f t="shared" si="21"/>
        <v>CH4</v>
      </c>
      <c r="E31" t="str">
        <f t="shared" si="21"/>
        <v>Gg CH4</v>
      </c>
      <c r="F31" s="22">
        <f>SUMIF(Emissions!$C$54:$C$69,'Emissions summary'!$C31,Emissions!H$54:H$69)</f>
        <v>0.80577517347341965</v>
      </c>
      <c r="G31" s="22">
        <f>SUMIF(Emissions!$C$54:$C$69,'Emissions summary'!$C31,Emissions!I$54:I$69)</f>
        <v>0.80577517347341965</v>
      </c>
      <c r="H31" s="22">
        <f>SUMIF(Emissions!$C$54:$C$69,'Emissions summary'!$C31,Emissions!J$54:J$69)</f>
        <v>0.80577517347341965</v>
      </c>
      <c r="I31" s="22">
        <f>SUMIF(Emissions!$C$54:$C$69,'Emissions summary'!$C31,Emissions!K$54:K$69)</f>
        <v>0.80577517347341965</v>
      </c>
      <c r="J31" s="22">
        <f>SUMIF(Emissions!$C$54:$C$69,'Emissions summary'!$C31,Emissions!L$54:L$69)</f>
        <v>0.80577517347341965</v>
      </c>
      <c r="K31" s="22">
        <f>SUMIF(Emissions!$C$54:$C$69,'Emissions summary'!$C31,Emissions!M$54:M$69)</f>
        <v>0.80577517347341965</v>
      </c>
      <c r="L31" s="22">
        <f>SUMIF(Emissions!$C$54:$C$69,'Emissions summary'!$C31,Emissions!N$54:N$69)</f>
        <v>0.80577517347341965</v>
      </c>
      <c r="M31" s="22">
        <f>SUMIF(Emissions!$C$54:$C$69,'Emissions summary'!$C31,Emissions!O$54:O$69)</f>
        <v>0.80577517347341965</v>
      </c>
      <c r="N31" s="22">
        <f>SUMIF(Emissions!$C$54:$C$69,'Emissions summary'!$C31,Emissions!P$54:P$69)</f>
        <v>0.80577517347341965</v>
      </c>
      <c r="O31" s="22">
        <f>SUMIF(Emissions!$C$54:$C$69,'Emissions summary'!$C31,Emissions!Q$54:Q$69)</f>
        <v>0.80577517347341965</v>
      </c>
      <c r="P31" s="22">
        <f>SUMIF(Emissions!$C$54:$C$69,'Emissions summary'!$C31,Emissions!R$54:R$69)</f>
        <v>0.71282120012392636</v>
      </c>
      <c r="Q31" s="22">
        <f>SUMIF(Emissions!$C$54:$C$69,'Emissions summary'!$C31,Emissions!S$54:S$69)</f>
        <v>0.86099923348302065</v>
      </c>
      <c r="R31" s="22">
        <f>SUMIF(Emissions!$C$54:$C$69,'Emissions summary'!$C31,Emissions!T$54:T$69)</f>
        <v>0.97458063350276725</v>
      </c>
      <c r="S31" s="22">
        <f>SUMIF(Emissions!$C$54:$C$69,'Emissions summary'!$C31,Emissions!U$54:U$69)</f>
        <v>0.79724568902749249</v>
      </c>
      <c r="T31" s="22">
        <f>SUMIF(Emissions!$C$54:$C$69,'Emissions summary'!$C31,Emissions!V$54:V$69)</f>
        <v>0.68322911122989261</v>
      </c>
      <c r="U31" s="22">
        <f>SUMIF(Emissions!$C$54:$C$69,'Emissions summary'!$C31,Emissions!W$54:W$69)</f>
        <v>1.0109179779535291</v>
      </c>
      <c r="V31" s="22">
        <f>SUMIF(Emissions!$C$54:$C$69,'Emissions summary'!$C31,Emissions!X$54:X$69)</f>
        <v>0.89733657793378252</v>
      </c>
      <c r="W31" s="22">
        <f>SUMIF(Emissions!$C$54:$C$69,'Emissions summary'!$C31,Emissions!Y$54:Y$69)</f>
        <v>0.79050043347076437</v>
      </c>
      <c r="X31" s="22">
        <f>SUMIF(Emissions!$C$54:$C$69,'Emissions summary'!$C31,Emissions!Z$54:Z$69)</f>
        <v>0.72087198901421468</v>
      </c>
      <c r="Y31" s="22">
        <f>SUMIF(Emissions!$C$54:$C$69,'Emissions summary'!$C31,Emissions!AA$54:AA$69)</f>
        <v>0.80964825569631549</v>
      </c>
      <c r="Z31" s="22">
        <f>SUMIF(Emissions!$C$54:$C$69,'Emissions summary'!$C31,Emissions!AB$54:AB$69)</f>
        <v>1.0836294956999997</v>
      </c>
      <c r="AA31" s="22">
        <f>SUMIF(Emissions!$C$54:$C$69,'Emissions summary'!$C31,Emissions!AC$54:AC$69)</f>
        <v>1.1703623921999995</v>
      </c>
      <c r="AB31" s="22">
        <f>SUMIF(Emissions!$C$54:$C$69,'Emissions summary'!$C31,Emissions!AD$54:AD$69)</f>
        <v>0.86319492850198365</v>
      </c>
      <c r="AC31" s="22">
        <f>SUMIF(Emissions!$C$54:$C$69,'Emissions summary'!$C31,Emissions!AE$54:AE$69)</f>
        <v>0.86319492850198365</v>
      </c>
      <c r="AD31" s="22">
        <f>SUMIF(Emissions!$C$54:$C$69,'Emissions summary'!$C31,Emissions!AF$54:AF$69)</f>
        <v>0.86319492850198365</v>
      </c>
      <c r="AE31" s="22">
        <f>SUMIF(Emissions!$C$54:$C$69,'Emissions summary'!$C31,Emissions!AG$54:AG$69)</f>
        <v>0.86319492850198365</v>
      </c>
      <c r="AF31" s="22">
        <f>SUMIF(Emissions!$C$54:$C$69,'Emissions summary'!$C31,Emissions!AH$54:AH$69)</f>
        <v>0.86319492850198365</v>
      </c>
      <c r="AG31" s="22">
        <f>SUMIF(Emissions!$C$54:$C$69,'Emissions summary'!$C31,Emissions!AI$54:AI$69)</f>
        <v>0.86319492850198365</v>
      </c>
      <c r="AH31" s="22">
        <f>SUMIF(Emissions!$C$54:$C$69,'Emissions summary'!$C31,Emissions!AJ$54:AJ$69)</f>
        <v>0.86319492850198365</v>
      </c>
      <c r="AI31" s="22">
        <f>SUMIF(Emissions!$C$54:$C$69,'Emissions summary'!$C31,Emissions!AK$54:AK$69)</f>
        <v>0.86319492850198365</v>
      </c>
      <c r="AJ31" s="22">
        <f>SUMIF(Emissions!$C$54:$C$69,'Emissions summary'!$C31,Emissions!AL$54:AL$69)</f>
        <v>0.86319492850198365</v>
      </c>
      <c r="AK31" s="22">
        <f>SUMIF(Emissions!$C$54:$C$69,'Emissions summary'!$C31,Emissions!AM$54:AM$69)</f>
        <v>0.86319492850198365</v>
      </c>
      <c r="AL31" s="22">
        <f>SUMIF(Emissions!$C$54:$C$69,'Emissions summary'!$C31,Emissions!AN$54:AN$69)</f>
        <v>0.86319492850198365</v>
      </c>
      <c r="AM31" s="22">
        <f>SUMIF(Emissions!$C$54:$C$69,'Emissions summary'!$C31,Emissions!AO$54:AO$69)</f>
        <v>0.86319492850198365</v>
      </c>
      <c r="AN31" s="22">
        <f>SUMIF(Emissions!$C$54:$C$69,'Emissions summary'!$C31,Emissions!AP$54:AP$69)</f>
        <v>0.86319492850198365</v>
      </c>
      <c r="AO31" s="22">
        <f>SUMIF(Emissions!$C$54:$C$69,'Emissions summary'!$C31,Emissions!AQ$54:AQ$69)</f>
        <v>0.86319492850198365</v>
      </c>
      <c r="AP31" s="22">
        <f>SUMIF(Emissions!$C$54:$C$69,'Emissions summary'!$C31,Emissions!AR$54:AR$69)</f>
        <v>0.86319492850198365</v>
      </c>
      <c r="AQ31" s="22">
        <f>SUMIF(Emissions!$C$54:$C$69,'Emissions summary'!$C31,Emissions!AS$54:AS$69)</f>
        <v>0.86319492850198365</v>
      </c>
      <c r="AR31" s="22">
        <f>SUMIF(Emissions!$C$54:$C$69,'Emissions summary'!$C31,Emissions!AT$54:AT$69)</f>
        <v>0.86319492850198365</v>
      </c>
      <c r="AS31" s="22">
        <f>SUMIF(Emissions!$C$54:$C$69,'Emissions summary'!$C31,Emissions!AU$54:AU$69)</f>
        <v>0.86319492850198365</v>
      </c>
      <c r="AT31" s="22">
        <f>SUMIF(Emissions!$C$54:$C$69,'Emissions summary'!$C31,Emissions!AV$54:AV$69)</f>
        <v>0.86319492850198365</v>
      </c>
      <c r="AU31" s="22">
        <f>SUMIF(Emissions!$C$54:$C$69,'Emissions summary'!$C31,Emissions!AW$54:AW$69)</f>
        <v>0.86319492850198365</v>
      </c>
      <c r="AV31" s="22">
        <f>SUMIF(Emissions!$C$54:$C$69,'Emissions summary'!$C31,Emissions!AX$54:AX$69)</f>
        <v>0.86319492850198365</v>
      </c>
      <c r="AW31" s="22">
        <f>SUMIF(Emissions!$C$54:$C$69,'Emissions summary'!$C31,Emissions!AY$54:AY$69)</f>
        <v>0.86319492850198365</v>
      </c>
      <c r="AX31" s="22">
        <f>SUMIF(Emissions!$C$54:$C$69,'Emissions summary'!$C31,Emissions!AZ$54:AZ$69)</f>
        <v>0.86319492850198365</v>
      </c>
      <c r="AY31" s="22">
        <f>SUMIF(Emissions!$C$54:$C$69,'Emissions summary'!$C31,Emissions!BA$54:BA$69)</f>
        <v>0.86319492850198365</v>
      </c>
      <c r="AZ31" s="22">
        <f>SUMIF(Emissions!$C$54:$C$69,'Emissions summary'!$C31,Emissions!BB$54:BB$69)</f>
        <v>0.86319492850198365</v>
      </c>
      <c r="BA31" s="22">
        <f>SUMIF(Emissions!$C$54:$C$69,'Emissions summary'!$C31,Emissions!BC$54:BC$69)</f>
        <v>0.86319492850198365</v>
      </c>
      <c r="BB31" s="22">
        <f>SUMIF(Emissions!$C$54:$C$69,'Emissions summary'!$C31,Emissions!BD$54:BD$69)</f>
        <v>0.86319492850198365</v>
      </c>
      <c r="BC31" s="22">
        <f>SUMIF(Emissions!$C$54:$C$69,'Emissions summary'!$C31,Emissions!BE$54:BE$69)</f>
        <v>0.86319492850198365</v>
      </c>
      <c r="BD31" s="22">
        <f>SUMIF(Emissions!$C$54:$C$69,'Emissions summary'!$C31,Emissions!BF$54:BF$69)</f>
        <v>0.86319492850198365</v>
      </c>
      <c r="BE31" s="22">
        <f>SUMIF(Emissions!$C$54:$C$69,'Emissions summary'!$C31,Emissions!BG$54:BG$69)</f>
        <v>0.86319492850198365</v>
      </c>
      <c r="BF31" s="22">
        <f>SUMIF(Emissions!$C$54:$C$69,'Emissions summary'!$C31,Emissions!BH$54:BH$69)</f>
        <v>0.86319492850198365</v>
      </c>
      <c r="BG31" s="22">
        <f>SUMIF(Emissions!$C$54:$C$69,'Emissions summary'!$C31,Emissions!BI$54:BI$69)</f>
        <v>0.86319492850198365</v>
      </c>
      <c r="BH31" s="22">
        <f>SUMIF(Emissions!$C$54:$C$69,'Emissions summary'!$C31,Emissions!BJ$54:BJ$69)</f>
        <v>0.86319492850198365</v>
      </c>
      <c r="BI31" s="22">
        <f>SUMIF(Emissions!$C$54:$C$69,'Emissions summary'!$C31,Emissions!BK$54:BK$69)</f>
        <v>0.86319492850198365</v>
      </c>
      <c r="BJ31" s="22">
        <f>SUMIF(Emissions!$C$54:$C$69,'Emissions summary'!$C31,Emissions!BL$54:BL$69)</f>
        <v>0.86319492850198365</v>
      </c>
      <c r="BK31" s="22">
        <f>SUMIF(Emissions!$C$54:$C$69,'Emissions summary'!$C31,Emissions!BM$54:BM$69)</f>
        <v>0.86319492850198365</v>
      </c>
      <c r="BL31" s="22">
        <f>SUMIF(Emissions!$C$54:$C$69,'Emissions summary'!$C31,Emissions!BN$54:BN$69)</f>
        <v>0.86319492850198365</v>
      </c>
      <c r="BM31" s="22">
        <f>SUMIF(Emissions!$C$54:$C$69,'Emissions summary'!$C31,Emissions!BO$54:BO$69)</f>
        <v>0.86319492850198365</v>
      </c>
      <c r="BN31" s="22">
        <f>SUMIF(Emissions!$C$54:$C$69,'Emissions summary'!$C31,Emissions!BP$54:BP$69)</f>
        <v>0.86319492850198365</v>
      </c>
    </row>
    <row r="32" spans="1:66" x14ac:dyDescent="0.25">
      <c r="A32" t="str">
        <f t="shared" si="19"/>
        <v>3C Aggregated and non-CO2 emissions on land</v>
      </c>
      <c r="B32" t="str">
        <f t="shared" si="20"/>
        <v>3C1 Biomass burning (CH4)</v>
      </c>
      <c r="C32" t="str">
        <f>'IPCC Categories'!C63</f>
        <v>3C1e Biomass burning in Settlements</v>
      </c>
      <c r="D32" t="str">
        <f t="shared" si="21"/>
        <v>CH4</v>
      </c>
      <c r="E32" t="str">
        <f t="shared" si="21"/>
        <v>Gg CH4</v>
      </c>
      <c r="F32" s="22">
        <f>SUMIF(Emissions!$C$54:$C$69,'Emissions summary'!$C32,Emissions!H$54:H$69)</f>
        <v>0.48879168008497798</v>
      </c>
      <c r="G32" s="22">
        <f>SUMIF(Emissions!$C$54:$C$69,'Emissions summary'!$C32,Emissions!I$54:I$69)</f>
        <v>0.48879168008497798</v>
      </c>
      <c r="H32" s="22">
        <f>SUMIF(Emissions!$C$54:$C$69,'Emissions summary'!$C32,Emissions!J$54:J$69)</f>
        <v>0.48879168008497798</v>
      </c>
      <c r="I32" s="22">
        <f>SUMIF(Emissions!$C$54:$C$69,'Emissions summary'!$C32,Emissions!K$54:K$69)</f>
        <v>0.48879168008497798</v>
      </c>
      <c r="J32" s="22">
        <f>SUMIF(Emissions!$C$54:$C$69,'Emissions summary'!$C32,Emissions!L$54:L$69)</f>
        <v>0.48879168008497798</v>
      </c>
      <c r="K32" s="22">
        <f>SUMIF(Emissions!$C$54:$C$69,'Emissions summary'!$C32,Emissions!M$54:M$69)</f>
        <v>0.48879168008497798</v>
      </c>
      <c r="L32" s="22">
        <f>SUMIF(Emissions!$C$54:$C$69,'Emissions summary'!$C32,Emissions!N$54:N$69)</f>
        <v>0.48879168008497798</v>
      </c>
      <c r="M32" s="22">
        <f>SUMIF(Emissions!$C$54:$C$69,'Emissions summary'!$C32,Emissions!O$54:O$69)</f>
        <v>0.48879168008497798</v>
      </c>
      <c r="N32" s="22">
        <f>SUMIF(Emissions!$C$54:$C$69,'Emissions summary'!$C32,Emissions!P$54:P$69)</f>
        <v>0.48879168008497798</v>
      </c>
      <c r="O32" s="22">
        <f>SUMIF(Emissions!$C$54:$C$69,'Emissions summary'!$C32,Emissions!Q$54:Q$69)</f>
        <v>0.48879168008497798</v>
      </c>
      <c r="P32" s="22">
        <f>SUMIF(Emissions!$C$54:$C$69,'Emissions summary'!$C32,Emissions!R$54:R$69)</f>
        <v>0.53244001120367745</v>
      </c>
      <c r="Q32" s="22">
        <f>SUMIF(Emissions!$C$54:$C$69,'Emissions summary'!$C32,Emissions!S$54:S$69)</f>
        <v>0.58966588899140415</v>
      </c>
      <c r="R32" s="22">
        <f>SUMIF(Emissions!$C$54:$C$69,'Emissions summary'!$C32,Emissions!T$54:T$69)</f>
        <v>0.52134297786841477</v>
      </c>
      <c r="S32" s="22">
        <f>SUMIF(Emissions!$C$54:$C$69,'Emissions summary'!$C32,Emissions!U$54:U$69)</f>
        <v>0.44975623341152487</v>
      </c>
      <c r="T32" s="22">
        <f>SUMIF(Emissions!$C$54:$C$69,'Emissions summary'!$C32,Emissions!V$54:V$69)</f>
        <v>0.35075328894986846</v>
      </c>
      <c r="U32" s="22">
        <f>SUMIF(Emissions!$C$54:$C$69,'Emissions summary'!$C32,Emissions!W$54:W$69)</f>
        <v>0.79419944458251857</v>
      </c>
      <c r="V32" s="22">
        <f>SUMIF(Emissions!$C$54:$C$69,'Emissions summary'!$C32,Emissions!X$54:X$69)</f>
        <v>0.69563167789871561</v>
      </c>
      <c r="W32" s="22">
        <f>SUMIF(Emissions!$C$54:$C$69,'Emissions summary'!$C32,Emissions!Y$54:Y$69)</f>
        <v>0.76939431124487268</v>
      </c>
      <c r="X32" s="22">
        <f>SUMIF(Emissions!$C$54:$C$69,'Emissions summary'!$C32,Emissions!Z$54:Z$69)</f>
        <v>0.47499654452702411</v>
      </c>
      <c r="Y32" s="22">
        <f>SUMIF(Emissions!$C$54:$C$69,'Emissions summary'!$C32,Emissions!AA$54:AA$69)</f>
        <v>0.5716060112104866</v>
      </c>
      <c r="Z32" s="22">
        <f>SUMIF(Emissions!$C$54:$C$69,'Emissions summary'!$C32,Emissions!AB$54:AB$69)</f>
        <v>0.42745793939999993</v>
      </c>
      <c r="AA32" s="22">
        <f>SUMIF(Emissions!$C$54:$C$69,'Emissions summary'!$C32,Emissions!AC$54:AC$69)</f>
        <v>0.29794462199999994</v>
      </c>
      <c r="AB32" s="22">
        <f>SUMIF(Emissions!$C$54:$C$69,'Emissions summary'!$C32,Emissions!AD$54:AD$69)</f>
        <v>0.42972240374246135</v>
      </c>
      <c r="AC32" s="22">
        <f>SUMIF(Emissions!$C$54:$C$69,'Emissions summary'!$C32,Emissions!AE$54:AE$69)</f>
        <v>0.43063058922924524</v>
      </c>
      <c r="AD32" s="22">
        <f>SUMIF(Emissions!$C$54:$C$69,'Emissions summary'!$C32,Emissions!AF$54:AF$69)</f>
        <v>0.43153877471602919</v>
      </c>
      <c r="AE32" s="22">
        <f>SUMIF(Emissions!$C$54:$C$69,'Emissions summary'!$C32,Emissions!AG$54:AG$69)</f>
        <v>0.43244696020281326</v>
      </c>
      <c r="AF32" s="22">
        <f>SUMIF(Emissions!$C$54:$C$69,'Emissions summary'!$C32,Emissions!AH$54:AH$69)</f>
        <v>0.43335514568959721</v>
      </c>
      <c r="AG32" s="22">
        <f>SUMIF(Emissions!$C$54:$C$69,'Emissions summary'!$C32,Emissions!AI$54:AI$69)</f>
        <v>0.43426333117638116</v>
      </c>
      <c r="AH32" s="22">
        <f>SUMIF(Emissions!$C$54:$C$69,'Emissions summary'!$C32,Emissions!AJ$54:AJ$69)</f>
        <v>0.43517151666316517</v>
      </c>
      <c r="AI32" s="22">
        <f>SUMIF(Emissions!$C$54:$C$69,'Emissions summary'!$C32,Emissions!AK$54:AK$69)</f>
        <v>0.43604518290887651</v>
      </c>
      <c r="AJ32" s="22">
        <f>SUMIF(Emissions!$C$54:$C$69,'Emissions summary'!$C32,Emissions!AL$54:AL$69)</f>
        <v>0.43691884915458773</v>
      </c>
      <c r="AK32" s="22">
        <f>SUMIF(Emissions!$C$54:$C$69,'Emissions summary'!$C32,Emissions!AM$54:AM$69)</f>
        <v>0.43779251540029912</v>
      </c>
      <c r="AL32" s="22">
        <f>SUMIF(Emissions!$C$54:$C$69,'Emissions summary'!$C32,Emissions!AN$54:AN$69)</f>
        <v>0.43866618164601046</v>
      </c>
      <c r="AM32" s="22">
        <f>SUMIF(Emissions!$C$54:$C$69,'Emissions summary'!$C32,Emissions!AO$54:AO$69)</f>
        <v>0.43953984789172174</v>
      </c>
      <c r="AN32" s="22">
        <f>SUMIF(Emissions!$C$54:$C$69,'Emissions summary'!$C32,Emissions!AP$54:AP$69)</f>
        <v>0.44041351413743302</v>
      </c>
      <c r="AO32" s="22">
        <f>SUMIF(Emissions!$C$54:$C$69,'Emissions summary'!$C32,Emissions!AQ$54:AQ$69)</f>
        <v>0.44128718038314435</v>
      </c>
      <c r="AP32" s="22">
        <f>SUMIF(Emissions!$C$54:$C$69,'Emissions summary'!$C32,Emissions!AR$54:AR$69)</f>
        <v>0.44216084662885569</v>
      </c>
      <c r="AQ32" s="22">
        <f>SUMIF(Emissions!$C$54:$C$69,'Emissions summary'!$C32,Emissions!AS$54:AS$69)</f>
        <v>0.44303451287456691</v>
      </c>
      <c r="AR32" s="22">
        <f>SUMIF(Emissions!$C$54:$C$69,'Emissions summary'!$C32,Emissions!AT$54:AT$69)</f>
        <v>0.44390817912027825</v>
      </c>
      <c r="AS32" s="22">
        <f>SUMIF(Emissions!$C$54:$C$69,'Emissions summary'!$C32,Emissions!AU$54:AU$69)</f>
        <v>0.44478184536598953</v>
      </c>
      <c r="AT32" s="22">
        <f>SUMIF(Emissions!$C$54:$C$69,'Emissions summary'!$C32,Emissions!AV$54:AV$69)</f>
        <v>0.44565551161170081</v>
      </c>
      <c r="AU32" s="22">
        <f>SUMIF(Emissions!$C$54:$C$69,'Emissions summary'!$C32,Emissions!AW$54:AW$69)</f>
        <v>0.44652917785741214</v>
      </c>
      <c r="AV32" s="22">
        <f>SUMIF(Emissions!$C$54:$C$69,'Emissions summary'!$C32,Emissions!AX$54:AX$69)</f>
        <v>0.44740284410312353</v>
      </c>
      <c r="AW32" s="22">
        <f>SUMIF(Emissions!$C$54:$C$69,'Emissions summary'!$C32,Emissions!AY$54:AY$69)</f>
        <v>0.4482765103488347</v>
      </c>
      <c r="AX32" s="22">
        <f>SUMIF(Emissions!$C$54:$C$69,'Emissions summary'!$C32,Emissions!AZ$54:AZ$69)</f>
        <v>0.44915017659454598</v>
      </c>
      <c r="AY32" s="22">
        <f>SUMIF(Emissions!$C$54:$C$69,'Emissions summary'!$C32,Emissions!BA$54:BA$69)</f>
        <v>0.45002384284025743</v>
      </c>
      <c r="AZ32" s="22">
        <f>SUMIF(Emissions!$C$54:$C$69,'Emissions summary'!$C32,Emissions!BB$54:BB$69)</f>
        <v>0.45089750908596871</v>
      </c>
      <c r="BA32" s="22">
        <f>SUMIF(Emissions!$C$54:$C$69,'Emissions summary'!$C32,Emissions!BC$54:BC$69)</f>
        <v>0.45177117533167999</v>
      </c>
      <c r="BB32" s="22">
        <f>SUMIF(Emissions!$C$54:$C$69,'Emissions summary'!$C32,Emissions!BD$54:BD$69)</f>
        <v>0.45264484157739138</v>
      </c>
      <c r="BC32" s="22">
        <f>SUMIF(Emissions!$C$54:$C$69,'Emissions summary'!$C32,Emissions!BE$54:BE$69)</f>
        <v>0.4535185078231026</v>
      </c>
      <c r="BD32" s="22">
        <f>SUMIF(Emissions!$C$54:$C$69,'Emissions summary'!$C32,Emissions!BF$54:BF$69)</f>
        <v>0.45439217406881388</v>
      </c>
      <c r="BE32" s="22">
        <f>SUMIF(Emissions!$C$54:$C$69,'Emissions summary'!$C32,Emissions!BG$54:BG$69)</f>
        <v>0.45526584031452527</v>
      </c>
      <c r="BF32" s="22">
        <f>SUMIF(Emissions!$C$54:$C$69,'Emissions summary'!$C32,Emissions!BH$54:BH$69)</f>
        <v>0.45613950656023655</v>
      </c>
      <c r="BG32" s="22">
        <f>SUMIF(Emissions!$C$54:$C$69,'Emissions summary'!$C32,Emissions!BI$54:BI$69)</f>
        <v>0.45701317280594789</v>
      </c>
      <c r="BH32" s="22">
        <f>SUMIF(Emissions!$C$54:$C$69,'Emissions summary'!$C32,Emissions!BJ$54:BJ$69)</f>
        <v>0.45788683905165917</v>
      </c>
      <c r="BI32" s="22">
        <f>SUMIF(Emissions!$C$54:$C$69,'Emissions summary'!$C32,Emissions!BK$54:BK$69)</f>
        <v>0.45876050529737045</v>
      </c>
      <c r="BJ32" s="22">
        <f>SUMIF(Emissions!$C$54:$C$69,'Emissions summary'!$C32,Emissions!BL$54:BL$69)</f>
        <v>0.45963417154308178</v>
      </c>
      <c r="BK32" s="22">
        <f>SUMIF(Emissions!$C$54:$C$69,'Emissions summary'!$C32,Emissions!BM$54:BM$69)</f>
        <v>0.46050783778879306</v>
      </c>
      <c r="BL32" s="22">
        <f>SUMIF(Emissions!$C$54:$C$69,'Emissions summary'!$C32,Emissions!BN$54:BN$69)</f>
        <v>0.4613815040345044</v>
      </c>
      <c r="BM32" s="22">
        <f>SUMIF(Emissions!$C$54:$C$69,'Emissions summary'!$C32,Emissions!BO$54:BO$69)</f>
        <v>0.46225517028021573</v>
      </c>
      <c r="BN32" s="22">
        <f>SUMIF(Emissions!$C$54:$C$69,'Emissions summary'!$C32,Emissions!BP$54:BP$69)</f>
        <v>0.46312883652592701</v>
      </c>
    </row>
    <row r="33" spans="1:66" x14ac:dyDescent="0.25">
      <c r="A33" t="str">
        <f t="shared" si="19"/>
        <v>3C Aggregated and non-CO2 emissions on land</v>
      </c>
      <c r="B33" t="str">
        <f t="shared" si="20"/>
        <v>3C1 Biomass burning (CH4)</v>
      </c>
      <c r="C33" t="str">
        <f>'IPCC Categories'!C64</f>
        <v>3C1f Biomass burning in Other lands</v>
      </c>
      <c r="D33" t="str">
        <f t="shared" si="21"/>
        <v>CH4</v>
      </c>
      <c r="E33" t="str">
        <f t="shared" si="21"/>
        <v>Gg CH4</v>
      </c>
      <c r="F33" s="22">
        <f>SUMIF(Emissions!$C$54:$C$69,'Emissions summary'!$C33,Emissions!H$54:H$69)</f>
        <v>0</v>
      </c>
      <c r="G33" s="22">
        <f>SUMIF(Emissions!$C$54:$C$69,'Emissions summary'!$C33,Emissions!I$54:I$69)</f>
        <v>0</v>
      </c>
      <c r="H33" s="22">
        <f>SUMIF(Emissions!$C$54:$C$69,'Emissions summary'!$C33,Emissions!J$54:J$69)</f>
        <v>0</v>
      </c>
      <c r="I33" s="22">
        <f>SUMIF(Emissions!$C$54:$C$69,'Emissions summary'!$C33,Emissions!K$54:K$69)</f>
        <v>0</v>
      </c>
      <c r="J33" s="22">
        <f>SUMIF(Emissions!$C$54:$C$69,'Emissions summary'!$C33,Emissions!L$54:L$69)</f>
        <v>0</v>
      </c>
      <c r="K33" s="22">
        <f>SUMIF(Emissions!$C$54:$C$69,'Emissions summary'!$C33,Emissions!M$54:M$69)</f>
        <v>0</v>
      </c>
      <c r="L33" s="22">
        <f>SUMIF(Emissions!$C$54:$C$69,'Emissions summary'!$C33,Emissions!N$54:N$69)</f>
        <v>0</v>
      </c>
      <c r="M33" s="22">
        <f>SUMIF(Emissions!$C$54:$C$69,'Emissions summary'!$C33,Emissions!O$54:O$69)</f>
        <v>0</v>
      </c>
      <c r="N33" s="22">
        <f>SUMIF(Emissions!$C$54:$C$69,'Emissions summary'!$C33,Emissions!P$54:P$69)</f>
        <v>0</v>
      </c>
      <c r="O33" s="22">
        <f>SUMIF(Emissions!$C$54:$C$69,'Emissions summary'!$C33,Emissions!Q$54:Q$69)</f>
        <v>0</v>
      </c>
      <c r="P33" s="22">
        <f>SUMIF(Emissions!$C$54:$C$69,'Emissions summary'!$C33,Emissions!R$54:R$69)</f>
        <v>0</v>
      </c>
      <c r="Q33" s="22">
        <f>SUMIF(Emissions!$C$54:$C$69,'Emissions summary'!$C33,Emissions!S$54:S$69)</f>
        <v>0</v>
      </c>
      <c r="R33" s="22">
        <f>SUMIF(Emissions!$C$54:$C$69,'Emissions summary'!$C33,Emissions!T$54:T$69)</f>
        <v>0</v>
      </c>
      <c r="S33" s="22">
        <f>SUMIF(Emissions!$C$54:$C$69,'Emissions summary'!$C33,Emissions!U$54:U$69)</f>
        <v>0</v>
      </c>
      <c r="T33" s="22">
        <f>SUMIF(Emissions!$C$54:$C$69,'Emissions summary'!$C33,Emissions!V$54:V$69)</f>
        <v>0</v>
      </c>
      <c r="U33" s="22">
        <f>SUMIF(Emissions!$C$54:$C$69,'Emissions summary'!$C33,Emissions!W$54:W$69)</f>
        <v>0</v>
      </c>
      <c r="V33" s="22">
        <f>SUMIF(Emissions!$C$54:$C$69,'Emissions summary'!$C33,Emissions!X$54:X$69)</f>
        <v>0</v>
      </c>
      <c r="W33" s="22">
        <f>SUMIF(Emissions!$C$54:$C$69,'Emissions summary'!$C33,Emissions!Y$54:Y$69)</f>
        <v>0</v>
      </c>
      <c r="X33" s="22">
        <f>SUMIF(Emissions!$C$54:$C$69,'Emissions summary'!$C33,Emissions!Z$54:Z$69)</f>
        <v>0</v>
      </c>
      <c r="Y33" s="22">
        <f>SUMIF(Emissions!$C$54:$C$69,'Emissions summary'!$C33,Emissions!AA$54:AA$69)</f>
        <v>0</v>
      </c>
      <c r="Z33" s="22">
        <f>SUMIF(Emissions!$C$54:$C$69,'Emissions summary'!$C33,Emissions!AB$54:AB$69)</f>
        <v>0</v>
      </c>
      <c r="AA33" s="22">
        <f>SUMIF(Emissions!$C$54:$C$69,'Emissions summary'!$C33,Emissions!AC$54:AC$69)</f>
        <v>0</v>
      </c>
      <c r="AB33" s="22">
        <f>SUMIF(Emissions!$C$54:$C$69,'Emissions summary'!$C33,Emissions!AD$54:AD$69)</f>
        <v>0</v>
      </c>
      <c r="AC33" s="22">
        <f>SUMIF(Emissions!$C$54:$C$69,'Emissions summary'!$C33,Emissions!AE$54:AE$69)</f>
        <v>0</v>
      </c>
      <c r="AD33" s="22">
        <f>SUMIF(Emissions!$C$54:$C$69,'Emissions summary'!$C33,Emissions!AF$54:AF$69)</f>
        <v>0</v>
      </c>
      <c r="AE33" s="22">
        <f>SUMIF(Emissions!$C$54:$C$69,'Emissions summary'!$C33,Emissions!AG$54:AG$69)</f>
        <v>0</v>
      </c>
      <c r="AF33" s="22">
        <f>SUMIF(Emissions!$C$54:$C$69,'Emissions summary'!$C33,Emissions!AH$54:AH$69)</f>
        <v>0</v>
      </c>
      <c r="AG33" s="22">
        <f>SUMIF(Emissions!$C$54:$C$69,'Emissions summary'!$C33,Emissions!AI$54:AI$69)</f>
        <v>0</v>
      </c>
      <c r="AH33" s="22">
        <f>SUMIF(Emissions!$C$54:$C$69,'Emissions summary'!$C33,Emissions!AJ$54:AJ$69)</f>
        <v>0</v>
      </c>
      <c r="AI33" s="22">
        <f>SUMIF(Emissions!$C$54:$C$69,'Emissions summary'!$C33,Emissions!AK$54:AK$69)</f>
        <v>0</v>
      </c>
      <c r="AJ33" s="22">
        <f>SUMIF(Emissions!$C$54:$C$69,'Emissions summary'!$C33,Emissions!AL$54:AL$69)</f>
        <v>0</v>
      </c>
      <c r="AK33" s="22">
        <f>SUMIF(Emissions!$C$54:$C$69,'Emissions summary'!$C33,Emissions!AM$54:AM$69)</f>
        <v>0</v>
      </c>
      <c r="AL33" s="22">
        <f>SUMIF(Emissions!$C$54:$C$69,'Emissions summary'!$C33,Emissions!AN$54:AN$69)</f>
        <v>0</v>
      </c>
      <c r="AM33" s="22">
        <f>SUMIF(Emissions!$C$54:$C$69,'Emissions summary'!$C33,Emissions!AO$54:AO$69)</f>
        <v>0</v>
      </c>
      <c r="AN33" s="22">
        <f>SUMIF(Emissions!$C$54:$C$69,'Emissions summary'!$C33,Emissions!AP$54:AP$69)</f>
        <v>0</v>
      </c>
      <c r="AO33" s="22">
        <f>SUMIF(Emissions!$C$54:$C$69,'Emissions summary'!$C33,Emissions!AQ$54:AQ$69)</f>
        <v>0</v>
      </c>
      <c r="AP33" s="22">
        <f>SUMIF(Emissions!$C$54:$C$69,'Emissions summary'!$C33,Emissions!AR$54:AR$69)</f>
        <v>0</v>
      </c>
      <c r="AQ33" s="22">
        <f>SUMIF(Emissions!$C$54:$C$69,'Emissions summary'!$C33,Emissions!AS$54:AS$69)</f>
        <v>0</v>
      </c>
      <c r="AR33" s="22">
        <f>SUMIF(Emissions!$C$54:$C$69,'Emissions summary'!$C33,Emissions!AT$54:AT$69)</f>
        <v>0</v>
      </c>
      <c r="AS33" s="22">
        <f>SUMIF(Emissions!$C$54:$C$69,'Emissions summary'!$C33,Emissions!AU$54:AU$69)</f>
        <v>0</v>
      </c>
      <c r="AT33" s="22">
        <f>SUMIF(Emissions!$C$54:$C$69,'Emissions summary'!$C33,Emissions!AV$54:AV$69)</f>
        <v>0</v>
      </c>
      <c r="AU33" s="22">
        <f>SUMIF(Emissions!$C$54:$C$69,'Emissions summary'!$C33,Emissions!AW$54:AW$69)</f>
        <v>0</v>
      </c>
      <c r="AV33" s="22">
        <f>SUMIF(Emissions!$C$54:$C$69,'Emissions summary'!$C33,Emissions!AX$54:AX$69)</f>
        <v>0</v>
      </c>
      <c r="AW33" s="22">
        <f>SUMIF(Emissions!$C$54:$C$69,'Emissions summary'!$C33,Emissions!AY$54:AY$69)</f>
        <v>0</v>
      </c>
      <c r="AX33" s="22">
        <f>SUMIF(Emissions!$C$54:$C$69,'Emissions summary'!$C33,Emissions!AZ$54:AZ$69)</f>
        <v>0</v>
      </c>
      <c r="AY33" s="22">
        <f>SUMIF(Emissions!$C$54:$C$69,'Emissions summary'!$C33,Emissions!BA$54:BA$69)</f>
        <v>0</v>
      </c>
      <c r="AZ33" s="22">
        <f>SUMIF(Emissions!$C$54:$C$69,'Emissions summary'!$C33,Emissions!BB$54:BB$69)</f>
        <v>0</v>
      </c>
      <c r="BA33" s="22">
        <f>SUMIF(Emissions!$C$54:$C$69,'Emissions summary'!$C33,Emissions!BC$54:BC$69)</f>
        <v>0</v>
      </c>
      <c r="BB33" s="22">
        <f>SUMIF(Emissions!$C$54:$C$69,'Emissions summary'!$C33,Emissions!BD$54:BD$69)</f>
        <v>0</v>
      </c>
      <c r="BC33" s="22">
        <f>SUMIF(Emissions!$C$54:$C$69,'Emissions summary'!$C33,Emissions!BE$54:BE$69)</f>
        <v>0</v>
      </c>
      <c r="BD33" s="22">
        <f>SUMIF(Emissions!$C$54:$C$69,'Emissions summary'!$C33,Emissions!BF$54:BF$69)</f>
        <v>0</v>
      </c>
      <c r="BE33" s="22">
        <f>SUMIF(Emissions!$C$54:$C$69,'Emissions summary'!$C33,Emissions!BG$54:BG$69)</f>
        <v>0</v>
      </c>
      <c r="BF33" s="22">
        <f>SUMIF(Emissions!$C$54:$C$69,'Emissions summary'!$C33,Emissions!BH$54:BH$69)</f>
        <v>0</v>
      </c>
      <c r="BG33" s="22">
        <f>SUMIF(Emissions!$C$54:$C$69,'Emissions summary'!$C33,Emissions!BI$54:BI$69)</f>
        <v>0</v>
      </c>
      <c r="BH33" s="22">
        <f>SUMIF(Emissions!$C$54:$C$69,'Emissions summary'!$C33,Emissions!BJ$54:BJ$69)</f>
        <v>0</v>
      </c>
      <c r="BI33" s="22">
        <f>SUMIF(Emissions!$C$54:$C$69,'Emissions summary'!$C33,Emissions!BK$54:BK$69)</f>
        <v>0</v>
      </c>
      <c r="BJ33" s="22">
        <f>SUMIF(Emissions!$C$54:$C$69,'Emissions summary'!$C33,Emissions!BL$54:BL$69)</f>
        <v>0</v>
      </c>
      <c r="BK33" s="22">
        <f>SUMIF(Emissions!$C$54:$C$69,'Emissions summary'!$C33,Emissions!BM$54:BM$69)</f>
        <v>0</v>
      </c>
      <c r="BL33" s="22">
        <f>SUMIF(Emissions!$C$54:$C$69,'Emissions summary'!$C33,Emissions!BN$54:BN$69)</f>
        <v>0</v>
      </c>
      <c r="BM33" s="22">
        <f>SUMIF(Emissions!$C$54:$C$69,'Emissions summary'!$C33,Emissions!BO$54:BO$69)</f>
        <v>0</v>
      </c>
      <c r="BN33" s="22">
        <f>SUMIF(Emissions!$C$54:$C$69,'Emissions summary'!$C33,Emissions!BP$54:BP$69)</f>
        <v>0</v>
      </c>
    </row>
    <row r="34" spans="1:66" s="19" customFormat="1" ht="15.75" x14ac:dyDescent="0.25">
      <c r="A34" s="19" t="str">
        <f t="shared" si="19"/>
        <v>3C Aggregated and non-CO2 emissions on land</v>
      </c>
      <c r="B34" s="19" t="str">
        <f>'IPCC Categories'!B65</f>
        <v>3C1 Biomass burning (N2O)</v>
      </c>
      <c r="C34" s="19" t="s">
        <v>148</v>
      </c>
      <c r="D34" s="19" t="s">
        <v>139</v>
      </c>
      <c r="E34" s="19" t="s">
        <v>287</v>
      </c>
      <c r="F34" s="49">
        <f>SUM(F35:F40)</f>
        <v>3.7075879357894523</v>
      </c>
      <c r="G34" s="49">
        <f t="shared" ref="G34:BN34" si="22">SUM(G35:G40)</f>
        <v>3.7075879357894523</v>
      </c>
      <c r="H34" s="49">
        <f t="shared" si="22"/>
        <v>3.7075879357894523</v>
      </c>
      <c r="I34" s="49">
        <f t="shared" si="22"/>
        <v>3.7075879357894523</v>
      </c>
      <c r="J34" s="49">
        <f t="shared" si="22"/>
        <v>3.7075879357894523</v>
      </c>
      <c r="K34" s="49">
        <f t="shared" si="22"/>
        <v>3.7075879357894523</v>
      </c>
      <c r="L34" s="49">
        <f t="shared" si="22"/>
        <v>3.7075879357894523</v>
      </c>
      <c r="M34" s="49">
        <f t="shared" si="22"/>
        <v>3.7075879357894523</v>
      </c>
      <c r="N34" s="49">
        <f t="shared" si="22"/>
        <v>3.7075879357894523</v>
      </c>
      <c r="O34" s="49">
        <f t="shared" si="22"/>
        <v>3.7075879357894523</v>
      </c>
      <c r="P34" s="49">
        <f t="shared" si="22"/>
        <v>3.6718973949162081</v>
      </c>
      <c r="Q34" s="49">
        <f t="shared" si="22"/>
        <v>4.3479436666429772</v>
      </c>
      <c r="R34" s="49">
        <f t="shared" si="22"/>
        <v>4.2850613259475647</v>
      </c>
      <c r="S34" s="49">
        <f t="shared" si="22"/>
        <v>3.282468107830713</v>
      </c>
      <c r="T34" s="49">
        <f t="shared" si="22"/>
        <v>2.9505691836097965</v>
      </c>
      <c r="U34" s="49">
        <f t="shared" si="22"/>
        <v>4.6706814433352601</v>
      </c>
      <c r="V34" s="49">
        <f t="shared" si="22"/>
        <v>4.0754902880758053</v>
      </c>
      <c r="W34" s="49">
        <f t="shared" si="22"/>
        <v>3.9272122256664277</v>
      </c>
      <c r="X34" s="49">
        <f t="shared" si="22"/>
        <v>3.8070383668685825</v>
      </c>
      <c r="Y34" s="49">
        <f t="shared" si="22"/>
        <v>3.574643820819225</v>
      </c>
      <c r="Z34" s="49">
        <f t="shared" si="22"/>
        <v>3.6185702919300007</v>
      </c>
      <c r="AA34" s="49">
        <f t="shared" si="22"/>
        <v>3.5841393659915992</v>
      </c>
      <c r="AB34" s="49">
        <f t="shared" si="22"/>
        <v>3.1109287286368983</v>
      </c>
      <c r="AC34" s="49">
        <f t="shared" si="22"/>
        <v>3.2100550107687202</v>
      </c>
      <c r="AD34" s="49">
        <f t="shared" si="22"/>
        <v>3.1649586689005429</v>
      </c>
      <c r="AE34" s="49">
        <f t="shared" si="22"/>
        <v>3.1254051486539982</v>
      </c>
      <c r="AF34" s="49">
        <f t="shared" si="22"/>
        <v>3.1451166524074545</v>
      </c>
      <c r="AG34" s="49">
        <f t="shared" si="22"/>
        <v>3.1618841241609097</v>
      </c>
      <c r="AH34" s="49">
        <f t="shared" si="22"/>
        <v>3.1618522679143655</v>
      </c>
      <c r="AI34" s="49">
        <f t="shared" si="22"/>
        <v>3.1614326369211287</v>
      </c>
      <c r="AJ34" s="49">
        <f t="shared" si="22"/>
        <v>3.1610130059278925</v>
      </c>
      <c r="AK34" s="49">
        <f t="shared" si="22"/>
        <v>3.1605933749346558</v>
      </c>
      <c r="AL34" s="49">
        <f t="shared" si="22"/>
        <v>3.1601737439414195</v>
      </c>
      <c r="AM34" s="49">
        <f t="shared" si="22"/>
        <v>3.1597541129481828</v>
      </c>
      <c r="AN34" s="49">
        <f t="shared" si="22"/>
        <v>3.1593344819549465</v>
      </c>
      <c r="AO34" s="49">
        <f t="shared" si="22"/>
        <v>3.1589148509617102</v>
      </c>
      <c r="AP34" s="49">
        <f t="shared" si="22"/>
        <v>3.158495219968473</v>
      </c>
      <c r="AQ34" s="49">
        <f t="shared" si="22"/>
        <v>3.1580755889752372</v>
      </c>
      <c r="AR34" s="49">
        <f t="shared" si="22"/>
        <v>3.1576559579820009</v>
      </c>
      <c r="AS34" s="49">
        <f t="shared" si="22"/>
        <v>3.1572363269887642</v>
      </c>
      <c r="AT34" s="49">
        <f t="shared" si="22"/>
        <v>3.1568166959955275</v>
      </c>
      <c r="AU34" s="49">
        <f t="shared" si="22"/>
        <v>3.1558208771598668</v>
      </c>
      <c r="AV34" s="49">
        <f t="shared" si="22"/>
        <v>3.1548250583242061</v>
      </c>
      <c r="AW34" s="49">
        <f t="shared" si="22"/>
        <v>3.153829239488545</v>
      </c>
      <c r="AX34" s="49">
        <f t="shared" si="22"/>
        <v>3.1528334206528839</v>
      </c>
      <c r="AY34" s="49">
        <f t="shared" si="22"/>
        <v>3.1518376018172232</v>
      </c>
      <c r="AZ34" s="49">
        <f t="shared" si="22"/>
        <v>3.1508417829815629</v>
      </c>
      <c r="BA34" s="49">
        <f t="shared" si="22"/>
        <v>3.1498459641459018</v>
      </c>
      <c r="BB34" s="49">
        <f t="shared" si="22"/>
        <v>3.1488501453102407</v>
      </c>
      <c r="BC34" s="49">
        <f t="shared" si="22"/>
        <v>3.1476262077595245</v>
      </c>
      <c r="BD34" s="49">
        <f t="shared" si="22"/>
        <v>3.1464022702088092</v>
      </c>
      <c r="BE34" s="49">
        <f t="shared" si="22"/>
        <v>3.1451783326580935</v>
      </c>
      <c r="BF34" s="49">
        <f t="shared" si="22"/>
        <v>3.143954395107377</v>
      </c>
      <c r="BG34" s="49">
        <f t="shared" si="22"/>
        <v>3.1427304575566612</v>
      </c>
      <c r="BH34" s="49">
        <f t="shared" si="22"/>
        <v>3.1415065200059455</v>
      </c>
      <c r="BI34" s="49">
        <f t="shared" si="22"/>
        <v>3.1402825824552294</v>
      </c>
      <c r="BJ34" s="49">
        <f t="shared" si="22"/>
        <v>3.1390586449045137</v>
      </c>
      <c r="BK34" s="49">
        <f t="shared" si="22"/>
        <v>3.1378347073537971</v>
      </c>
      <c r="BL34" s="49">
        <f t="shared" si="22"/>
        <v>3.1366107698030814</v>
      </c>
      <c r="BM34" s="49">
        <f t="shared" si="22"/>
        <v>3.1353868322523653</v>
      </c>
      <c r="BN34" s="49">
        <f t="shared" si="22"/>
        <v>3.13416289470165</v>
      </c>
    </row>
    <row r="35" spans="1:66" x14ac:dyDescent="0.25">
      <c r="A35" t="str">
        <f>A33</f>
        <v>3C Aggregated and non-CO2 emissions on land</v>
      </c>
      <c r="B35" t="str">
        <f>'IPCC Categories'!B65</f>
        <v>3C1 Biomass burning (N2O)</v>
      </c>
      <c r="C35" t="str">
        <f>'IPCC Categories'!C65</f>
        <v>3C1a Biomass burning in forest land</v>
      </c>
      <c r="D35" t="s">
        <v>139</v>
      </c>
      <c r="E35" t="s">
        <v>287</v>
      </c>
      <c r="F35" s="22">
        <f>SUMIF(Emissions!$C$70:$C$85,'Emissions summary'!$C35,Emissions!H$70:H$85)</f>
        <v>1.1438763741385864</v>
      </c>
      <c r="G35" s="22">
        <f>SUMIF(Emissions!$C$70:$C$85,'Emissions summary'!$C35,Emissions!I$70:I$85)</f>
        <v>1.1438763741385864</v>
      </c>
      <c r="H35" s="22">
        <f>SUMIF(Emissions!$C$70:$C$85,'Emissions summary'!$C35,Emissions!J$70:J$85)</f>
        <v>1.1438763741385864</v>
      </c>
      <c r="I35" s="22">
        <f>SUMIF(Emissions!$C$70:$C$85,'Emissions summary'!$C35,Emissions!K$70:K$85)</f>
        <v>1.1438763741385864</v>
      </c>
      <c r="J35" s="22">
        <f>SUMIF(Emissions!$C$70:$C$85,'Emissions summary'!$C35,Emissions!L$70:L$85)</f>
        <v>1.1438763741385864</v>
      </c>
      <c r="K35" s="22">
        <f>SUMIF(Emissions!$C$70:$C$85,'Emissions summary'!$C35,Emissions!M$70:M$85)</f>
        <v>1.1438763741385864</v>
      </c>
      <c r="L35" s="22">
        <f>SUMIF(Emissions!$C$70:$C$85,'Emissions summary'!$C35,Emissions!N$70:N$85)</f>
        <v>1.1438763741385864</v>
      </c>
      <c r="M35" s="22">
        <f>SUMIF(Emissions!$C$70:$C$85,'Emissions summary'!$C35,Emissions!O$70:O$85)</f>
        <v>1.1438763741385864</v>
      </c>
      <c r="N35" s="22">
        <f>SUMIF(Emissions!$C$70:$C$85,'Emissions summary'!$C35,Emissions!P$70:P$85)</f>
        <v>1.1438763741385864</v>
      </c>
      <c r="O35" s="22">
        <f>SUMIF(Emissions!$C$70:$C$85,'Emissions summary'!$C35,Emissions!Q$70:Q$85)</f>
        <v>1.1438763741385864</v>
      </c>
      <c r="P35" s="22">
        <f>SUMIF(Emissions!$C$70:$C$85,'Emissions summary'!$C35,Emissions!R$70:R$85)</f>
        <v>1.129665625804974</v>
      </c>
      <c r="Q35" s="22">
        <f>SUMIF(Emissions!$C$70:$C$85,'Emissions summary'!$C35,Emissions!S$70:S$85)</f>
        <v>1.5001940667446125</v>
      </c>
      <c r="R35" s="22">
        <f>SUMIF(Emissions!$C$70:$C$85,'Emissions summary'!$C35,Emissions!T$70:T$85)</f>
        <v>1.2536062459262034</v>
      </c>
      <c r="S35" s="22">
        <f>SUMIF(Emissions!$C$70:$C$85,'Emissions summary'!$C35,Emissions!U$70:U$85)</f>
        <v>0.90130843582112352</v>
      </c>
      <c r="T35" s="22">
        <f>SUMIF(Emissions!$C$70:$C$85,'Emissions summary'!$C35,Emissions!V$70:V$85)</f>
        <v>0.93460749639601826</v>
      </c>
      <c r="U35" s="22">
        <f>SUMIF(Emissions!$C$70:$C$85,'Emissions summary'!$C35,Emissions!W$70:W$85)</f>
        <v>1.4818082671125721</v>
      </c>
      <c r="V35" s="22">
        <f>SUMIF(Emissions!$C$70:$C$85,'Emissions summary'!$C35,Emissions!X$70:X$85)</f>
        <v>1.2335191780721162</v>
      </c>
      <c r="W35" s="22">
        <f>SUMIF(Emissions!$C$70:$C$85,'Emissions summary'!$C35,Emissions!Y$70:Y$85)</f>
        <v>1.3425917486681966</v>
      </c>
      <c r="X35" s="22">
        <f>SUMIF(Emissions!$C$70:$C$85,'Emissions summary'!$C35,Emissions!Z$70:Z$85)</f>
        <v>1.3834411759926073</v>
      </c>
      <c r="Y35" s="22">
        <f>SUMIF(Emissions!$C$70:$C$85,'Emissions summary'!$C35,Emissions!AA$70:AA$85)</f>
        <v>1.0406581288181318</v>
      </c>
      <c r="Z35" s="22">
        <f>SUMIF(Emissions!$C$70:$C$85,'Emissions summary'!$C35,Emissions!AB$70:AB$85)</f>
        <v>1.1705685167880002</v>
      </c>
      <c r="AA35" s="22">
        <f>SUMIF(Emissions!$C$70:$C$85,'Emissions summary'!$C35,Emissions!AC$70:AC$85)</f>
        <v>1.1141746509779999</v>
      </c>
      <c r="AB35" s="22">
        <f>SUMIF(Emissions!$C$70:$C$85,'Emissions summary'!$C35,Emissions!AD$70:AD$85)</f>
        <v>0.8080748995062762</v>
      </c>
      <c r="AC35" s="22">
        <f>SUMIF(Emissions!$C$70:$C$85,'Emissions summary'!$C35,Emissions!AE$70:AE$85)</f>
        <v>0.91353494904156263</v>
      </c>
      <c r="AD35" s="22">
        <f>SUMIF(Emissions!$C$70:$C$85,'Emissions summary'!$C35,Emissions!AF$70:AF$85)</f>
        <v>0.87477237457684942</v>
      </c>
      <c r="AE35" s="22">
        <f>SUMIF(Emissions!$C$70:$C$85,'Emissions summary'!$C35,Emissions!AG$70:AG$85)</f>
        <v>0.83605660738634535</v>
      </c>
      <c r="AF35" s="22">
        <f>SUMIF(Emissions!$C$70:$C$85,'Emissions summary'!$C35,Emissions!AH$70:AH$85)</f>
        <v>0.85660586419584139</v>
      </c>
      <c r="AG35" s="22">
        <f>SUMIF(Emissions!$C$70:$C$85,'Emissions summary'!$C35,Emissions!AI$70:AI$85)</f>
        <v>0.8742110890053375</v>
      </c>
      <c r="AH35" s="22">
        <f>SUMIF(Emissions!$C$70:$C$85,'Emissions summary'!$C35,Emissions!AJ$70:AJ$85)</f>
        <v>0.87501698581483356</v>
      </c>
      <c r="AI35" s="22">
        <f>SUMIF(Emissions!$C$70:$C$85,'Emissions summary'!$C35,Emissions!AK$70:AK$85)</f>
        <v>0.87596495085984005</v>
      </c>
      <c r="AJ35" s="22">
        <f>SUMIF(Emissions!$C$70:$C$85,'Emissions summary'!$C35,Emissions!AL$70:AL$85)</f>
        <v>0.87691291590484688</v>
      </c>
      <c r="AK35" s="22">
        <f>SUMIF(Emissions!$C$70:$C$85,'Emissions summary'!$C35,Emissions!AM$70:AM$85)</f>
        <v>0.87786088094985326</v>
      </c>
      <c r="AL35" s="22">
        <f>SUMIF(Emissions!$C$70:$C$85,'Emissions summary'!$C35,Emissions!AN$70:AN$85)</f>
        <v>0.87880884599485987</v>
      </c>
      <c r="AM35" s="22">
        <f>SUMIF(Emissions!$C$70:$C$85,'Emissions summary'!$C35,Emissions!AO$70:AO$85)</f>
        <v>0.87975681103986625</v>
      </c>
      <c r="AN35" s="22">
        <f>SUMIF(Emissions!$C$70:$C$85,'Emissions summary'!$C35,Emissions!AP$70:AP$85)</f>
        <v>0.88070477608487308</v>
      </c>
      <c r="AO35" s="22">
        <f>SUMIF(Emissions!$C$70:$C$85,'Emissions summary'!$C35,Emissions!AQ$70:AQ$85)</f>
        <v>0.88165274112987968</v>
      </c>
      <c r="AP35" s="22">
        <f>SUMIF(Emissions!$C$70:$C$85,'Emissions summary'!$C35,Emissions!AR$70:AR$85)</f>
        <v>0.88260070617488606</v>
      </c>
      <c r="AQ35" s="22">
        <f>SUMIF(Emissions!$C$70:$C$85,'Emissions summary'!$C35,Emissions!AS$70:AS$85)</f>
        <v>0.88354867121989267</v>
      </c>
      <c r="AR35" s="22">
        <f>SUMIF(Emissions!$C$70:$C$85,'Emissions summary'!$C35,Emissions!AT$70:AT$85)</f>
        <v>0.88449663626489916</v>
      </c>
      <c r="AS35" s="22">
        <f>SUMIF(Emissions!$C$70:$C$85,'Emissions summary'!$C35,Emissions!AU$70:AU$85)</f>
        <v>0.88544460130990599</v>
      </c>
      <c r="AT35" s="22">
        <f>SUMIF(Emissions!$C$70:$C$85,'Emissions summary'!$C35,Emissions!AV$70:AV$85)</f>
        <v>0.88639256635491248</v>
      </c>
      <c r="AU35" s="22">
        <f>SUMIF(Emissions!$C$70:$C$85,'Emissions summary'!$C35,Emissions!AW$70:AW$85)</f>
        <v>0.88633498438253133</v>
      </c>
      <c r="AV35" s="22">
        <f>SUMIF(Emissions!$C$70:$C$85,'Emissions summary'!$C35,Emissions!AX$70:AX$85)</f>
        <v>0.88627740241015029</v>
      </c>
      <c r="AW35" s="22">
        <f>SUMIF(Emissions!$C$70:$C$85,'Emissions summary'!$C35,Emissions!AY$70:AY$85)</f>
        <v>0.88621982043776903</v>
      </c>
      <c r="AX35" s="22">
        <f>SUMIF(Emissions!$C$70:$C$85,'Emissions summary'!$C35,Emissions!AZ$70:AZ$85)</f>
        <v>0.886162238465388</v>
      </c>
      <c r="AY35" s="22">
        <f>SUMIF(Emissions!$C$70:$C$85,'Emissions summary'!$C35,Emissions!BA$70:BA$85)</f>
        <v>0.88610465649300685</v>
      </c>
      <c r="AZ35" s="22">
        <f>SUMIF(Emissions!$C$70:$C$85,'Emissions summary'!$C35,Emissions!BB$70:BB$85)</f>
        <v>0.8860470745206257</v>
      </c>
      <c r="BA35" s="22">
        <f>SUMIF(Emissions!$C$70:$C$85,'Emissions summary'!$C35,Emissions!BC$70:BC$85)</f>
        <v>0.88598949254824455</v>
      </c>
      <c r="BB35" s="22">
        <f>SUMIF(Emissions!$C$70:$C$85,'Emissions summary'!$C35,Emissions!BD$70:BD$85)</f>
        <v>0.8859319105758634</v>
      </c>
      <c r="BC35" s="22">
        <f>SUMIF(Emissions!$C$70:$C$85,'Emissions summary'!$C35,Emissions!BE$70:BE$85)</f>
        <v>0.88564620988842702</v>
      </c>
      <c r="BD35" s="22">
        <f>SUMIF(Emissions!$C$70:$C$85,'Emissions summary'!$C35,Emissions!BF$70:BF$85)</f>
        <v>0.88536050920099063</v>
      </c>
      <c r="BE35" s="22">
        <f>SUMIF(Emissions!$C$70:$C$85,'Emissions summary'!$C35,Emissions!BG$70:BG$85)</f>
        <v>0.88507480851355425</v>
      </c>
      <c r="BF35" s="22">
        <f>SUMIF(Emissions!$C$70:$C$85,'Emissions summary'!$C35,Emissions!BH$70:BH$85)</f>
        <v>0.88478910782611786</v>
      </c>
      <c r="BG35" s="22">
        <f>SUMIF(Emissions!$C$70:$C$85,'Emissions summary'!$C35,Emissions!BI$70:BI$85)</f>
        <v>0.88450340713868159</v>
      </c>
      <c r="BH35" s="22">
        <f>SUMIF(Emissions!$C$70:$C$85,'Emissions summary'!$C35,Emissions!BJ$70:BJ$85)</f>
        <v>0.88421770645124509</v>
      </c>
      <c r="BI35" s="22">
        <f>SUMIF(Emissions!$C$70:$C$85,'Emissions summary'!$C35,Emissions!BK$70:BK$85)</f>
        <v>0.88393200576380893</v>
      </c>
      <c r="BJ35" s="22">
        <f>SUMIF(Emissions!$C$70:$C$85,'Emissions summary'!$C35,Emissions!BL$70:BL$85)</f>
        <v>0.88364630507637254</v>
      </c>
      <c r="BK35" s="22">
        <f>SUMIF(Emissions!$C$70:$C$85,'Emissions summary'!$C35,Emissions!BM$70:BM$85)</f>
        <v>0.88336060438893615</v>
      </c>
      <c r="BL35" s="22">
        <f>SUMIF(Emissions!$C$70:$C$85,'Emissions summary'!$C35,Emissions!BN$70:BN$85)</f>
        <v>0.88307490370149955</v>
      </c>
      <c r="BM35" s="22">
        <f>SUMIF(Emissions!$C$70:$C$85,'Emissions summary'!$C35,Emissions!BO$70:BO$85)</f>
        <v>0.88278920301406316</v>
      </c>
      <c r="BN35" s="22">
        <f>SUMIF(Emissions!$C$70:$C$85,'Emissions summary'!$C35,Emissions!BP$70:BP$85)</f>
        <v>0.882503502326627</v>
      </c>
    </row>
    <row r="36" spans="1:66" x14ac:dyDescent="0.25">
      <c r="A36" t="str">
        <f t="shared" si="19"/>
        <v>3C Aggregated and non-CO2 emissions on land</v>
      </c>
      <c r="B36" t="str">
        <f>B35</f>
        <v>3C1 Biomass burning (N2O)</v>
      </c>
      <c r="C36" t="str">
        <f>'IPCC Categories'!C66</f>
        <v>3C1b Biomass burning in Croplands</v>
      </c>
      <c r="D36" t="str">
        <f>D35</f>
        <v>N2O</v>
      </c>
      <c r="E36" t="str">
        <f>E35</f>
        <v>Gg N2O</v>
      </c>
      <c r="F36" s="22">
        <f>SUMIF(Emissions!$C$70:$C$85,'Emissions summary'!$C36,Emissions!H$70:H$85)</f>
        <v>0.26227938544915658</v>
      </c>
      <c r="G36" s="22">
        <f>SUMIF(Emissions!$C$70:$C$85,'Emissions summary'!$C36,Emissions!I$70:I$85)</f>
        <v>0.26227938544915658</v>
      </c>
      <c r="H36" s="22">
        <f>SUMIF(Emissions!$C$70:$C$85,'Emissions summary'!$C36,Emissions!J$70:J$85)</f>
        <v>0.26227938544915658</v>
      </c>
      <c r="I36" s="22">
        <f>SUMIF(Emissions!$C$70:$C$85,'Emissions summary'!$C36,Emissions!K$70:K$85)</f>
        <v>0.26227938544915658</v>
      </c>
      <c r="J36" s="22">
        <f>SUMIF(Emissions!$C$70:$C$85,'Emissions summary'!$C36,Emissions!L$70:L$85)</f>
        <v>0.26227938544915658</v>
      </c>
      <c r="K36" s="22">
        <f>SUMIF(Emissions!$C$70:$C$85,'Emissions summary'!$C36,Emissions!M$70:M$85)</f>
        <v>0.26227938544915658</v>
      </c>
      <c r="L36" s="22">
        <f>SUMIF(Emissions!$C$70:$C$85,'Emissions summary'!$C36,Emissions!N$70:N$85)</f>
        <v>0.26227938544915658</v>
      </c>
      <c r="M36" s="22">
        <f>SUMIF(Emissions!$C$70:$C$85,'Emissions summary'!$C36,Emissions!O$70:O$85)</f>
        <v>0.26227938544915658</v>
      </c>
      <c r="N36" s="22">
        <f>SUMIF(Emissions!$C$70:$C$85,'Emissions summary'!$C36,Emissions!P$70:P$85)</f>
        <v>0.26227938544915658</v>
      </c>
      <c r="O36" s="22">
        <f>SUMIF(Emissions!$C$70:$C$85,'Emissions summary'!$C36,Emissions!Q$70:Q$85)</f>
        <v>0.26227938544915658</v>
      </c>
      <c r="P36" s="22">
        <f>SUMIF(Emissions!$C$70:$C$85,'Emissions summary'!$C36,Emissions!R$70:R$85)</f>
        <v>0.27249351091104779</v>
      </c>
      <c r="Q36" s="22">
        <f>SUMIF(Emissions!$C$70:$C$85,'Emissions summary'!$C36,Emissions!S$70:S$85)</f>
        <v>0.28214910438509594</v>
      </c>
      <c r="R36" s="22">
        <f>SUMIF(Emissions!$C$70:$C$85,'Emissions summary'!$C36,Emissions!T$70:T$85)</f>
        <v>0.3096912890487743</v>
      </c>
      <c r="S36" s="22">
        <f>SUMIF(Emissions!$C$70:$C$85,'Emissions summary'!$C36,Emissions!U$70:U$85)</f>
        <v>0.24106195370044609</v>
      </c>
      <c r="T36" s="22">
        <f>SUMIF(Emissions!$C$70:$C$85,'Emissions summary'!$C36,Emissions!V$70:V$85)</f>
        <v>0.20600106920041864</v>
      </c>
      <c r="U36" s="22">
        <f>SUMIF(Emissions!$C$70:$C$85,'Emissions summary'!$C36,Emissions!W$70:W$85)</f>
        <v>0.35933732059976431</v>
      </c>
      <c r="V36" s="22">
        <f>SUMIF(Emissions!$C$70:$C$85,'Emissions summary'!$C36,Emissions!X$70:X$85)</f>
        <v>0.33855631263102837</v>
      </c>
      <c r="W36" s="22">
        <f>SUMIF(Emissions!$C$70:$C$85,'Emissions summary'!$C36,Emissions!Y$70:Y$85)</f>
        <v>0.27162292461420739</v>
      </c>
      <c r="X36" s="22">
        <f>SUMIF(Emissions!$C$70:$C$85,'Emissions summary'!$C36,Emissions!Z$70:Z$85)</f>
        <v>0.2444764609945474</v>
      </c>
      <c r="Y36" s="22">
        <f>SUMIF(Emissions!$C$70:$C$85,'Emissions summary'!$C36,Emissions!AA$70:AA$85)</f>
        <v>0.25418858604631245</v>
      </c>
      <c r="Z36" s="22">
        <f>SUMIF(Emissions!$C$70:$C$85,'Emissions summary'!$C36,Emissions!AB$70:AB$85)</f>
        <v>0.25351308360000002</v>
      </c>
      <c r="AA36" s="22">
        <f>SUMIF(Emissions!$C$70:$C$85,'Emissions summary'!$C36,Emissions!AC$70:AC$85)</f>
        <v>0.24445247399999998</v>
      </c>
      <c r="AB36" s="22">
        <f>SUMIF(Emissions!$C$70:$C$85,'Emissions summary'!$C36,Emissions!AD$70:AD$85)</f>
        <v>0.23150267764623561</v>
      </c>
      <c r="AC36" s="22">
        <f>SUMIF(Emissions!$C$70:$C$85,'Emissions summary'!$C36,Emissions!AE$70:AE$85)</f>
        <v>0.23149080350455245</v>
      </c>
      <c r="AD36" s="22">
        <f>SUMIF(Emissions!$C$70:$C$85,'Emissions summary'!$C36,Emissions!AF$70:AF$85)</f>
        <v>0.23147892936286932</v>
      </c>
      <c r="AE36" s="22">
        <f>SUMIF(Emissions!$C$70:$C$85,'Emissions summary'!$C36,Emissions!AG$70:AG$85)</f>
        <v>0.23146705522118621</v>
      </c>
      <c r="AF36" s="22">
        <f>SUMIF(Emissions!$C$70:$C$85,'Emissions summary'!$C36,Emissions!AH$70:AH$85)</f>
        <v>0.23145518107950305</v>
      </c>
      <c r="AG36" s="22">
        <f>SUMIF(Emissions!$C$70:$C$85,'Emissions summary'!$C36,Emissions!AI$70:AI$85)</f>
        <v>0.23144330693781995</v>
      </c>
      <c r="AH36" s="22">
        <f>SUMIF(Emissions!$C$70:$C$85,'Emissions summary'!$C36,Emissions!AJ$70:AJ$85)</f>
        <v>0.23143143279613676</v>
      </c>
      <c r="AI36" s="22">
        <f>SUMIF(Emissions!$C$70:$C$85,'Emissions summary'!$C36,Emissions!AK$70:AK$85)</f>
        <v>0.23154490751209911</v>
      </c>
      <c r="AJ36" s="22">
        <f>SUMIF(Emissions!$C$70:$C$85,'Emissions summary'!$C36,Emissions!AL$70:AL$85)</f>
        <v>0.23165838222806134</v>
      </c>
      <c r="AK36" s="22">
        <f>SUMIF(Emissions!$C$70:$C$85,'Emissions summary'!$C36,Emissions!AM$70:AM$85)</f>
        <v>0.23177185694402369</v>
      </c>
      <c r="AL36" s="22">
        <f>SUMIF(Emissions!$C$70:$C$85,'Emissions summary'!$C36,Emissions!AN$70:AN$85)</f>
        <v>0.23188533165998598</v>
      </c>
      <c r="AM36" s="22">
        <f>SUMIF(Emissions!$C$70:$C$85,'Emissions summary'!$C36,Emissions!AO$70:AO$85)</f>
        <v>0.2319988063759483</v>
      </c>
      <c r="AN36" s="22">
        <f>SUMIF(Emissions!$C$70:$C$85,'Emissions summary'!$C36,Emissions!AP$70:AP$85)</f>
        <v>0.23211228109191051</v>
      </c>
      <c r="AO36" s="22">
        <f>SUMIF(Emissions!$C$70:$C$85,'Emissions summary'!$C36,Emissions!AQ$70:AQ$85)</f>
        <v>0.23222575580787286</v>
      </c>
      <c r="AP36" s="22">
        <f>SUMIF(Emissions!$C$70:$C$85,'Emissions summary'!$C36,Emissions!AR$70:AR$85)</f>
        <v>0.23233923052383518</v>
      </c>
      <c r="AQ36" s="22">
        <f>SUMIF(Emissions!$C$70:$C$85,'Emissions summary'!$C36,Emissions!AS$70:AS$85)</f>
        <v>0.23245270523979747</v>
      </c>
      <c r="AR36" s="22">
        <f>SUMIF(Emissions!$C$70:$C$85,'Emissions summary'!$C36,Emissions!AT$70:AT$85)</f>
        <v>0.23256617995575976</v>
      </c>
      <c r="AS36" s="22">
        <f>SUMIF(Emissions!$C$70:$C$85,'Emissions summary'!$C36,Emissions!AU$70:AU$85)</f>
        <v>0.23267965467172208</v>
      </c>
      <c r="AT36" s="22">
        <f>SUMIF(Emissions!$C$70:$C$85,'Emissions summary'!$C36,Emissions!AV$70:AV$85)</f>
        <v>0.23279312938768437</v>
      </c>
      <c r="AU36" s="22">
        <f>SUMIF(Emissions!$C$70:$C$85,'Emissions summary'!$C36,Emissions!AW$70:AW$85)</f>
        <v>0.23290660410364664</v>
      </c>
      <c r="AV36" s="22">
        <f>SUMIF(Emissions!$C$70:$C$85,'Emissions summary'!$C36,Emissions!AX$70:AX$85)</f>
        <v>0.23302007881960901</v>
      </c>
      <c r="AW36" s="22">
        <f>SUMIF(Emissions!$C$70:$C$85,'Emissions summary'!$C36,Emissions!AY$70:AY$85)</f>
        <v>0.23313355353557128</v>
      </c>
      <c r="AX36" s="22">
        <f>SUMIF(Emissions!$C$70:$C$85,'Emissions summary'!$C36,Emissions!AZ$70:AZ$85)</f>
        <v>0.23324702825153357</v>
      </c>
      <c r="AY36" s="22">
        <f>SUMIF(Emissions!$C$70:$C$85,'Emissions summary'!$C36,Emissions!BA$70:BA$85)</f>
        <v>0.23336050296749583</v>
      </c>
      <c r="AZ36" s="22">
        <f>SUMIF(Emissions!$C$70:$C$85,'Emissions summary'!$C36,Emissions!BB$70:BB$85)</f>
        <v>0.23347397768345812</v>
      </c>
      <c r="BA36" s="22">
        <f>SUMIF(Emissions!$C$70:$C$85,'Emissions summary'!$C36,Emissions!BC$70:BC$85)</f>
        <v>0.23358745239942044</v>
      </c>
      <c r="BB36" s="22">
        <f>SUMIF(Emissions!$C$70:$C$85,'Emissions summary'!$C36,Emissions!BD$70:BD$85)</f>
        <v>0.23370092711538273</v>
      </c>
      <c r="BC36" s="22">
        <f>SUMIF(Emissions!$C$70:$C$85,'Emissions summary'!$C36,Emissions!BE$70:BE$85)</f>
        <v>0.23381440183134505</v>
      </c>
      <c r="BD36" s="22">
        <f>SUMIF(Emissions!$C$70:$C$85,'Emissions summary'!$C36,Emissions!BF$70:BF$85)</f>
        <v>0.23392787654730735</v>
      </c>
      <c r="BE36" s="22">
        <f>SUMIF(Emissions!$C$70:$C$85,'Emissions summary'!$C36,Emissions!BG$70:BG$85)</f>
        <v>0.23404135126326958</v>
      </c>
      <c r="BF36" s="22">
        <f>SUMIF(Emissions!$C$70:$C$85,'Emissions summary'!$C36,Emissions!BH$70:BH$85)</f>
        <v>0.23415482597923196</v>
      </c>
      <c r="BG36" s="22">
        <f>SUMIF(Emissions!$C$70:$C$85,'Emissions summary'!$C36,Emissions!BI$70:BI$85)</f>
        <v>0.23426830069519422</v>
      </c>
      <c r="BH36" s="22">
        <f>SUMIF(Emissions!$C$70:$C$85,'Emissions summary'!$C36,Emissions!BJ$70:BJ$85)</f>
        <v>0.23438177541115651</v>
      </c>
      <c r="BI36" s="22">
        <f>SUMIF(Emissions!$C$70:$C$85,'Emissions summary'!$C36,Emissions!BK$70:BK$85)</f>
        <v>0.23449525012711883</v>
      </c>
      <c r="BJ36" s="22">
        <f>SUMIF(Emissions!$C$70:$C$85,'Emissions summary'!$C36,Emissions!BL$70:BL$85)</f>
        <v>0.2346087248430811</v>
      </c>
      <c r="BK36" s="22">
        <f>SUMIF(Emissions!$C$70:$C$85,'Emissions summary'!$C36,Emissions!BM$70:BM$85)</f>
        <v>0.23472219955904342</v>
      </c>
      <c r="BL36" s="22">
        <f>SUMIF(Emissions!$C$70:$C$85,'Emissions summary'!$C36,Emissions!BN$70:BN$85)</f>
        <v>0.23483567427500568</v>
      </c>
      <c r="BM36" s="22">
        <f>SUMIF(Emissions!$C$70:$C$85,'Emissions summary'!$C36,Emissions!BO$70:BO$85)</f>
        <v>0.234949148990968</v>
      </c>
      <c r="BN36" s="22">
        <f>SUMIF(Emissions!$C$70:$C$85,'Emissions summary'!$C36,Emissions!BP$70:BP$85)</f>
        <v>0.23506262370693032</v>
      </c>
    </row>
    <row r="37" spans="1:66" x14ac:dyDescent="0.25">
      <c r="A37" t="str">
        <f t="shared" si="19"/>
        <v>3C Aggregated and non-CO2 emissions on land</v>
      </c>
      <c r="B37" t="str">
        <f t="shared" ref="B37:B40" si="23">B36</f>
        <v>3C1 Biomass burning (N2O)</v>
      </c>
      <c r="C37" t="str">
        <f>'IPCC Categories'!C67</f>
        <v>3C1c Biomass burning in Grasslands</v>
      </c>
      <c r="D37" t="str">
        <f t="shared" ref="D37:E40" si="24">D36</f>
        <v>N2O</v>
      </c>
      <c r="E37" t="str">
        <f t="shared" si="24"/>
        <v>Gg N2O</v>
      </c>
      <c r="F37" s="22">
        <f>SUMIF(Emissions!$C$70:$C$85,'Emissions summary'!$C37,Emissions!H$70:H$85)</f>
        <v>2.1832325939202906</v>
      </c>
      <c r="G37" s="22">
        <f>SUMIF(Emissions!$C$70:$C$85,'Emissions summary'!$C37,Emissions!I$70:I$85)</f>
        <v>2.1832325939202906</v>
      </c>
      <c r="H37" s="22">
        <f>SUMIF(Emissions!$C$70:$C$85,'Emissions summary'!$C37,Emissions!J$70:J$85)</f>
        <v>2.1832325939202906</v>
      </c>
      <c r="I37" s="22">
        <f>SUMIF(Emissions!$C$70:$C$85,'Emissions summary'!$C37,Emissions!K$70:K$85)</f>
        <v>2.1832325939202906</v>
      </c>
      <c r="J37" s="22">
        <f>SUMIF(Emissions!$C$70:$C$85,'Emissions summary'!$C37,Emissions!L$70:L$85)</f>
        <v>2.1832325939202906</v>
      </c>
      <c r="K37" s="22">
        <f>SUMIF(Emissions!$C$70:$C$85,'Emissions summary'!$C37,Emissions!M$70:M$85)</f>
        <v>2.1832325939202906</v>
      </c>
      <c r="L37" s="22">
        <f>SUMIF(Emissions!$C$70:$C$85,'Emissions summary'!$C37,Emissions!N$70:N$85)</f>
        <v>2.1832325939202906</v>
      </c>
      <c r="M37" s="22">
        <f>SUMIF(Emissions!$C$70:$C$85,'Emissions summary'!$C37,Emissions!O$70:O$85)</f>
        <v>2.1832325939202906</v>
      </c>
      <c r="N37" s="22">
        <f>SUMIF(Emissions!$C$70:$C$85,'Emissions summary'!$C37,Emissions!P$70:P$85)</f>
        <v>2.1832325939202906</v>
      </c>
      <c r="O37" s="22">
        <f>SUMIF(Emissions!$C$70:$C$85,'Emissions summary'!$C37,Emissions!Q$70:Q$85)</f>
        <v>2.1832325939202906</v>
      </c>
      <c r="P37" s="22">
        <f>SUMIF(Emissions!$C$70:$C$85,'Emissions summary'!$C37,Emissions!R$70:R$85)</f>
        <v>2.1560404954267964</v>
      </c>
      <c r="Q37" s="22">
        <f>SUMIF(Emissions!$C$70:$C$85,'Emissions summary'!$C37,Emissions!S$70:S$85)</f>
        <v>2.4331484625916917</v>
      </c>
      <c r="R37" s="22">
        <f>SUMIF(Emissions!$C$70:$C$85,'Emissions summary'!$C37,Emissions!T$70:T$85)</f>
        <v>2.5851794612386958</v>
      </c>
      <c r="S37" s="22">
        <f>SUMIF(Emissions!$C$70:$C$85,'Emissions summary'!$C37,Emissions!U$70:U$85)</f>
        <v>2.026241021042972</v>
      </c>
      <c r="T37" s="22">
        <f>SUMIF(Emissions!$C$70:$C$85,'Emissions summary'!$C37,Emissions!V$70:V$85)</f>
        <v>1.7155535293012945</v>
      </c>
      <c r="U37" s="22">
        <f>SUMIF(Emissions!$C$70:$C$85,'Emissions summary'!$C37,Emissions!W$70:W$85)</f>
        <v>2.664720786608763</v>
      </c>
      <c r="V37" s="22">
        <f>SUMIF(Emissions!$C$70:$C$85,'Emissions summary'!$C37,Emissions!X$70:X$85)</f>
        <v>2.3579698696662157</v>
      </c>
      <c r="W37" s="22">
        <f>SUMIF(Emissions!$C$70:$C$85,'Emissions summary'!$C37,Emissions!Y$70:Y$85)</f>
        <v>2.1705723800404217</v>
      </c>
      <c r="X37" s="22">
        <f>SUMIF(Emissions!$C$70:$C$85,'Emissions summary'!$C37,Emissions!Z$70:Z$85)</f>
        <v>2.069932733340706</v>
      </c>
      <c r="Y37" s="22">
        <f>SUMIF(Emissions!$C$70:$C$85,'Emissions summary'!$C37,Emissions!AA$70:AA$85)</f>
        <v>2.153682585932855</v>
      </c>
      <c r="Z37" s="22">
        <f>SUMIF(Emissions!$C$70:$C$85,'Emissions summary'!$C37,Emissions!AB$70:AB$85)</f>
        <v>2.0565198387720001</v>
      </c>
      <c r="AA37" s="22">
        <f>SUMIF(Emissions!$C$70:$C$85,'Emissions summary'!$C37,Emissions!AC$70:AC$85)</f>
        <v>2.0914494266735995</v>
      </c>
      <c r="AB37" s="22">
        <f>SUMIF(Emissions!$C$70:$C$85,'Emissions summary'!$C37,Emissions!AD$70:AD$85)</f>
        <v>1.9533021776707631</v>
      </c>
      <c r="AC37" s="22">
        <f>SUMIF(Emissions!$C$70:$C$85,'Emissions summary'!$C37,Emissions!AE$70:AE$85)</f>
        <v>1.9468973631254058</v>
      </c>
      <c r="AD37" s="22">
        <f>SUMIF(Emissions!$C$70:$C$85,'Emissions summary'!$C37,Emissions!AF$70:AF$85)</f>
        <v>1.9404925485800488</v>
      </c>
      <c r="AE37" s="22">
        <f>SUMIF(Emissions!$C$70:$C$85,'Emissions summary'!$C37,Emissions!AG$70:AG$85)</f>
        <v>1.9395837483821159</v>
      </c>
      <c r="AF37" s="22">
        <f>SUMIF(Emissions!$C$70:$C$85,'Emissions summary'!$C37,Emissions!AH$70:AH$85)</f>
        <v>1.9386749481841827</v>
      </c>
      <c r="AG37" s="22">
        <f>SUMIF(Emissions!$C$70:$C$85,'Emissions summary'!$C37,Emissions!AI$70:AI$85)</f>
        <v>1.9377661479862494</v>
      </c>
      <c r="AH37" s="22">
        <f>SUMIF(Emissions!$C$70:$C$85,'Emissions summary'!$C37,Emissions!AJ$70:AJ$85)</f>
        <v>1.936857347788316</v>
      </c>
      <c r="AI37" s="22">
        <f>SUMIF(Emissions!$C$70:$C$85,'Emissions summary'!$C37,Emissions!AK$70:AK$85)</f>
        <v>1.9352965075073283</v>
      </c>
      <c r="AJ37" s="22">
        <f>SUMIF(Emissions!$C$70:$C$85,'Emissions summary'!$C37,Emissions!AL$70:AL$85)</f>
        <v>1.9337356672263408</v>
      </c>
      <c r="AK37" s="22">
        <f>SUMIF(Emissions!$C$70:$C$85,'Emissions summary'!$C37,Emissions!AM$70:AM$85)</f>
        <v>1.9321748269453529</v>
      </c>
      <c r="AL37" s="22">
        <f>SUMIF(Emissions!$C$70:$C$85,'Emissions summary'!$C37,Emissions!AN$70:AN$85)</f>
        <v>1.9306139866643652</v>
      </c>
      <c r="AM37" s="22">
        <f>SUMIF(Emissions!$C$70:$C$85,'Emissions summary'!$C37,Emissions!AO$70:AO$85)</f>
        <v>1.9290531463833778</v>
      </c>
      <c r="AN37" s="22">
        <f>SUMIF(Emissions!$C$70:$C$85,'Emissions summary'!$C37,Emissions!AP$70:AP$85)</f>
        <v>1.9274923061023901</v>
      </c>
      <c r="AO37" s="22">
        <f>SUMIF(Emissions!$C$70:$C$85,'Emissions summary'!$C37,Emissions!AQ$70:AQ$85)</f>
        <v>1.9259314658214024</v>
      </c>
      <c r="AP37" s="22">
        <f>SUMIF(Emissions!$C$70:$C$85,'Emissions summary'!$C37,Emissions!AR$70:AR$85)</f>
        <v>1.9243706255404143</v>
      </c>
      <c r="AQ37" s="22">
        <f>SUMIF(Emissions!$C$70:$C$85,'Emissions summary'!$C37,Emissions!AS$70:AS$85)</f>
        <v>1.9228097852594268</v>
      </c>
      <c r="AR37" s="22">
        <f>SUMIF(Emissions!$C$70:$C$85,'Emissions summary'!$C37,Emissions!AT$70:AT$85)</f>
        <v>1.9212489449784396</v>
      </c>
      <c r="AS37" s="22">
        <f>SUMIF(Emissions!$C$70:$C$85,'Emissions summary'!$C37,Emissions!AU$70:AU$85)</f>
        <v>1.9196881046974517</v>
      </c>
      <c r="AT37" s="22">
        <f>SUMIF(Emissions!$C$70:$C$85,'Emissions summary'!$C37,Emissions!AV$70:AV$85)</f>
        <v>1.9181272644164638</v>
      </c>
      <c r="AU37" s="22">
        <f>SUMIF(Emissions!$C$70:$C$85,'Emissions summary'!$C37,Emissions!AW$70:AW$85)</f>
        <v>1.9169957833104396</v>
      </c>
      <c r="AV37" s="22">
        <f>SUMIF(Emissions!$C$70:$C$85,'Emissions summary'!$C37,Emissions!AX$70:AX$85)</f>
        <v>1.9158643022044151</v>
      </c>
      <c r="AW37" s="22">
        <f>SUMIF(Emissions!$C$70:$C$85,'Emissions summary'!$C37,Emissions!AY$70:AY$85)</f>
        <v>1.9147328210983907</v>
      </c>
      <c r="AX37" s="22">
        <f>SUMIF(Emissions!$C$70:$C$85,'Emissions summary'!$C37,Emissions!AZ$70:AZ$85)</f>
        <v>1.9136013399923661</v>
      </c>
      <c r="AY37" s="22">
        <f>SUMIF(Emissions!$C$70:$C$85,'Emissions summary'!$C37,Emissions!BA$70:BA$85)</f>
        <v>1.912469858886342</v>
      </c>
      <c r="AZ37" s="22">
        <f>SUMIF(Emissions!$C$70:$C$85,'Emissions summary'!$C37,Emissions!BB$70:BB$85)</f>
        <v>1.9113383777803179</v>
      </c>
      <c r="BA37" s="22">
        <f>SUMIF(Emissions!$C$70:$C$85,'Emissions summary'!$C37,Emissions!BC$70:BC$85)</f>
        <v>1.9102068966742936</v>
      </c>
      <c r="BB37" s="22">
        <f>SUMIF(Emissions!$C$70:$C$85,'Emissions summary'!$C37,Emissions!BD$70:BD$85)</f>
        <v>1.909075415568269</v>
      </c>
      <c r="BC37" s="22">
        <f>SUMIF(Emissions!$C$70:$C$85,'Emissions summary'!$C37,Emissions!BE$70:BE$85)</f>
        <v>1.9079439344622449</v>
      </c>
      <c r="BD37" s="22">
        <f>SUMIF(Emissions!$C$70:$C$85,'Emissions summary'!$C37,Emissions!BF$70:BF$85)</f>
        <v>1.906812453356221</v>
      </c>
      <c r="BE37" s="22">
        <f>SUMIF(Emissions!$C$70:$C$85,'Emissions summary'!$C37,Emissions!BG$70:BG$85)</f>
        <v>1.9056809722501968</v>
      </c>
      <c r="BF37" s="22">
        <f>SUMIF(Emissions!$C$70:$C$85,'Emissions summary'!$C37,Emissions!BH$70:BH$85)</f>
        <v>1.9045494911441725</v>
      </c>
      <c r="BG37" s="22">
        <f>SUMIF(Emissions!$C$70:$C$85,'Emissions summary'!$C37,Emissions!BI$70:BI$85)</f>
        <v>1.9034180100381481</v>
      </c>
      <c r="BH37" s="22">
        <f>SUMIF(Emissions!$C$70:$C$85,'Emissions summary'!$C37,Emissions!BJ$70:BJ$85)</f>
        <v>1.902286528932124</v>
      </c>
      <c r="BI37" s="22">
        <f>SUMIF(Emissions!$C$70:$C$85,'Emissions summary'!$C37,Emissions!BK$70:BK$85)</f>
        <v>1.9011550478260997</v>
      </c>
      <c r="BJ37" s="22">
        <f>SUMIF(Emissions!$C$70:$C$85,'Emissions summary'!$C37,Emissions!BL$70:BL$85)</f>
        <v>1.9000235667200756</v>
      </c>
      <c r="BK37" s="22">
        <f>SUMIF(Emissions!$C$70:$C$85,'Emissions summary'!$C37,Emissions!BM$70:BM$85)</f>
        <v>1.898892085614051</v>
      </c>
      <c r="BL37" s="22">
        <f>SUMIF(Emissions!$C$70:$C$85,'Emissions summary'!$C37,Emissions!BN$70:BN$85)</f>
        <v>1.8977606045080273</v>
      </c>
      <c r="BM37" s="22">
        <f>SUMIF(Emissions!$C$70:$C$85,'Emissions summary'!$C37,Emissions!BO$70:BO$85)</f>
        <v>1.8966291234020027</v>
      </c>
      <c r="BN37" s="22">
        <f>SUMIF(Emissions!$C$70:$C$85,'Emissions summary'!$C37,Emissions!BP$70:BP$85)</f>
        <v>1.8954976422959788</v>
      </c>
    </row>
    <row r="38" spans="1:66" x14ac:dyDescent="0.25">
      <c r="A38" t="str">
        <f t="shared" si="19"/>
        <v>3C Aggregated and non-CO2 emissions on land</v>
      </c>
      <c r="B38" t="str">
        <f t="shared" si="23"/>
        <v>3C1 Biomass burning (N2O)</v>
      </c>
      <c r="C38" t="str">
        <f>'IPCC Categories'!C68</f>
        <v>3C1d Biomass burning in Wetlands</v>
      </c>
      <c r="D38" t="str">
        <f t="shared" si="24"/>
        <v>N2O</v>
      </c>
      <c r="E38" t="str">
        <f t="shared" si="24"/>
        <v>Gg N2O</v>
      </c>
      <c r="F38" s="22">
        <f>SUMIF(Emissions!$C$70:$C$85,'Emissions summary'!$C38,Emissions!H$70:H$85)</f>
        <v>7.357077670844267E-2</v>
      </c>
      <c r="G38" s="22">
        <f>SUMIF(Emissions!$C$70:$C$85,'Emissions summary'!$C38,Emissions!I$70:I$85)</f>
        <v>7.357077670844267E-2</v>
      </c>
      <c r="H38" s="22">
        <f>SUMIF(Emissions!$C$70:$C$85,'Emissions summary'!$C38,Emissions!J$70:J$85)</f>
        <v>7.357077670844267E-2</v>
      </c>
      <c r="I38" s="22">
        <f>SUMIF(Emissions!$C$70:$C$85,'Emissions summary'!$C38,Emissions!K$70:K$85)</f>
        <v>7.357077670844267E-2</v>
      </c>
      <c r="J38" s="22">
        <f>SUMIF(Emissions!$C$70:$C$85,'Emissions summary'!$C38,Emissions!L$70:L$85)</f>
        <v>7.357077670844267E-2</v>
      </c>
      <c r="K38" s="22">
        <f>SUMIF(Emissions!$C$70:$C$85,'Emissions summary'!$C38,Emissions!M$70:M$85)</f>
        <v>7.357077670844267E-2</v>
      </c>
      <c r="L38" s="22">
        <f>SUMIF(Emissions!$C$70:$C$85,'Emissions summary'!$C38,Emissions!N$70:N$85)</f>
        <v>7.357077670844267E-2</v>
      </c>
      <c r="M38" s="22">
        <f>SUMIF(Emissions!$C$70:$C$85,'Emissions summary'!$C38,Emissions!O$70:O$85)</f>
        <v>7.357077670844267E-2</v>
      </c>
      <c r="N38" s="22">
        <f>SUMIF(Emissions!$C$70:$C$85,'Emissions summary'!$C38,Emissions!P$70:P$85)</f>
        <v>7.357077670844267E-2</v>
      </c>
      <c r="O38" s="22">
        <f>SUMIF(Emissions!$C$70:$C$85,'Emissions summary'!$C38,Emissions!Q$70:Q$85)</f>
        <v>7.357077670844267E-2</v>
      </c>
      <c r="P38" s="22">
        <f>SUMIF(Emissions!$C$70:$C$85,'Emissions summary'!$C38,Emissions!R$70:R$85)</f>
        <v>6.5083674793923713E-2</v>
      </c>
      <c r="Q38" s="22">
        <f>SUMIF(Emissions!$C$70:$C$85,'Emissions summary'!$C38,Emissions!S$70:S$85)</f>
        <v>7.8612973491927987E-2</v>
      </c>
      <c r="R38" s="22">
        <f>SUMIF(Emissions!$C$70:$C$85,'Emissions summary'!$C38,Emissions!T$70:T$85)</f>
        <v>8.8983449145904836E-2</v>
      </c>
      <c r="S38" s="22">
        <f>SUMIF(Emissions!$C$70:$C$85,'Emissions summary'!$C38,Emissions!U$70:U$85)</f>
        <v>7.2791997693814531E-2</v>
      </c>
      <c r="T38" s="22">
        <f>SUMIF(Emissions!$C$70:$C$85,'Emissions summary'!$C38,Emissions!V$70:V$85)</f>
        <v>6.2381788416642367E-2</v>
      </c>
      <c r="U38" s="22">
        <f>SUMIF(Emissions!$C$70:$C$85,'Emissions summary'!$C38,Emissions!W$70:W$85)</f>
        <v>9.2301206682713535E-2</v>
      </c>
      <c r="V38" s="22">
        <f>SUMIF(Emissions!$C$70:$C$85,'Emissions summary'!$C38,Emissions!X$70:X$85)</f>
        <v>8.1930731028736672E-2</v>
      </c>
      <c r="W38" s="22">
        <f>SUMIF(Emissions!$C$70:$C$85,'Emissions summary'!$C38,Emissions!Y$70:Y$85)</f>
        <v>7.2176126534287191E-2</v>
      </c>
      <c r="X38" s="22">
        <f>SUMIF(Emissions!$C$70:$C$85,'Emissions summary'!$C38,Emissions!Z$70:Z$85)</f>
        <v>6.5818746823036997E-2</v>
      </c>
      <c r="Y38" s="22">
        <f>SUMIF(Emissions!$C$70:$C$85,'Emissions summary'!$C38,Emissions!AA$70:AA$85)</f>
        <v>7.3924405954880992E-2</v>
      </c>
      <c r="Z38" s="22">
        <f>SUMIF(Emissions!$C$70:$C$85,'Emissions summary'!$C38,Emissions!AB$70:AB$85)</f>
        <v>9.8940084389999974E-2</v>
      </c>
      <c r="AA38" s="22">
        <f>SUMIF(Emissions!$C$70:$C$85,'Emissions summary'!$C38,Emissions!AC$70:AC$85)</f>
        <v>0.10685917493999998</v>
      </c>
      <c r="AB38" s="22">
        <f>SUMIF(Emissions!$C$70:$C$85,'Emissions summary'!$C38,Emissions!AD$70:AD$85)</f>
        <v>7.8813449993659371E-2</v>
      </c>
      <c r="AC38" s="22">
        <f>SUMIF(Emissions!$C$70:$C$85,'Emissions summary'!$C38,Emissions!AE$70:AE$85)</f>
        <v>7.8813449993659371E-2</v>
      </c>
      <c r="AD38" s="22">
        <f>SUMIF(Emissions!$C$70:$C$85,'Emissions summary'!$C38,Emissions!AF$70:AF$85)</f>
        <v>7.8813449993659371E-2</v>
      </c>
      <c r="AE38" s="22">
        <f>SUMIF(Emissions!$C$70:$C$85,'Emissions summary'!$C38,Emissions!AG$70:AG$85)</f>
        <v>7.8813449993659371E-2</v>
      </c>
      <c r="AF38" s="22">
        <f>SUMIF(Emissions!$C$70:$C$85,'Emissions summary'!$C38,Emissions!AH$70:AH$85)</f>
        <v>7.8813449993659371E-2</v>
      </c>
      <c r="AG38" s="22">
        <f>SUMIF(Emissions!$C$70:$C$85,'Emissions summary'!$C38,Emissions!AI$70:AI$85)</f>
        <v>7.8813449993659371E-2</v>
      </c>
      <c r="AH38" s="22">
        <f>SUMIF(Emissions!$C$70:$C$85,'Emissions summary'!$C38,Emissions!AJ$70:AJ$85)</f>
        <v>7.8813449993659371E-2</v>
      </c>
      <c r="AI38" s="22">
        <f>SUMIF(Emissions!$C$70:$C$85,'Emissions summary'!$C38,Emissions!AK$70:AK$85)</f>
        <v>7.8813449993659371E-2</v>
      </c>
      <c r="AJ38" s="22">
        <f>SUMIF(Emissions!$C$70:$C$85,'Emissions summary'!$C38,Emissions!AL$70:AL$85)</f>
        <v>7.8813449993659371E-2</v>
      </c>
      <c r="AK38" s="22">
        <f>SUMIF(Emissions!$C$70:$C$85,'Emissions summary'!$C38,Emissions!AM$70:AM$85)</f>
        <v>7.8813449993659371E-2</v>
      </c>
      <c r="AL38" s="22">
        <f>SUMIF(Emissions!$C$70:$C$85,'Emissions summary'!$C38,Emissions!AN$70:AN$85)</f>
        <v>7.8813449993659371E-2</v>
      </c>
      <c r="AM38" s="22">
        <f>SUMIF(Emissions!$C$70:$C$85,'Emissions summary'!$C38,Emissions!AO$70:AO$85)</f>
        <v>7.8813449993659371E-2</v>
      </c>
      <c r="AN38" s="22">
        <f>SUMIF(Emissions!$C$70:$C$85,'Emissions summary'!$C38,Emissions!AP$70:AP$85)</f>
        <v>7.8813449993659371E-2</v>
      </c>
      <c r="AO38" s="22">
        <f>SUMIF(Emissions!$C$70:$C$85,'Emissions summary'!$C38,Emissions!AQ$70:AQ$85)</f>
        <v>7.8813449993659371E-2</v>
      </c>
      <c r="AP38" s="22">
        <f>SUMIF(Emissions!$C$70:$C$85,'Emissions summary'!$C38,Emissions!AR$70:AR$85)</f>
        <v>7.8813449993659371E-2</v>
      </c>
      <c r="AQ38" s="22">
        <f>SUMIF(Emissions!$C$70:$C$85,'Emissions summary'!$C38,Emissions!AS$70:AS$85)</f>
        <v>7.8813449993659371E-2</v>
      </c>
      <c r="AR38" s="22">
        <f>SUMIF(Emissions!$C$70:$C$85,'Emissions summary'!$C38,Emissions!AT$70:AT$85)</f>
        <v>7.8813449993659371E-2</v>
      </c>
      <c r="AS38" s="22">
        <f>SUMIF(Emissions!$C$70:$C$85,'Emissions summary'!$C38,Emissions!AU$70:AU$85)</f>
        <v>7.8813449993659371E-2</v>
      </c>
      <c r="AT38" s="22">
        <f>SUMIF(Emissions!$C$70:$C$85,'Emissions summary'!$C38,Emissions!AV$70:AV$85)</f>
        <v>7.8813449993659371E-2</v>
      </c>
      <c r="AU38" s="22">
        <f>SUMIF(Emissions!$C$70:$C$85,'Emissions summary'!$C38,Emissions!AW$70:AW$85)</f>
        <v>7.8813449993659371E-2</v>
      </c>
      <c r="AV38" s="22">
        <f>SUMIF(Emissions!$C$70:$C$85,'Emissions summary'!$C38,Emissions!AX$70:AX$85)</f>
        <v>7.8813449993659371E-2</v>
      </c>
      <c r="AW38" s="22">
        <f>SUMIF(Emissions!$C$70:$C$85,'Emissions summary'!$C38,Emissions!AY$70:AY$85)</f>
        <v>7.8813449993659371E-2</v>
      </c>
      <c r="AX38" s="22">
        <f>SUMIF(Emissions!$C$70:$C$85,'Emissions summary'!$C38,Emissions!AZ$70:AZ$85)</f>
        <v>7.8813449993659371E-2</v>
      </c>
      <c r="AY38" s="22">
        <f>SUMIF(Emissions!$C$70:$C$85,'Emissions summary'!$C38,Emissions!BA$70:BA$85)</f>
        <v>7.8813449993659371E-2</v>
      </c>
      <c r="AZ38" s="22">
        <f>SUMIF(Emissions!$C$70:$C$85,'Emissions summary'!$C38,Emissions!BB$70:BB$85)</f>
        <v>7.8813449993659371E-2</v>
      </c>
      <c r="BA38" s="22">
        <f>SUMIF(Emissions!$C$70:$C$85,'Emissions summary'!$C38,Emissions!BC$70:BC$85)</f>
        <v>7.8813449993659371E-2</v>
      </c>
      <c r="BB38" s="22">
        <f>SUMIF(Emissions!$C$70:$C$85,'Emissions summary'!$C38,Emissions!BD$70:BD$85)</f>
        <v>7.8813449993659371E-2</v>
      </c>
      <c r="BC38" s="22">
        <f>SUMIF(Emissions!$C$70:$C$85,'Emissions summary'!$C38,Emissions!BE$70:BE$85)</f>
        <v>7.8813449993659371E-2</v>
      </c>
      <c r="BD38" s="22">
        <f>SUMIF(Emissions!$C$70:$C$85,'Emissions summary'!$C38,Emissions!BF$70:BF$85)</f>
        <v>7.8813449993659371E-2</v>
      </c>
      <c r="BE38" s="22">
        <f>SUMIF(Emissions!$C$70:$C$85,'Emissions summary'!$C38,Emissions!BG$70:BG$85)</f>
        <v>7.8813449993659371E-2</v>
      </c>
      <c r="BF38" s="22">
        <f>SUMIF(Emissions!$C$70:$C$85,'Emissions summary'!$C38,Emissions!BH$70:BH$85)</f>
        <v>7.8813449993659371E-2</v>
      </c>
      <c r="BG38" s="22">
        <f>SUMIF(Emissions!$C$70:$C$85,'Emissions summary'!$C38,Emissions!BI$70:BI$85)</f>
        <v>7.8813449993659371E-2</v>
      </c>
      <c r="BH38" s="22">
        <f>SUMIF(Emissions!$C$70:$C$85,'Emissions summary'!$C38,Emissions!BJ$70:BJ$85)</f>
        <v>7.8813449993659371E-2</v>
      </c>
      <c r="BI38" s="22">
        <f>SUMIF(Emissions!$C$70:$C$85,'Emissions summary'!$C38,Emissions!BK$70:BK$85)</f>
        <v>7.8813449993659371E-2</v>
      </c>
      <c r="BJ38" s="22">
        <f>SUMIF(Emissions!$C$70:$C$85,'Emissions summary'!$C38,Emissions!BL$70:BL$85)</f>
        <v>7.8813449993659371E-2</v>
      </c>
      <c r="BK38" s="22">
        <f>SUMIF(Emissions!$C$70:$C$85,'Emissions summary'!$C38,Emissions!BM$70:BM$85)</f>
        <v>7.8813449993659371E-2</v>
      </c>
      <c r="BL38" s="22">
        <f>SUMIF(Emissions!$C$70:$C$85,'Emissions summary'!$C38,Emissions!BN$70:BN$85)</f>
        <v>7.8813449993659371E-2</v>
      </c>
      <c r="BM38" s="22">
        <f>SUMIF(Emissions!$C$70:$C$85,'Emissions summary'!$C38,Emissions!BO$70:BO$85)</f>
        <v>7.8813449993659371E-2</v>
      </c>
      <c r="BN38" s="22">
        <f>SUMIF(Emissions!$C$70:$C$85,'Emissions summary'!$C38,Emissions!BP$70:BP$85)</f>
        <v>7.8813449993659371E-2</v>
      </c>
    </row>
    <row r="39" spans="1:66" x14ac:dyDescent="0.25">
      <c r="A39" t="str">
        <f t="shared" si="19"/>
        <v>3C Aggregated and non-CO2 emissions on land</v>
      </c>
      <c r="B39" t="str">
        <f t="shared" si="23"/>
        <v>3C1 Biomass burning (N2O)</v>
      </c>
      <c r="C39" t="str">
        <f>'IPCC Categories'!C69</f>
        <v>3C1e Biomass burning in Settlements</v>
      </c>
      <c r="D39" t="str">
        <f t="shared" si="24"/>
        <v>N2O</v>
      </c>
      <c r="E39" t="str">
        <f t="shared" si="24"/>
        <v>Gg N2O</v>
      </c>
      <c r="F39" s="22">
        <f>SUMIF(Emissions!$C$70:$C$85,'Emissions summary'!$C39,Emissions!H$70:H$85)</f>
        <v>4.462880557297625E-2</v>
      </c>
      <c r="G39" s="22">
        <f>SUMIF(Emissions!$C$70:$C$85,'Emissions summary'!$C39,Emissions!I$70:I$85)</f>
        <v>4.462880557297625E-2</v>
      </c>
      <c r="H39" s="22">
        <f>SUMIF(Emissions!$C$70:$C$85,'Emissions summary'!$C39,Emissions!J$70:J$85)</f>
        <v>4.462880557297625E-2</v>
      </c>
      <c r="I39" s="22">
        <f>SUMIF(Emissions!$C$70:$C$85,'Emissions summary'!$C39,Emissions!K$70:K$85)</f>
        <v>4.462880557297625E-2</v>
      </c>
      <c r="J39" s="22">
        <f>SUMIF(Emissions!$C$70:$C$85,'Emissions summary'!$C39,Emissions!L$70:L$85)</f>
        <v>4.462880557297625E-2</v>
      </c>
      <c r="K39" s="22">
        <f>SUMIF(Emissions!$C$70:$C$85,'Emissions summary'!$C39,Emissions!M$70:M$85)</f>
        <v>4.462880557297625E-2</v>
      </c>
      <c r="L39" s="22">
        <f>SUMIF(Emissions!$C$70:$C$85,'Emissions summary'!$C39,Emissions!N$70:N$85)</f>
        <v>4.462880557297625E-2</v>
      </c>
      <c r="M39" s="22">
        <f>SUMIF(Emissions!$C$70:$C$85,'Emissions summary'!$C39,Emissions!O$70:O$85)</f>
        <v>4.462880557297625E-2</v>
      </c>
      <c r="N39" s="22">
        <f>SUMIF(Emissions!$C$70:$C$85,'Emissions summary'!$C39,Emissions!P$70:P$85)</f>
        <v>4.462880557297625E-2</v>
      </c>
      <c r="O39" s="22">
        <f>SUMIF(Emissions!$C$70:$C$85,'Emissions summary'!$C39,Emissions!Q$70:Q$85)</f>
        <v>4.462880557297625E-2</v>
      </c>
      <c r="P39" s="22">
        <f>SUMIF(Emissions!$C$70:$C$85,'Emissions summary'!$C39,Emissions!R$70:R$85)</f>
        <v>4.8614087979466203E-2</v>
      </c>
      <c r="Q39" s="22">
        <f>SUMIF(Emissions!$C$70:$C$85,'Emissions summary'!$C39,Emissions!S$70:S$85)</f>
        <v>5.3839059429649942E-2</v>
      </c>
      <c r="R39" s="22">
        <f>SUMIF(Emissions!$C$70:$C$85,'Emissions summary'!$C39,Emissions!T$70:T$85)</f>
        <v>4.76008805879857E-2</v>
      </c>
      <c r="S39" s="22">
        <f>SUMIF(Emissions!$C$70:$C$85,'Emissions summary'!$C39,Emissions!U$70:U$85)</f>
        <v>4.1064699572356617E-2</v>
      </c>
      <c r="T39" s="22">
        <f>SUMIF(Emissions!$C$70:$C$85,'Emissions summary'!$C39,Emissions!V$70:V$85)</f>
        <v>3.2025300295422769E-2</v>
      </c>
      <c r="U39" s="22">
        <f>SUMIF(Emissions!$C$70:$C$85,'Emissions summary'!$C39,Emissions!W$70:W$85)</f>
        <v>7.2513862331447368E-2</v>
      </c>
      <c r="V39" s="22">
        <f>SUMIF(Emissions!$C$70:$C$85,'Emissions summary'!$C39,Emissions!X$70:X$85)</f>
        <v>6.3514196677708815E-2</v>
      </c>
      <c r="W39" s="22">
        <f>SUMIF(Emissions!$C$70:$C$85,'Emissions summary'!$C39,Emissions!Y$70:Y$85)</f>
        <v>7.0249045809314473E-2</v>
      </c>
      <c r="X39" s="22">
        <f>SUMIF(Emissions!$C$70:$C$85,'Emissions summary'!$C39,Emissions!Z$70:Z$85)</f>
        <v>4.3369249717684813E-2</v>
      </c>
      <c r="Y39" s="22">
        <f>SUMIF(Emissions!$C$70:$C$85,'Emissions summary'!$C39,Emissions!AA$70:AA$85)</f>
        <v>5.2190114067044435E-2</v>
      </c>
      <c r="Z39" s="22">
        <f>SUMIF(Emissions!$C$70:$C$85,'Emissions summary'!$C39,Emissions!AB$70:AB$85)</f>
        <v>3.9028768379999995E-2</v>
      </c>
      <c r="AA39" s="22">
        <f>SUMIF(Emissions!$C$70:$C$85,'Emissions summary'!$C39,Emissions!AC$70:AC$85)</f>
        <v>2.72036394E-2</v>
      </c>
      <c r="AB39" s="22">
        <f>SUMIF(Emissions!$C$70:$C$85,'Emissions summary'!$C39,Emissions!AD$70:AD$85)</f>
        <v>3.9235523819963862E-2</v>
      </c>
      <c r="AC39" s="22">
        <f>SUMIF(Emissions!$C$70:$C$85,'Emissions summary'!$C39,Emissions!AE$70:AE$85)</f>
        <v>3.9318445103539788E-2</v>
      </c>
      <c r="AD39" s="22">
        <f>SUMIF(Emissions!$C$70:$C$85,'Emissions summary'!$C39,Emissions!AF$70:AF$85)</f>
        <v>3.9401366387115715E-2</v>
      </c>
      <c r="AE39" s="22">
        <f>SUMIF(Emissions!$C$70:$C$85,'Emissions summary'!$C39,Emissions!AG$70:AG$85)</f>
        <v>3.9484287670691648E-2</v>
      </c>
      <c r="AF39" s="22">
        <f>SUMIF(Emissions!$C$70:$C$85,'Emissions summary'!$C39,Emissions!AH$70:AH$85)</f>
        <v>3.9567208954267574E-2</v>
      </c>
      <c r="AG39" s="22">
        <f>SUMIF(Emissions!$C$70:$C$85,'Emissions summary'!$C39,Emissions!AI$70:AI$85)</f>
        <v>3.9650130237843507E-2</v>
      </c>
      <c r="AH39" s="22">
        <f>SUMIF(Emissions!$C$70:$C$85,'Emissions summary'!$C39,Emissions!AJ$70:AJ$85)</f>
        <v>3.9733051521419427E-2</v>
      </c>
      <c r="AI39" s="22">
        <f>SUMIF(Emissions!$C$70:$C$85,'Emissions summary'!$C39,Emissions!AK$70:AK$85)</f>
        <v>3.9812821048201767E-2</v>
      </c>
      <c r="AJ39" s="22">
        <f>SUMIF(Emissions!$C$70:$C$85,'Emissions summary'!$C39,Emissions!AL$70:AL$85)</f>
        <v>3.9892590574984101E-2</v>
      </c>
      <c r="AK39" s="22">
        <f>SUMIF(Emissions!$C$70:$C$85,'Emissions summary'!$C39,Emissions!AM$70:AM$85)</f>
        <v>3.9972360101766448E-2</v>
      </c>
      <c r="AL39" s="22">
        <f>SUMIF(Emissions!$C$70:$C$85,'Emissions summary'!$C39,Emissions!AN$70:AN$85)</f>
        <v>4.0052129628548781E-2</v>
      </c>
      <c r="AM39" s="22">
        <f>SUMIF(Emissions!$C$70:$C$85,'Emissions summary'!$C39,Emissions!AO$70:AO$85)</f>
        <v>4.0131899155331122E-2</v>
      </c>
      <c r="AN39" s="22">
        <f>SUMIF(Emissions!$C$70:$C$85,'Emissions summary'!$C39,Emissions!AP$70:AP$85)</f>
        <v>4.0211668682113448E-2</v>
      </c>
      <c r="AO39" s="22">
        <f>SUMIF(Emissions!$C$70:$C$85,'Emissions summary'!$C39,Emissions!AQ$70:AQ$85)</f>
        <v>4.0291438208895788E-2</v>
      </c>
      <c r="AP39" s="22">
        <f>SUMIF(Emissions!$C$70:$C$85,'Emissions summary'!$C39,Emissions!AR$70:AR$85)</f>
        <v>4.0371207735678129E-2</v>
      </c>
      <c r="AQ39" s="22">
        <f>SUMIF(Emissions!$C$70:$C$85,'Emissions summary'!$C39,Emissions!AS$70:AS$85)</f>
        <v>4.0450977262460462E-2</v>
      </c>
      <c r="AR39" s="22">
        <f>SUMIF(Emissions!$C$70:$C$85,'Emissions summary'!$C39,Emissions!AT$70:AT$85)</f>
        <v>4.0530746789242802E-2</v>
      </c>
      <c r="AS39" s="22">
        <f>SUMIF(Emissions!$C$70:$C$85,'Emissions summary'!$C39,Emissions!AU$70:AU$85)</f>
        <v>4.0610516316025136E-2</v>
      </c>
      <c r="AT39" s="22">
        <f>SUMIF(Emissions!$C$70:$C$85,'Emissions summary'!$C39,Emissions!AV$70:AV$85)</f>
        <v>4.0690285842807469E-2</v>
      </c>
      <c r="AU39" s="22">
        <f>SUMIF(Emissions!$C$70:$C$85,'Emissions summary'!$C39,Emissions!AW$70:AW$85)</f>
        <v>4.0770055369589803E-2</v>
      </c>
      <c r="AV39" s="22">
        <f>SUMIF(Emissions!$C$70:$C$85,'Emissions summary'!$C39,Emissions!AX$70:AX$85)</f>
        <v>4.084982489637215E-2</v>
      </c>
      <c r="AW39" s="22">
        <f>SUMIF(Emissions!$C$70:$C$85,'Emissions summary'!$C39,Emissions!AY$70:AY$85)</f>
        <v>4.0929594423154476E-2</v>
      </c>
      <c r="AX39" s="22">
        <f>SUMIF(Emissions!$C$70:$C$85,'Emissions summary'!$C39,Emissions!AZ$70:AZ$85)</f>
        <v>4.100936394993681E-2</v>
      </c>
      <c r="AY39" s="22">
        <f>SUMIF(Emissions!$C$70:$C$85,'Emissions summary'!$C39,Emissions!BA$70:BA$85)</f>
        <v>4.1089133476719157E-2</v>
      </c>
      <c r="AZ39" s="22">
        <f>SUMIF(Emissions!$C$70:$C$85,'Emissions summary'!$C39,Emissions!BB$70:BB$85)</f>
        <v>4.1168903003501491E-2</v>
      </c>
      <c r="BA39" s="22">
        <f>SUMIF(Emissions!$C$70:$C$85,'Emissions summary'!$C39,Emissions!BC$70:BC$85)</f>
        <v>4.1248672530283824E-2</v>
      </c>
      <c r="BB39" s="22">
        <f>SUMIF(Emissions!$C$70:$C$85,'Emissions summary'!$C39,Emissions!BD$70:BD$85)</f>
        <v>4.1328442057066164E-2</v>
      </c>
      <c r="BC39" s="22">
        <f>SUMIF(Emissions!$C$70:$C$85,'Emissions summary'!$C39,Emissions!BE$70:BE$85)</f>
        <v>4.1408211583848505E-2</v>
      </c>
      <c r="BD39" s="22">
        <f>SUMIF(Emissions!$C$70:$C$85,'Emissions summary'!$C39,Emissions!BF$70:BF$85)</f>
        <v>4.1487981110630831E-2</v>
      </c>
      <c r="BE39" s="22">
        <f>SUMIF(Emissions!$C$70:$C$85,'Emissions summary'!$C39,Emissions!BG$70:BG$85)</f>
        <v>4.1567750637413178E-2</v>
      </c>
      <c r="BF39" s="22">
        <f>SUMIF(Emissions!$C$70:$C$85,'Emissions summary'!$C39,Emissions!BH$70:BH$85)</f>
        <v>4.1647520164195512E-2</v>
      </c>
      <c r="BG39" s="22">
        <f>SUMIF(Emissions!$C$70:$C$85,'Emissions summary'!$C39,Emissions!BI$70:BI$85)</f>
        <v>4.1727289690977845E-2</v>
      </c>
      <c r="BH39" s="22">
        <f>SUMIF(Emissions!$C$70:$C$85,'Emissions summary'!$C39,Emissions!BJ$70:BJ$85)</f>
        <v>4.1807059217760185E-2</v>
      </c>
      <c r="BI39" s="22">
        <f>SUMIF(Emissions!$C$70:$C$85,'Emissions summary'!$C39,Emissions!BK$70:BK$85)</f>
        <v>4.1886828744542519E-2</v>
      </c>
      <c r="BJ39" s="22">
        <f>SUMIF(Emissions!$C$70:$C$85,'Emissions summary'!$C39,Emissions!BL$70:BL$85)</f>
        <v>4.1966598271324866E-2</v>
      </c>
      <c r="BK39" s="22">
        <f>SUMIF(Emissions!$C$70:$C$85,'Emissions summary'!$C39,Emissions!BM$70:BM$85)</f>
        <v>4.2046367798107193E-2</v>
      </c>
      <c r="BL39" s="22">
        <f>SUMIF(Emissions!$C$70:$C$85,'Emissions summary'!$C39,Emissions!BN$70:BN$85)</f>
        <v>4.2126137324889533E-2</v>
      </c>
      <c r="BM39" s="22">
        <f>SUMIF(Emissions!$C$70:$C$85,'Emissions summary'!$C39,Emissions!BO$70:BO$85)</f>
        <v>4.2205906851671873E-2</v>
      </c>
      <c r="BN39" s="22">
        <f>SUMIF(Emissions!$C$70:$C$85,'Emissions summary'!$C39,Emissions!BP$70:BP$85)</f>
        <v>4.2285676378454207E-2</v>
      </c>
    </row>
    <row r="40" spans="1:66" x14ac:dyDescent="0.25">
      <c r="A40" t="str">
        <f t="shared" si="19"/>
        <v>3C Aggregated and non-CO2 emissions on land</v>
      </c>
      <c r="B40" t="str">
        <f t="shared" si="23"/>
        <v>3C1 Biomass burning (N2O)</v>
      </c>
      <c r="C40" t="str">
        <f>'IPCC Categories'!C70</f>
        <v>3C1f Biomass burning in Other lands</v>
      </c>
      <c r="D40" t="str">
        <f t="shared" si="24"/>
        <v>N2O</v>
      </c>
      <c r="E40" t="str">
        <f t="shared" si="24"/>
        <v>Gg N2O</v>
      </c>
      <c r="F40" s="22">
        <f>SUMIF(Emissions!$C$70:$C$85,'Emissions summary'!$C40,Emissions!H$70:H$85)</f>
        <v>0</v>
      </c>
      <c r="G40" s="22">
        <f>SUMIF(Emissions!$C$70:$C$85,'Emissions summary'!$C40,Emissions!I$70:I$85)</f>
        <v>0</v>
      </c>
      <c r="H40" s="22">
        <f>SUMIF(Emissions!$C$70:$C$85,'Emissions summary'!$C40,Emissions!J$70:J$85)</f>
        <v>0</v>
      </c>
      <c r="I40" s="22">
        <f>SUMIF(Emissions!$C$70:$C$85,'Emissions summary'!$C40,Emissions!K$70:K$85)</f>
        <v>0</v>
      </c>
      <c r="J40" s="22">
        <f>SUMIF(Emissions!$C$70:$C$85,'Emissions summary'!$C40,Emissions!L$70:L$85)</f>
        <v>0</v>
      </c>
      <c r="K40" s="22">
        <f>SUMIF(Emissions!$C$70:$C$85,'Emissions summary'!$C40,Emissions!M$70:M$85)</f>
        <v>0</v>
      </c>
      <c r="L40" s="22">
        <f>SUMIF(Emissions!$C$70:$C$85,'Emissions summary'!$C40,Emissions!N$70:N$85)</f>
        <v>0</v>
      </c>
      <c r="M40" s="22">
        <f>SUMIF(Emissions!$C$70:$C$85,'Emissions summary'!$C40,Emissions!O$70:O$85)</f>
        <v>0</v>
      </c>
      <c r="N40" s="22">
        <f>SUMIF(Emissions!$C$70:$C$85,'Emissions summary'!$C40,Emissions!P$70:P$85)</f>
        <v>0</v>
      </c>
      <c r="O40" s="22">
        <f>SUMIF(Emissions!$C$70:$C$85,'Emissions summary'!$C40,Emissions!Q$70:Q$85)</f>
        <v>0</v>
      </c>
      <c r="P40" s="22">
        <f>SUMIF(Emissions!$C$70:$C$85,'Emissions summary'!$C40,Emissions!R$70:R$85)</f>
        <v>0</v>
      </c>
      <c r="Q40" s="22">
        <f>SUMIF(Emissions!$C$70:$C$85,'Emissions summary'!$C40,Emissions!S$70:S$85)</f>
        <v>0</v>
      </c>
      <c r="R40" s="22">
        <f>SUMIF(Emissions!$C$70:$C$85,'Emissions summary'!$C40,Emissions!T$70:T$85)</f>
        <v>0</v>
      </c>
      <c r="S40" s="22">
        <f>SUMIF(Emissions!$C$70:$C$85,'Emissions summary'!$C40,Emissions!U$70:U$85)</f>
        <v>0</v>
      </c>
      <c r="T40" s="22">
        <f>SUMIF(Emissions!$C$70:$C$85,'Emissions summary'!$C40,Emissions!V$70:V$85)</f>
        <v>0</v>
      </c>
      <c r="U40" s="22">
        <f>SUMIF(Emissions!$C$70:$C$85,'Emissions summary'!$C40,Emissions!W$70:W$85)</f>
        <v>0</v>
      </c>
      <c r="V40" s="22">
        <f>SUMIF(Emissions!$C$70:$C$85,'Emissions summary'!$C40,Emissions!X$70:X$85)</f>
        <v>0</v>
      </c>
      <c r="W40" s="22">
        <f>SUMIF(Emissions!$C$70:$C$85,'Emissions summary'!$C40,Emissions!Y$70:Y$85)</f>
        <v>0</v>
      </c>
      <c r="X40" s="22">
        <f>SUMIF(Emissions!$C$70:$C$85,'Emissions summary'!$C40,Emissions!Z$70:Z$85)</f>
        <v>0</v>
      </c>
      <c r="Y40" s="22">
        <f>SUMIF(Emissions!$C$70:$C$85,'Emissions summary'!$C40,Emissions!AA$70:AA$85)</f>
        <v>0</v>
      </c>
      <c r="Z40" s="22">
        <f>SUMIF(Emissions!$C$70:$C$85,'Emissions summary'!$C40,Emissions!AB$70:AB$85)</f>
        <v>0</v>
      </c>
      <c r="AA40" s="22">
        <f>SUMIF(Emissions!$C$70:$C$85,'Emissions summary'!$C40,Emissions!AC$70:AC$85)</f>
        <v>0</v>
      </c>
      <c r="AB40" s="22">
        <f>SUMIF(Emissions!$C$70:$C$85,'Emissions summary'!$C40,Emissions!AD$70:AD$85)</f>
        <v>0</v>
      </c>
      <c r="AC40" s="22">
        <f>SUMIF(Emissions!$C$70:$C$85,'Emissions summary'!$C40,Emissions!AE$70:AE$85)</f>
        <v>0</v>
      </c>
      <c r="AD40" s="22">
        <f>SUMIF(Emissions!$C$70:$C$85,'Emissions summary'!$C40,Emissions!AF$70:AF$85)</f>
        <v>0</v>
      </c>
      <c r="AE40" s="22">
        <f>SUMIF(Emissions!$C$70:$C$85,'Emissions summary'!$C40,Emissions!AG$70:AG$85)</f>
        <v>0</v>
      </c>
      <c r="AF40" s="22">
        <f>SUMIF(Emissions!$C$70:$C$85,'Emissions summary'!$C40,Emissions!AH$70:AH$85)</f>
        <v>0</v>
      </c>
      <c r="AG40" s="22">
        <f>SUMIF(Emissions!$C$70:$C$85,'Emissions summary'!$C40,Emissions!AI$70:AI$85)</f>
        <v>0</v>
      </c>
      <c r="AH40" s="22">
        <f>SUMIF(Emissions!$C$70:$C$85,'Emissions summary'!$C40,Emissions!AJ$70:AJ$85)</f>
        <v>0</v>
      </c>
      <c r="AI40" s="22">
        <f>SUMIF(Emissions!$C$70:$C$85,'Emissions summary'!$C40,Emissions!AK$70:AK$85)</f>
        <v>0</v>
      </c>
      <c r="AJ40" s="22">
        <f>SUMIF(Emissions!$C$70:$C$85,'Emissions summary'!$C40,Emissions!AL$70:AL$85)</f>
        <v>0</v>
      </c>
      <c r="AK40" s="22">
        <f>SUMIF(Emissions!$C$70:$C$85,'Emissions summary'!$C40,Emissions!AM$70:AM$85)</f>
        <v>0</v>
      </c>
      <c r="AL40" s="22">
        <f>SUMIF(Emissions!$C$70:$C$85,'Emissions summary'!$C40,Emissions!AN$70:AN$85)</f>
        <v>0</v>
      </c>
      <c r="AM40" s="22">
        <f>SUMIF(Emissions!$C$70:$C$85,'Emissions summary'!$C40,Emissions!AO$70:AO$85)</f>
        <v>0</v>
      </c>
      <c r="AN40" s="22">
        <f>SUMIF(Emissions!$C$70:$C$85,'Emissions summary'!$C40,Emissions!AP$70:AP$85)</f>
        <v>0</v>
      </c>
      <c r="AO40" s="22">
        <f>SUMIF(Emissions!$C$70:$C$85,'Emissions summary'!$C40,Emissions!AQ$70:AQ$85)</f>
        <v>0</v>
      </c>
      <c r="AP40" s="22">
        <f>SUMIF(Emissions!$C$70:$C$85,'Emissions summary'!$C40,Emissions!AR$70:AR$85)</f>
        <v>0</v>
      </c>
      <c r="AQ40" s="22">
        <f>SUMIF(Emissions!$C$70:$C$85,'Emissions summary'!$C40,Emissions!AS$70:AS$85)</f>
        <v>0</v>
      </c>
      <c r="AR40" s="22">
        <f>SUMIF(Emissions!$C$70:$C$85,'Emissions summary'!$C40,Emissions!AT$70:AT$85)</f>
        <v>0</v>
      </c>
      <c r="AS40" s="22">
        <f>SUMIF(Emissions!$C$70:$C$85,'Emissions summary'!$C40,Emissions!AU$70:AU$85)</f>
        <v>0</v>
      </c>
      <c r="AT40" s="22">
        <f>SUMIF(Emissions!$C$70:$C$85,'Emissions summary'!$C40,Emissions!AV$70:AV$85)</f>
        <v>0</v>
      </c>
      <c r="AU40" s="22">
        <f>SUMIF(Emissions!$C$70:$C$85,'Emissions summary'!$C40,Emissions!AW$70:AW$85)</f>
        <v>0</v>
      </c>
      <c r="AV40" s="22">
        <f>SUMIF(Emissions!$C$70:$C$85,'Emissions summary'!$C40,Emissions!AX$70:AX$85)</f>
        <v>0</v>
      </c>
      <c r="AW40" s="22">
        <f>SUMIF(Emissions!$C$70:$C$85,'Emissions summary'!$C40,Emissions!AY$70:AY$85)</f>
        <v>0</v>
      </c>
      <c r="AX40" s="22">
        <f>SUMIF(Emissions!$C$70:$C$85,'Emissions summary'!$C40,Emissions!AZ$70:AZ$85)</f>
        <v>0</v>
      </c>
      <c r="AY40" s="22">
        <f>SUMIF(Emissions!$C$70:$C$85,'Emissions summary'!$C40,Emissions!BA$70:BA$85)</f>
        <v>0</v>
      </c>
      <c r="AZ40" s="22">
        <f>SUMIF(Emissions!$C$70:$C$85,'Emissions summary'!$C40,Emissions!BB$70:BB$85)</f>
        <v>0</v>
      </c>
      <c r="BA40" s="22">
        <f>SUMIF(Emissions!$C$70:$C$85,'Emissions summary'!$C40,Emissions!BC$70:BC$85)</f>
        <v>0</v>
      </c>
      <c r="BB40" s="22">
        <f>SUMIF(Emissions!$C$70:$C$85,'Emissions summary'!$C40,Emissions!BD$70:BD$85)</f>
        <v>0</v>
      </c>
      <c r="BC40" s="22">
        <f>SUMIF(Emissions!$C$70:$C$85,'Emissions summary'!$C40,Emissions!BE$70:BE$85)</f>
        <v>0</v>
      </c>
      <c r="BD40" s="22">
        <f>SUMIF(Emissions!$C$70:$C$85,'Emissions summary'!$C40,Emissions!BF$70:BF$85)</f>
        <v>0</v>
      </c>
      <c r="BE40" s="22">
        <f>SUMIF(Emissions!$C$70:$C$85,'Emissions summary'!$C40,Emissions!BG$70:BG$85)</f>
        <v>0</v>
      </c>
      <c r="BF40" s="22">
        <f>SUMIF(Emissions!$C$70:$C$85,'Emissions summary'!$C40,Emissions!BH$70:BH$85)</f>
        <v>0</v>
      </c>
      <c r="BG40" s="22">
        <f>SUMIF(Emissions!$C$70:$C$85,'Emissions summary'!$C40,Emissions!BI$70:BI$85)</f>
        <v>0</v>
      </c>
      <c r="BH40" s="22">
        <f>SUMIF(Emissions!$C$70:$C$85,'Emissions summary'!$C40,Emissions!BJ$70:BJ$85)</f>
        <v>0</v>
      </c>
      <c r="BI40" s="22">
        <f>SUMIF(Emissions!$C$70:$C$85,'Emissions summary'!$C40,Emissions!BK$70:BK$85)</f>
        <v>0</v>
      </c>
      <c r="BJ40" s="22">
        <f>SUMIF(Emissions!$C$70:$C$85,'Emissions summary'!$C40,Emissions!BL$70:BL$85)</f>
        <v>0</v>
      </c>
      <c r="BK40" s="22">
        <f>SUMIF(Emissions!$C$70:$C$85,'Emissions summary'!$C40,Emissions!BM$70:BM$85)</f>
        <v>0</v>
      </c>
      <c r="BL40" s="22">
        <f>SUMIF(Emissions!$C$70:$C$85,'Emissions summary'!$C40,Emissions!BN$70:BN$85)</f>
        <v>0</v>
      </c>
      <c r="BM40" s="22">
        <f>SUMIF(Emissions!$C$70:$C$85,'Emissions summary'!$C40,Emissions!BO$70:BO$85)</f>
        <v>0</v>
      </c>
      <c r="BN40" s="22">
        <f>SUMIF(Emissions!$C$70:$C$85,'Emissions summary'!$C40,Emissions!BP$70:BP$85)</f>
        <v>0</v>
      </c>
    </row>
    <row r="41" spans="1:66" s="19" customFormat="1" ht="15.75" x14ac:dyDescent="0.25">
      <c r="A41" s="19" t="str">
        <f t="shared" si="19"/>
        <v>3C Aggregated and non-CO2 emissions on land</v>
      </c>
      <c r="B41" s="19" t="str">
        <f>'IPCC Categories'!B71</f>
        <v>3C2 Liming (CO2)</v>
      </c>
      <c r="C41" s="19" t="s">
        <v>148</v>
      </c>
      <c r="D41" s="19" t="s">
        <v>385</v>
      </c>
      <c r="E41" s="19" t="s">
        <v>387</v>
      </c>
      <c r="F41" s="49">
        <f>Emissions!H86</f>
        <v>357.5</v>
      </c>
      <c r="G41" s="49">
        <f>Emissions!I86</f>
        <v>378.125</v>
      </c>
      <c r="H41" s="49">
        <f>Emissions!J86</f>
        <v>261.25</v>
      </c>
      <c r="I41" s="49">
        <f>Emissions!K86</f>
        <v>412.5</v>
      </c>
      <c r="J41" s="49">
        <f>Emissions!L86</f>
        <v>595.58170833333327</v>
      </c>
      <c r="K41" s="49">
        <f>Emissions!M86</f>
        <v>473.34145833333332</v>
      </c>
      <c r="L41" s="49">
        <f>Emissions!N86</f>
        <v>579.13625000000002</v>
      </c>
      <c r="M41" s="49">
        <f>Emissions!O86</f>
        <v>547.24312499999996</v>
      </c>
      <c r="N41" s="49">
        <f>Emissions!P86</f>
        <v>570.31379166666659</v>
      </c>
      <c r="O41" s="49">
        <f>Emissions!Q86</f>
        <v>567.03808333333325</v>
      </c>
      <c r="P41" s="49">
        <f>Emissions!R86</f>
        <v>378.2405</v>
      </c>
      <c r="Q41" s="49">
        <f>Emissions!S86</f>
        <v>489.66362500000002</v>
      </c>
      <c r="R41" s="49">
        <f>Emissions!T86</f>
        <v>672.79437500000006</v>
      </c>
      <c r="S41" s="49">
        <f>Emissions!U86</f>
        <v>580.13175000000001</v>
      </c>
      <c r="T41" s="49">
        <f>Emissions!V86</f>
        <v>579.7403333333333</v>
      </c>
      <c r="U41" s="49">
        <f>Emissions!W86</f>
        <v>266.03683333333333</v>
      </c>
      <c r="V41" s="49">
        <f>Emissions!X86</f>
        <v>441.42908333333332</v>
      </c>
      <c r="W41" s="49">
        <f>Emissions!Y86</f>
        <v>521.42108333333329</v>
      </c>
      <c r="X41" s="49">
        <f>Emissions!Z86</f>
        <v>655.32637499999998</v>
      </c>
      <c r="Y41" s="49">
        <f>Emissions!AA86</f>
        <v>695.56775237855516</v>
      </c>
      <c r="Z41" s="49">
        <f>Emissions!AB86</f>
        <v>653.23730656422072</v>
      </c>
      <c r="AA41" s="49">
        <f>Emissions!AC86</f>
        <v>722.61220387104663</v>
      </c>
      <c r="AB41" s="49">
        <f>Emissions!AD86</f>
        <v>686.82166737777982</v>
      </c>
      <c r="AC41" s="49">
        <f>Emissions!AE86</f>
        <v>690.46807135714243</v>
      </c>
      <c r="AD41" s="49">
        <f>Emissions!AF86</f>
        <v>694.14759049189047</v>
      </c>
      <c r="AE41" s="49">
        <f>Emissions!AG86</f>
        <v>697.86052552034892</v>
      </c>
      <c r="AF41" s="49">
        <f>Emissions!AH86</f>
        <v>701.90718951194333</v>
      </c>
      <c r="AG41" s="49">
        <f>Emissions!AI86</f>
        <v>705.95385350353752</v>
      </c>
      <c r="AH41" s="49">
        <f>Emissions!AJ86</f>
        <v>710.0005174951317</v>
      </c>
      <c r="AI41" s="49">
        <f>Emissions!AK86</f>
        <v>714.047181486726</v>
      </c>
      <c r="AJ41" s="49">
        <f>Emissions!AL86</f>
        <v>718.0938454783203</v>
      </c>
      <c r="AK41" s="49">
        <f>Emissions!AM86</f>
        <v>722.19557607453942</v>
      </c>
      <c r="AL41" s="49">
        <f>Emissions!AN86</f>
        <v>726.29730659504719</v>
      </c>
      <c r="AM41" s="49">
        <f>Emissions!AO86</f>
        <v>730.39903711555496</v>
      </c>
      <c r="AN41" s="49">
        <f>Emissions!AP86</f>
        <v>730.39903711555496</v>
      </c>
      <c r="AO41" s="49">
        <f>Emissions!AQ86</f>
        <v>730.39903711555496</v>
      </c>
      <c r="AP41" s="49">
        <f>Emissions!AR86</f>
        <v>730.39903711555496</v>
      </c>
      <c r="AQ41" s="49">
        <f>Emissions!AS86</f>
        <v>730.39903711555496</v>
      </c>
      <c r="AR41" s="49">
        <f>Emissions!AT86</f>
        <v>730.39903711555496</v>
      </c>
      <c r="AS41" s="49">
        <f>Emissions!AU86</f>
        <v>730.39903711555496</v>
      </c>
      <c r="AT41" s="49">
        <f>Emissions!AV86</f>
        <v>730.39903711555496</v>
      </c>
      <c r="AU41" s="49">
        <f>Emissions!AW86</f>
        <v>730.39903711555496</v>
      </c>
      <c r="AV41" s="49">
        <f>Emissions!AX86</f>
        <v>730.39903711555496</v>
      </c>
      <c r="AW41" s="49">
        <f>Emissions!AY86</f>
        <v>730.39903711555496</v>
      </c>
      <c r="AX41" s="49">
        <f>Emissions!AZ86</f>
        <v>730.39903711555496</v>
      </c>
      <c r="AY41" s="49">
        <f>Emissions!BA86</f>
        <v>730.39903711555496</v>
      </c>
      <c r="AZ41" s="49">
        <f>Emissions!BB86</f>
        <v>730.39903711555496</v>
      </c>
      <c r="BA41" s="49">
        <f>Emissions!BC86</f>
        <v>730.39903711555496</v>
      </c>
      <c r="BB41" s="49">
        <f>Emissions!BD86</f>
        <v>730.39903711555496</v>
      </c>
      <c r="BC41" s="49">
        <f>Emissions!BE86</f>
        <v>730.39903711555496</v>
      </c>
      <c r="BD41" s="49">
        <f>Emissions!BF86</f>
        <v>730.39903711555496</v>
      </c>
      <c r="BE41" s="49">
        <f>Emissions!BG86</f>
        <v>730.39903711555496</v>
      </c>
      <c r="BF41" s="49">
        <f>Emissions!BH86</f>
        <v>730.39903711555496</v>
      </c>
      <c r="BG41" s="49">
        <f>Emissions!BI86</f>
        <v>730.39903711555496</v>
      </c>
      <c r="BH41" s="49">
        <f>Emissions!BJ86</f>
        <v>730.39903711555496</v>
      </c>
      <c r="BI41" s="49">
        <f>Emissions!BK86</f>
        <v>730.39903711555496</v>
      </c>
      <c r="BJ41" s="49">
        <f>Emissions!BL86</f>
        <v>730.39903711555496</v>
      </c>
      <c r="BK41" s="49">
        <f>Emissions!BM86</f>
        <v>730.39903711555496</v>
      </c>
      <c r="BL41" s="49">
        <f>Emissions!BN86</f>
        <v>730.39903711555496</v>
      </c>
      <c r="BM41" s="49">
        <f>Emissions!BO86</f>
        <v>730.39903711555496</v>
      </c>
      <c r="BN41" s="49">
        <f>Emissions!BP86</f>
        <v>730.39903711555496</v>
      </c>
    </row>
    <row r="42" spans="1:66" s="19" customFormat="1" ht="15.75" x14ac:dyDescent="0.25">
      <c r="A42" s="19" t="str">
        <f t="shared" si="19"/>
        <v>3C Aggregated and non-CO2 emissions on land</v>
      </c>
      <c r="B42" s="19" t="str">
        <f>'IPCC Categories'!B72</f>
        <v>3C3 Urea application (CO2)</v>
      </c>
      <c r="C42" s="19" t="s">
        <v>148</v>
      </c>
      <c r="D42" s="19" t="str">
        <f>D41</f>
        <v>CO2</v>
      </c>
      <c r="E42" s="19" t="str">
        <f>E41</f>
        <v>Gg CO2</v>
      </c>
      <c r="F42" s="49">
        <f>Emissions!H87</f>
        <v>90.994567483487728</v>
      </c>
      <c r="G42" s="49">
        <f>Emissions!I87</f>
        <v>111.62690198838213</v>
      </c>
      <c r="H42" s="49">
        <f>Emissions!J87</f>
        <v>132.25923649327655</v>
      </c>
      <c r="I42" s="49">
        <f>Emissions!K87</f>
        <v>152.89157099816552</v>
      </c>
      <c r="J42" s="49">
        <f>Emissions!L87</f>
        <v>173.52390550305992</v>
      </c>
      <c r="K42" s="49">
        <f>Emissions!M87</f>
        <v>194.15624000795432</v>
      </c>
      <c r="L42" s="49">
        <f>Emissions!N87</f>
        <v>214.78857451284878</v>
      </c>
      <c r="M42" s="49">
        <f>Emissions!O87</f>
        <v>235.42090901774316</v>
      </c>
      <c r="N42" s="49">
        <f>Emissions!P87</f>
        <v>256.05324352263762</v>
      </c>
      <c r="O42" s="49">
        <f>Emissions!Q87</f>
        <v>276.68557802753202</v>
      </c>
      <c r="P42" s="49">
        <f>Emissions!R87</f>
        <v>297.31791253242642</v>
      </c>
      <c r="Q42" s="49">
        <f>Emissions!S87</f>
        <v>317.95024703732088</v>
      </c>
      <c r="R42" s="49">
        <f>Emissions!T87</f>
        <v>338.58258154220977</v>
      </c>
      <c r="S42" s="49">
        <f>Emissions!U87</f>
        <v>359.21491604710423</v>
      </c>
      <c r="T42" s="49">
        <f>Emissions!V87</f>
        <v>435.89846666666671</v>
      </c>
      <c r="U42" s="49">
        <f>Emissions!W87</f>
        <v>355.08659999999998</v>
      </c>
      <c r="V42" s="49">
        <f>Emissions!X87</f>
        <v>393.08573333333334</v>
      </c>
      <c r="W42" s="49">
        <f>Emissions!Y87</f>
        <v>484.55366666666663</v>
      </c>
      <c r="X42" s="49">
        <f>Emissions!Z87</f>
        <v>480.19253333333336</v>
      </c>
      <c r="Y42" s="49">
        <f>Emissions!AA87</f>
        <v>380.54426666666666</v>
      </c>
      <c r="Z42" s="49">
        <f>Emissions!AB87</f>
        <v>501.48046666666664</v>
      </c>
      <c r="AA42" s="49">
        <f>Emissions!AC87</f>
        <v>571.19113333333337</v>
      </c>
      <c r="AB42" s="49">
        <f>Emissions!AD87</f>
        <v>473.70201342711152</v>
      </c>
      <c r="AC42" s="49">
        <f>Emissions!AE87</f>
        <v>473.87950816779028</v>
      </c>
      <c r="AD42" s="49">
        <f>Emissions!AF87</f>
        <v>474.05861484339204</v>
      </c>
      <c r="AE42" s="49">
        <f>Emissions!AG87</f>
        <v>474.2393480928518</v>
      </c>
      <c r="AF42" s="49">
        <f>Emissions!AH87</f>
        <v>474.43632615119856</v>
      </c>
      <c r="AG42" s="49">
        <f>Emissions!AI87</f>
        <v>474.63330420954514</v>
      </c>
      <c r="AH42" s="49">
        <f>Emissions!AJ87</f>
        <v>474.83028226789162</v>
      </c>
      <c r="AI42" s="49">
        <f>Emissions!AK87</f>
        <v>475.02726032623832</v>
      </c>
      <c r="AJ42" s="49">
        <f>Emissions!AL87</f>
        <v>475.22423838458496</v>
      </c>
      <c r="AK42" s="49">
        <f>Emissions!AM87</f>
        <v>475.42389690092881</v>
      </c>
      <c r="AL42" s="49">
        <f>Emissions!AN87</f>
        <v>475.62355541358733</v>
      </c>
      <c r="AM42" s="49">
        <f>Emissions!AO87</f>
        <v>475.82321392624596</v>
      </c>
      <c r="AN42" s="49">
        <f>Emissions!AP87</f>
        <v>475.82321392624596</v>
      </c>
      <c r="AO42" s="49">
        <f>Emissions!AQ87</f>
        <v>475.82321392624596</v>
      </c>
      <c r="AP42" s="49">
        <f>Emissions!AR87</f>
        <v>475.82321392624596</v>
      </c>
      <c r="AQ42" s="49">
        <f>Emissions!AS87</f>
        <v>475.82321392624596</v>
      </c>
      <c r="AR42" s="49">
        <f>Emissions!AT87</f>
        <v>475.82321392624596</v>
      </c>
      <c r="AS42" s="49">
        <f>Emissions!AU87</f>
        <v>475.82321392624596</v>
      </c>
      <c r="AT42" s="49">
        <f>Emissions!AV87</f>
        <v>475.82321392624596</v>
      </c>
      <c r="AU42" s="49">
        <f>Emissions!AW87</f>
        <v>475.82321392624596</v>
      </c>
      <c r="AV42" s="49">
        <f>Emissions!AX87</f>
        <v>475.82321392624596</v>
      </c>
      <c r="AW42" s="49">
        <f>Emissions!AY87</f>
        <v>475.82321392624596</v>
      </c>
      <c r="AX42" s="49">
        <f>Emissions!AZ87</f>
        <v>475.82321392624596</v>
      </c>
      <c r="AY42" s="49">
        <f>Emissions!BA87</f>
        <v>475.82321392624596</v>
      </c>
      <c r="AZ42" s="49">
        <f>Emissions!BB87</f>
        <v>475.82321392624596</v>
      </c>
      <c r="BA42" s="49">
        <f>Emissions!BC87</f>
        <v>475.82321392624596</v>
      </c>
      <c r="BB42" s="49">
        <f>Emissions!BD87</f>
        <v>475.82321392624596</v>
      </c>
      <c r="BC42" s="49">
        <f>Emissions!BE87</f>
        <v>475.82321392624596</v>
      </c>
      <c r="BD42" s="49">
        <f>Emissions!BF87</f>
        <v>475.82321392624596</v>
      </c>
      <c r="BE42" s="49">
        <f>Emissions!BG87</f>
        <v>475.82321392624596</v>
      </c>
      <c r="BF42" s="49">
        <f>Emissions!BH87</f>
        <v>475.82321392624596</v>
      </c>
      <c r="BG42" s="49">
        <f>Emissions!BI87</f>
        <v>475.82321392624596</v>
      </c>
      <c r="BH42" s="49">
        <f>Emissions!BJ87</f>
        <v>475.82321392624596</v>
      </c>
      <c r="BI42" s="49">
        <f>Emissions!BK87</f>
        <v>475.82321392624596</v>
      </c>
      <c r="BJ42" s="49">
        <f>Emissions!BL87</f>
        <v>475.82321392624596</v>
      </c>
      <c r="BK42" s="49">
        <f>Emissions!BM87</f>
        <v>475.82321392624596</v>
      </c>
      <c r="BL42" s="49">
        <f>Emissions!BN87</f>
        <v>475.82321392624596</v>
      </c>
      <c r="BM42" s="49">
        <f>Emissions!BO87</f>
        <v>475.82321392624596</v>
      </c>
      <c r="BN42" s="49">
        <f>Emissions!BP87</f>
        <v>475.82321392624596</v>
      </c>
    </row>
    <row r="43" spans="1:66" s="19" customFormat="1" ht="15.75" x14ac:dyDescent="0.25">
      <c r="A43" s="19" t="str">
        <f t="shared" si="19"/>
        <v>3C Aggregated and non-CO2 emissions on land</v>
      </c>
      <c r="B43" s="19" t="str">
        <f>'IPCC Categories'!B73</f>
        <v>3C4 Direct N2O from managed soils (N2O)</v>
      </c>
      <c r="C43" s="19" t="s">
        <v>148</v>
      </c>
      <c r="D43" s="19" t="s">
        <v>139</v>
      </c>
      <c r="E43" s="19" t="s">
        <v>287</v>
      </c>
      <c r="F43" s="49">
        <f>SUM(F44:F48)</f>
        <v>62.919046528355814</v>
      </c>
      <c r="G43" s="49">
        <f t="shared" ref="G43:BN43" si="25">SUM(G44:G48)</f>
        <v>62.2353095779456</v>
      </c>
      <c r="H43" s="49">
        <f t="shared" si="25"/>
        <v>61.437626081668334</v>
      </c>
      <c r="I43" s="49">
        <f t="shared" si="25"/>
        <v>61.399579137891365</v>
      </c>
      <c r="J43" s="49">
        <f t="shared" si="25"/>
        <v>60.120057743735003</v>
      </c>
      <c r="K43" s="49">
        <f t="shared" si="25"/>
        <v>58.210344359858588</v>
      </c>
      <c r="L43" s="49">
        <f t="shared" si="25"/>
        <v>60.865143286848628</v>
      </c>
      <c r="M43" s="49">
        <f t="shared" si="25"/>
        <v>61.932598352462911</v>
      </c>
      <c r="N43" s="49">
        <f t="shared" si="25"/>
        <v>61.643562112813207</v>
      </c>
      <c r="O43" s="49">
        <f t="shared" si="25"/>
        <v>61.525140918104746</v>
      </c>
      <c r="P43" s="49">
        <f t="shared" si="25"/>
        <v>62.3452100614778</v>
      </c>
      <c r="Q43" s="49">
        <f t="shared" si="25"/>
        <v>60.009398686387172</v>
      </c>
      <c r="R43" s="49">
        <f t="shared" si="25"/>
        <v>61.278064942144297</v>
      </c>
      <c r="S43" s="49">
        <f t="shared" si="25"/>
        <v>60.292170029579161</v>
      </c>
      <c r="T43" s="49">
        <f t="shared" si="25"/>
        <v>59.16232052049628</v>
      </c>
      <c r="U43" s="49">
        <f t="shared" si="25"/>
        <v>58.168531948492024</v>
      </c>
      <c r="V43" s="49">
        <f t="shared" si="25"/>
        <v>57.042548983943853</v>
      </c>
      <c r="W43" s="49">
        <f t="shared" si="25"/>
        <v>59.8884397568739</v>
      </c>
      <c r="X43" s="49">
        <f t="shared" si="25"/>
        <v>61.015108369738776</v>
      </c>
      <c r="Y43" s="49">
        <f t="shared" si="25"/>
        <v>60.323799979221782</v>
      </c>
      <c r="Z43" s="49">
        <f t="shared" si="25"/>
        <v>59.616107882728997</v>
      </c>
      <c r="AA43" s="49">
        <f t="shared" si="25"/>
        <v>59.217249522907913</v>
      </c>
      <c r="AB43" s="49">
        <f t="shared" si="25"/>
        <v>59.282971684022641</v>
      </c>
      <c r="AC43" s="49">
        <f t="shared" si="25"/>
        <v>59.210072182062078</v>
      </c>
      <c r="AD43" s="49">
        <f t="shared" si="25"/>
        <v>59.152648714778387</v>
      </c>
      <c r="AE43" s="49">
        <f t="shared" si="25"/>
        <v>59.109080343596972</v>
      </c>
      <c r="AF43" s="49">
        <f t="shared" si="25"/>
        <v>59.073716288780957</v>
      </c>
      <c r="AG43" s="49">
        <f t="shared" si="25"/>
        <v>59.031134273880305</v>
      </c>
      <c r="AH43" s="49">
        <f t="shared" si="25"/>
        <v>58.992820713471701</v>
      </c>
      <c r="AI43" s="49">
        <f t="shared" si="25"/>
        <v>58.958352015741163</v>
      </c>
      <c r="AJ43" s="49">
        <f t="shared" si="25"/>
        <v>59.121794989041256</v>
      </c>
      <c r="AK43" s="49">
        <f t="shared" si="25"/>
        <v>59.051076954742932</v>
      </c>
      <c r="AL43" s="49">
        <f t="shared" si="25"/>
        <v>58.986571466844076</v>
      </c>
      <c r="AM43" s="49">
        <f t="shared" si="25"/>
        <v>58.925126283887643</v>
      </c>
      <c r="AN43" s="49">
        <f t="shared" si="25"/>
        <v>58.924029453415841</v>
      </c>
      <c r="AO43" s="49">
        <f t="shared" si="25"/>
        <v>58.924159081073498</v>
      </c>
      <c r="AP43" s="49">
        <f t="shared" si="25"/>
        <v>58.922623997915409</v>
      </c>
      <c r="AQ43" s="49">
        <f t="shared" si="25"/>
        <v>58.925334960121944</v>
      </c>
      <c r="AR43" s="49">
        <f t="shared" si="25"/>
        <v>58.92985311434466</v>
      </c>
      <c r="AS43" s="49">
        <f t="shared" si="25"/>
        <v>58.936822917175299</v>
      </c>
      <c r="AT43" s="49">
        <f t="shared" si="25"/>
        <v>58.951879012919136</v>
      </c>
      <c r="AU43" s="49">
        <f t="shared" si="25"/>
        <v>59.199281086451322</v>
      </c>
      <c r="AV43" s="49">
        <f t="shared" si="25"/>
        <v>59.39193145712612</v>
      </c>
      <c r="AW43" s="49">
        <f t="shared" si="25"/>
        <v>59.614098486754621</v>
      </c>
      <c r="AX43" s="49">
        <f t="shared" si="25"/>
        <v>59.836663090287594</v>
      </c>
      <c r="AY43" s="49">
        <f t="shared" si="25"/>
        <v>60.056437050960433</v>
      </c>
      <c r="AZ43" s="49">
        <f t="shared" si="25"/>
        <v>60.244093489888726</v>
      </c>
      <c r="BA43" s="49">
        <f t="shared" si="25"/>
        <v>60.407742022387538</v>
      </c>
      <c r="BB43" s="49">
        <f t="shared" si="25"/>
        <v>60.510738442866518</v>
      </c>
      <c r="BC43" s="49">
        <f t="shared" si="25"/>
        <v>60.582855283969323</v>
      </c>
      <c r="BD43" s="49">
        <f t="shared" si="25"/>
        <v>60.637722661640488</v>
      </c>
      <c r="BE43" s="49">
        <f t="shared" si="25"/>
        <v>60.84030357990207</v>
      </c>
      <c r="BF43" s="49">
        <f t="shared" si="25"/>
        <v>61.023302009805327</v>
      </c>
      <c r="BG43" s="49">
        <f t="shared" si="25"/>
        <v>61.182684241107332</v>
      </c>
      <c r="BH43" s="49">
        <f t="shared" si="25"/>
        <v>61.319641247336804</v>
      </c>
      <c r="BI43" s="49">
        <f t="shared" si="25"/>
        <v>61.44429082727131</v>
      </c>
      <c r="BJ43" s="49">
        <f t="shared" si="25"/>
        <v>61.544401522080548</v>
      </c>
      <c r="BK43" s="49">
        <f t="shared" si="25"/>
        <v>61.619194028446451</v>
      </c>
      <c r="BL43" s="49">
        <f t="shared" si="25"/>
        <v>61.645297203546839</v>
      </c>
      <c r="BM43" s="49">
        <f t="shared" si="25"/>
        <v>61.644789242541151</v>
      </c>
      <c r="BN43" s="49">
        <f t="shared" si="25"/>
        <v>61.616627057480223</v>
      </c>
    </row>
    <row r="44" spans="1:66" x14ac:dyDescent="0.25">
      <c r="A44" t="str">
        <f>A42</f>
        <v>3C Aggregated and non-CO2 emissions on land</v>
      </c>
      <c r="B44" t="str">
        <f>'IPCC Categories'!B73</f>
        <v>3C4 Direct N2O from managed soils (N2O)</v>
      </c>
      <c r="C44" t="str">
        <f>'IPCC Categories'!C73</f>
        <v>Inorganic inputs</v>
      </c>
      <c r="D44" t="s">
        <v>139</v>
      </c>
      <c r="E44" t="s">
        <v>287</v>
      </c>
      <c r="F44" s="22">
        <f>Emissions!H88</f>
        <v>5.4008271428571426</v>
      </c>
      <c r="G44" s="22">
        <f>Emissions!I88</f>
        <v>5.7362642857142854</v>
      </c>
      <c r="H44" s="22">
        <f>Emissions!J88</f>
        <v>5.4611071428571423</v>
      </c>
      <c r="I44" s="22">
        <f>Emissions!K88</f>
        <v>6.4186414285714282</v>
      </c>
      <c r="J44" s="22">
        <f>Emissions!L88</f>
        <v>5.8938942857142855</v>
      </c>
      <c r="K44" s="22">
        <f>Emissions!M88</f>
        <v>5.8377157142857143</v>
      </c>
      <c r="L44" s="22">
        <f>Emissions!N88</f>
        <v>6.5227485714285702</v>
      </c>
      <c r="M44" s="22">
        <f>Emissions!O88</f>
        <v>6.3943628571428572</v>
      </c>
      <c r="N44" s="22">
        <f>Emissions!P88</f>
        <v>6.5296157142857139</v>
      </c>
      <c r="O44" s="22">
        <f>Emissions!Q88</f>
        <v>6.4907071428571426</v>
      </c>
      <c r="P44" s="22">
        <f>Emissions!R88</f>
        <v>6.5360899999999997</v>
      </c>
      <c r="Q44" s="22">
        <f>Emissions!S88</f>
        <v>6.219918571428571</v>
      </c>
      <c r="R44" s="22">
        <f>Emissions!T88</f>
        <v>7.4968457142857146</v>
      </c>
      <c r="S44" s="22">
        <f>Emissions!U88</f>
        <v>6.6129957142857139</v>
      </c>
      <c r="T44" s="22">
        <f>Emissions!V88</f>
        <v>6.7189728571428571</v>
      </c>
      <c r="U44" s="22">
        <f>Emissions!W88</f>
        <v>5.4569428571428569</v>
      </c>
      <c r="V44" s="22">
        <f>Emissions!X88</f>
        <v>6.7370128571428571</v>
      </c>
      <c r="W44" s="22">
        <f>Emissions!Y88</f>
        <v>6.9061142857142848</v>
      </c>
      <c r="X44" s="22">
        <f>Emissions!Z88</f>
        <v>6.66479</v>
      </c>
      <c r="Y44" s="22">
        <f>Emissions!AA88</f>
        <v>7.1307814285714279</v>
      </c>
      <c r="Z44" s="22">
        <f>Emissions!AB88</f>
        <v>6.2071428571428573</v>
      </c>
      <c r="AA44" s="22">
        <f>Emissions!AC88</f>
        <v>6.5842857142857145</v>
      </c>
      <c r="AB44" s="22">
        <f>Emissions!AD88</f>
        <v>6.6633241162127703</v>
      </c>
      <c r="AC44" s="22">
        <f>Emissions!AE88</f>
        <v>6.6661216500394822</v>
      </c>
      <c r="AD44" s="22">
        <f>Emissions!AF88</f>
        <v>6.6689445899286861</v>
      </c>
      <c r="AE44" s="22">
        <f>Emissions!AG88</f>
        <v>6.6717931666078698</v>
      </c>
      <c r="AF44" s="22">
        <f>Emissions!AH88</f>
        <v>6.6748977813093378</v>
      </c>
      <c r="AG44" s="22">
        <f>Emissions!AI88</f>
        <v>6.6780023960108075</v>
      </c>
      <c r="AH44" s="22">
        <f>Emissions!AJ88</f>
        <v>6.6811070107122754</v>
      </c>
      <c r="AI44" s="22">
        <f>Emissions!AK88</f>
        <v>6.6842116254137443</v>
      </c>
      <c r="AJ44" s="22">
        <f>Emissions!AL88</f>
        <v>6.6873162401152131</v>
      </c>
      <c r="AK44" s="22">
        <f>Emissions!AM88</f>
        <v>6.6904631021074454</v>
      </c>
      <c r="AL44" s="22">
        <f>Emissions!AN88</f>
        <v>6.6936099640415918</v>
      </c>
      <c r="AM44" s="22">
        <f>Emissions!AO88</f>
        <v>6.6967568259757391</v>
      </c>
      <c r="AN44" s="22">
        <f>Emissions!AP88</f>
        <v>6.6967568259757391</v>
      </c>
      <c r="AO44" s="22">
        <f>Emissions!AQ88</f>
        <v>6.6967568259757391</v>
      </c>
      <c r="AP44" s="22">
        <f>Emissions!AR88</f>
        <v>6.6967568259757391</v>
      </c>
      <c r="AQ44" s="22">
        <f>Emissions!AS88</f>
        <v>6.6967568259757391</v>
      </c>
      <c r="AR44" s="22">
        <f>Emissions!AT88</f>
        <v>6.6967568259757391</v>
      </c>
      <c r="AS44" s="22">
        <f>Emissions!AU88</f>
        <v>6.6967568259757391</v>
      </c>
      <c r="AT44" s="22">
        <f>Emissions!AV88</f>
        <v>6.6967568259757391</v>
      </c>
      <c r="AU44" s="22">
        <f>Emissions!AW88</f>
        <v>6.6967568259757391</v>
      </c>
      <c r="AV44" s="22">
        <f>Emissions!AX88</f>
        <v>6.6967568259757391</v>
      </c>
      <c r="AW44" s="22">
        <f>Emissions!AY88</f>
        <v>6.6967568259757391</v>
      </c>
      <c r="AX44" s="22">
        <f>Emissions!AZ88</f>
        <v>6.6967568259757391</v>
      </c>
      <c r="AY44" s="22">
        <f>Emissions!BA88</f>
        <v>6.6967568259757391</v>
      </c>
      <c r="AZ44" s="22">
        <f>Emissions!BB88</f>
        <v>6.6967568259757391</v>
      </c>
      <c r="BA44" s="22">
        <f>Emissions!BC88</f>
        <v>6.6967568259757391</v>
      </c>
      <c r="BB44" s="22">
        <f>Emissions!BD88</f>
        <v>6.6967568259757391</v>
      </c>
      <c r="BC44" s="22">
        <f>Emissions!BE88</f>
        <v>6.6967568259757391</v>
      </c>
      <c r="BD44" s="22">
        <f>Emissions!BF88</f>
        <v>6.6967568259757391</v>
      </c>
      <c r="BE44" s="22">
        <f>Emissions!BG88</f>
        <v>6.6967568259757391</v>
      </c>
      <c r="BF44" s="22">
        <f>Emissions!BH88</f>
        <v>6.6967568259757391</v>
      </c>
      <c r="BG44" s="22">
        <f>Emissions!BI88</f>
        <v>6.6967568259757391</v>
      </c>
      <c r="BH44" s="22">
        <f>Emissions!BJ88</f>
        <v>6.6967568259757391</v>
      </c>
      <c r="BI44" s="22">
        <f>Emissions!BK88</f>
        <v>6.6967568259757391</v>
      </c>
      <c r="BJ44" s="22">
        <f>Emissions!BL88</f>
        <v>6.6967568259757391</v>
      </c>
      <c r="BK44" s="22">
        <f>Emissions!BM88</f>
        <v>6.6967568259757391</v>
      </c>
      <c r="BL44" s="22">
        <f>Emissions!BN88</f>
        <v>6.6967568259757391</v>
      </c>
      <c r="BM44" s="22">
        <f>Emissions!BO88</f>
        <v>6.6967568259757391</v>
      </c>
      <c r="BN44" s="22">
        <f>Emissions!BP88</f>
        <v>6.6967568259757391</v>
      </c>
    </row>
    <row r="45" spans="1:66" x14ac:dyDescent="0.25">
      <c r="A45" t="str">
        <f t="shared" si="19"/>
        <v>3C Aggregated and non-CO2 emissions on land</v>
      </c>
      <c r="B45" t="str">
        <f>B44</f>
        <v>3C4 Direct N2O from managed soils (N2O)</v>
      </c>
      <c r="C45" t="str">
        <f>'IPCC Categories'!C74</f>
        <v>Organic inputs</v>
      </c>
      <c r="D45" t="str">
        <f>D44</f>
        <v>N2O</v>
      </c>
      <c r="E45" t="str">
        <f>E44</f>
        <v>Gg N2O</v>
      </c>
      <c r="F45" s="22">
        <f>Emissions!H89+SUM(Emissions!H91:H106)</f>
        <v>5.567374195598398</v>
      </c>
      <c r="G45" s="22">
        <f>Emissions!I89+SUM(Emissions!I91:I106)</f>
        <v>5.90124590114445</v>
      </c>
      <c r="H45" s="22">
        <f>Emissions!J89+SUM(Emissions!J91:J106)</f>
        <v>5.7253990570381594</v>
      </c>
      <c r="I45" s="22">
        <f>Emissions!K89+SUM(Emissions!K91:K106)</f>
        <v>5.7879508376432183</v>
      </c>
      <c r="J45" s="22">
        <f>Emissions!L89+SUM(Emissions!L91:L106)</f>
        <v>5.3296913289573062</v>
      </c>
      <c r="K45" s="22">
        <f>Emissions!M89+SUM(Emissions!M91:M106)</f>
        <v>5.4344028047315547</v>
      </c>
      <c r="L45" s="22">
        <f>Emissions!N89+SUM(Emissions!N91:N106)</f>
        <v>5.6081321961970669</v>
      </c>
      <c r="M45" s="22">
        <f>Emissions!O89+SUM(Emissions!O91:O106)</f>
        <v>5.6684442503186121</v>
      </c>
      <c r="N45" s="22">
        <f>Emissions!P89+SUM(Emissions!P91:P106)</f>
        <v>5.8423422742717959</v>
      </c>
      <c r="O45" s="22">
        <f>Emissions!Q89+SUM(Emissions!Q91:Q106)</f>
        <v>5.9533021230194958</v>
      </c>
      <c r="P45" s="22">
        <f>Emissions!R89+SUM(Emissions!R91:R106)</f>
        <v>6.3304834008707349</v>
      </c>
      <c r="Q45" s="22">
        <f>Emissions!S89+SUM(Emissions!S91:S106)</f>
        <v>6.2472336125169647</v>
      </c>
      <c r="R45" s="22">
        <f>Emissions!T89+SUM(Emissions!T91:T106)</f>
        <v>6.3507780244282905</v>
      </c>
      <c r="S45" s="22">
        <f>Emissions!U89+SUM(Emissions!U91:U106)</f>
        <v>6.199780036070301</v>
      </c>
      <c r="T45" s="22">
        <f>Emissions!V89+SUM(Emissions!V91:V106)</f>
        <v>6.1110929416967119</v>
      </c>
      <c r="U45" s="22">
        <f>Emissions!W89+SUM(Emissions!W91:W106)</f>
        <v>6.2060104245863146</v>
      </c>
      <c r="V45" s="22">
        <f>Emissions!X89+SUM(Emissions!X91:X106)</f>
        <v>6.3119974829641627</v>
      </c>
      <c r="W45" s="22">
        <f>Emissions!Y89+SUM(Emissions!Y91:Y106)</f>
        <v>6.4750282735224927</v>
      </c>
      <c r="X45" s="22">
        <f>Emissions!Z89+SUM(Emissions!Z91:Z106)</f>
        <v>6.7938230334042897</v>
      </c>
      <c r="Y45" s="22">
        <f>Emissions!AA89+SUM(Emissions!AA91:AA106)</f>
        <v>6.7684750147347179</v>
      </c>
      <c r="Z45" s="22">
        <f>Emissions!AB89+SUM(Emissions!AB91:AB106)</f>
        <v>6.7388268001118679</v>
      </c>
      <c r="AA45" s="22">
        <f>Emissions!AC89+SUM(Emissions!AC91:AC106)</f>
        <v>6.7485248505653113</v>
      </c>
      <c r="AB45" s="22">
        <f>Emissions!AD89+SUM(Emissions!AD91:AD106)</f>
        <v>6.7154792359650761</v>
      </c>
      <c r="AC45" s="22">
        <f>Emissions!AE89+SUM(Emissions!AE91:AE106)</f>
        <v>6.7590478085545946</v>
      </c>
      <c r="AD45" s="22">
        <f>Emissions!AF89+SUM(Emissions!AF91:AF106)</f>
        <v>6.7965992711500931</v>
      </c>
      <c r="AE45" s="22">
        <f>Emissions!AG89+SUM(Emissions!AG91:AG106)</f>
        <v>6.8277952762625205</v>
      </c>
      <c r="AF45" s="22">
        <f>Emissions!AH89+SUM(Emissions!AH91:AH106)</f>
        <v>6.8544683994651132</v>
      </c>
      <c r="AG45" s="22">
        <f>Emissions!AI89+SUM(Emissions!AI91:AI106)</f>
        <v>6.8861630652580486</v>
      </c>
      <c r="AH45" s="22">
        <f>Emissions!AJ89+SUM(Emissions!AJ91:AJ106)</f>
        <v>6.9162672174170163</v>
      </c>
      <c r="AI45" s="22">
        <f>Emissions!AK89+SUM(Emissions!AK91:AK106)</f>
        <v>6.9449027303189332</v>
      </c>
      <c r="AJ45" s="22">
        <f>Emissions!AL89+SUM(Emissions!AL91:AL106)</f>
        <v>6.8702204474506985</v>
      </c>
      <c r="AK45" s="22">
        <f>Emissions!AM89+SUM(Emissions!AM91:AM106)</f>
        <v>6.9153707908268229</v>
      </c>
      <c r="AL45" s="22">
        <f>Emissions!AN89+SUM(Emissions!AN91:AN106)</f>
        <v>6.9596998212014487</v>
      </c>
      <c r="AM45" s="22">
        <f>Emissions!AO89+SUM(Emissions!AO91:AO106)</f>
        <v>7.004546192286579</v>
      </c>
      <c r="AN45" s="22">
        <f>Emissions!AP89+SUM(Emissions!AP91:AP106)</f>
        <v>7.0487497257568128</v>
      </c>
      <c r="AO45" s="22">
        <f>Emissions!AQ89+SUM(Emissions!AQ91:AQ106)</f>
        <v>7.0943129507146621</v>
      </c>
      <c r="AP45" s="22">
        <f>Emissions!AR89+SUM(Emissions!AR91:AR106)</f>
        <v>7.1455325119580593</v>
      </c>
      <c r="AQ45" s="22">
        <f>Emissions!AS89+SUM(Emissions!AS91:AS106)</f>
        <v>7.1967450775623076</v>
      </c>
      <c r="AR45" s="22">
        <f>Emissions!AT89+SUM(Emissions!AT91:AT106)</f>
        <v>7.2496210282113518</v>
      </c>
      <c r="AS45" s="22">
        <f>Emissions!AU89+SUM(Emissions!AU91:AU106)</f>
        <v>7.3037856294239756</v>
      </c>
      <c r="AT45" s="22">
        <f>Emissions!AV89+SUM(Emissions!AV91:AV106)</f>
        <v>7.3597024775966142</v>
      </c>
      <c r="AU45" s="22">
        <f>Emissions!AW89+SUM(Emissions!AW91:AW106)</f>
        <v>7.4294978158100315</v>
      </c>
      <c r="AV45" s="22">
        <f>Emissions!AX89+SUM(Emissions!AX91:AX106)</f>
        <v>7.4953473213230541</v>
      </c>
      <c r="AW45" s="22">
        <f>Emissions!AY89+SUM(Emissions!AY91:AY106)</f>
        <v>7.5662541777168189</v>
      </c>
      <c r="AX45" s="22">
        <f>Emissions!AZ89+SUM(Emissions!AZ91:AZ106)</f>
        <v>7.6399268009989703</v>
      </c>
      <c r="AY45" s="22">
        <f>Emissions!BA89+SUM(Emissions!BA91:BA106)</f>
        <v>7.716299155767655</v>
      </c>
      <c r="AZ45" s="22">
        <f>Emissions!BB89+SUM(Emissions!BB91:BB106)</f>
        <v>7.7931432037126083</v>
      </c>
      <c r="BA45" s="22">
        <f>Emissions!BC89+SUM(Emissions!BC91:BC106)</f>
        <v>7.8710096408751804</v>
      </c>
      <c r="BB45" s="22">
        <f>Emissions!BD89+SUM(Emissions!BD91:BD106)</f>
        <v>7.9316725059679323</v>
      </c>
      <c r="BC45" s="22">
        <f>Emissions!BE89+SUM(Emissions!BE91:BE106)</f>
        <v>7.9900336435429269</v>
      </c>
      <c r="BD45" s="22">
        <f>Emissions!BF89+SUM(Emissions!BF91:BF106)</f>
        <v>8.0499664945557363</v>
      </c>
      <c r="BE45" s="22">
        <f>Emissions!BG89+SUM(Emissions!BG91:BG106)</f>
        <v>8.1171936272274863</v>
      </c>
      <c r="BF45" s="22">
        <f>Emissions!BH89+SUM(Emissions!BH91:BH106)</f>
        <v>8.1851507237287002</v>
      </c>
      <c r="BG45" s="22">
        <f>Emissions!BI89+SUM(Emissions!BI91:BI106)</f>
        <v>8.2535160313195437</v>
      </c>
      <c r="BH45" s="22">
        <f>Emissions!BJ89+SUM(Emissions!BJ91:BJ106)</f>
        <v>8.3225343004567751</v>
      </c>
      <c r="BI45" s="22">
        <f>Emissions!BK89+SUM(Emissions!BK91:BK106)</f>
        <v>8.3935106178940249</v>
      </c>
      <c r="BJ45" s="22">
        <f>Emissions!BL89+SUM(Emissions!BL91:BL106)</f>
        <v>8.464960308321011</v>
      </c>
      <c r="BK45" s="22">
        <f>Emissions!BM89+SUM(Emissions!BM91:BM106)</f>
        <v>8.5372338289060057</v>
      </c>
      <c r="BL45" s="22">
        <f>Emissions!BN89+SUM(Emissions!BN91:BN106)</f>
        <v>8.6075899663506998</v>
      </c>
      <c r="BM45" s="22">
        <f>Emissions!BO89+SUM(Emissions!BO91:BO106)</f>
        <v>8.6788210003480106</v>
      </c>
      <c r="BN45" s="22">
        <f>Emissions!BP89+SUM(Emissions!BP91:BP106)</f>
        <v>8.7509903337206314</v>
      </c>
    </row>
    <row r="46" spans="1:66" x14ac:dyDescent="0.25">
      <c r="A46" t="str">
        <f t="shared" si="19"/>
        <v>3C Aggregated and non-CO2 emissions on land</v>
      </c>
      <c r="B46" t="str">
        <f t="shared" si="19"/>
        <v>3C4 Direct N2O from managed soils (N2O)</v>
      </c>
      <c r="C46" t="str">
        <f>'IPCC Categories'!C75</f>
        <v>Crop residues</v>
      </c>
      <c r="D46" t="str">
        <f t="shared" ref="D46" si="26">D45</f>
        <v>N2O</v>
      </c>
      <c r="E46" t="str">
        <f t="shared" ref="E46" si="27">E45</f>
        <v>Gg N2O</v>
      </c>
      <c r="F46" s="22">
        <f>Emissions!H90</f>
        <v>9.5145328493987673</v>
      </c>
      <c r="G46" s="22">
        <f>Emissions!I90</f>
        <v>8.4807165475338557</v>
      </c>
      <c r="H46" s="22">
        <f>Emissions!J90</f>
        <v>8.8307250264890822</v>
      </c>
      <c r="I46" s="22">
        <f>Emissions!K90</f>
        <v>9.4837776749601197</v>
      </c>
      <c r="J46" s="22">
        <f>Emissions!L90</f>
        <v>10.001825653671295</v>
      </c>
      <c r="K46" s="22">
        <f>Emissions!M90</f>
        <v>7.7784758554023732</v>
      </c>
      <c r="L46" s="22">
        <f>Emissions!N90</f>
        <v>8.5678529665317189</v>
      </c>
      <c r="M46" s="22">
        <f>Emissions!O90</f>
        <v>9.0099546642841126</v>
      </c>
      <c r="N46" s="22">
        <f>Emissions!P90</f>
        <v>7.8511476996566865</v>
      </c>
      <c r="O46" s="22">
        <f>Emissions!Q90</f>
        <v>7.7907864939862481</v>
      </c>
      <c r="P46" s="22">
        <f>Emissions!R90</f>
        <v>8.942157595447453</v>
      </c>
      <c r="Q46" s="22">
        <f>Emissions!S90</f>
        <v>7.3038059468457632</v>
      </c>
      <c r="R46" s="22">
        <f>Emissions!T90</f>
        <v>7.9659865057844339</v>
      </c>
      <c r="S46" s="22">
        <f>Emissions!U90</f>
        <v>7.8603221261410496</v>
      </c>
      <c r="T46" s="22">
        <f>Emissions!V90</f>
        <v>7.0289769094831334</v>
      </c>
      <c r="U46" s="22">
        <f>Emissions!W90</f>
        <v>7.1397008149759484</v>
      </c>
      <c r="V46" s="22">
        <f>Emissions!X90</f>
        <v>4.8006705751691987</v>
      </c>
      <c r="W46" s="22">
        <f>Emissions!Y90</f>
        <v>6.5079755078943382</v>
      </c>
      <c r="X46" s="22">
        <f>Emissions!Z90</f>
        <v>7.4326985326734576</v>
      </c>
      <c r="Y46" s="22">
        <f>Emissions!AA90</f>
        <v>6.6040070990652842</v>
      </c>
      <c r="Z46" s="22">
        <f>Emissions!AB90</f>
        <v>7.210613978413642</v>
      </c>
      <c r="AA46" s="22">
        <f>Emissions!AC90</f>
        <v>6.6766473969928111</v>
      </c>
      <c r="AB46" s="22">
        <f>Emissions!AD90</f>
        <v>6.6773480553261297</v>
      </c>
      <c r="AC46" s="22">
        <f>Emissions!AE90</f>
        <v>6.6243993783399686</v>
      </c>
      <c r="AD46" s="22">
        <f>Emissions!AF90</f>
        <v>6.5713709003665777</v>
      </c>
      <c r="AE46" s="22">
        <f>Emissions!AG90</f>
        <v>6.5182030270312694</v>
      </c>
      <c r="AF46" s="22">
        <f>Emissions!AH90</f>
        <v>6.4605740040130772</v>
      </c>
      <c r="AG46" s="22">
        <f>Emissions!AI90</f>
        <v>6.4027229486533894</v>
      </c>
      <c r="AH46" s="22">
        <f>Emissions!AJ90</f>
        <v>6.3449636266499745</v>
      </c>
      <c r="AI46" s="22">
        <f>Emissions!AK90</f>
        <v>6.2872937557017154</v>
      </c>
      <c r="AJ46" s="22">
        <f>Emissions!AL90</f>
        <v>6.237702636124034</v>
      </c>
      <c r="AK46" s="22">
        <f>Emissions!AM90</f>
        <v>6.1777751512655694</v>
      </c>
      <c r="AL46" s="22">
        <f>Emissions!AN90</f>
        <v>6.1180708628197964</v>
      </c>
      <c r="AM46" s="22">
        <f>Emissions!AO90</f>
        <v>6.0584386779032826</v>
      </c>
      <c r="AN46" s="22">
        <f>Emissions!AP90</f>
        <v>6.057585066195343</v>
      </c>
      <c r="AO46" s="22">
        <f>Emissions!AQ90</f>
        <v>6.0567222956503333</v>
      </c>
      <c r="AP46" s="22">
        <f>Emissions!AR90</f>
        <v>6.0556975826144663</v>
      </c>
      <c r="AQ46" s="22">
        <f>Emissions!AS90</f>
        <v>6.0548068512347637</v>
      </c>
      <c r="AR46" s="22">
        <f>Emissions!AT90</f>
        <v>6.0539442487440125</v>
      </c>
      <c r="AS46" s="22">
        <f>Emissions!AU90</f>
        <v>6.0531413439167769</v>
      </c>
      <c r="AT46" s="22">
        <f>Emissions!AV90</f>
        <v>6.0523997109746182</v>
      </c>
      <c r="AU46" s="22">
        <f>Emissions!AW90</f>
        <v>6.0523997109746182</v>
      </c>
      <c r="AV46" s="22">
        <f>Emissions!AX90</f>
        <v>6.0523997109746182</v>
      </c>
      <c r="AW46" s="22">
        <f>Emissions!AY90</f>
        <v>6.0523997109746182</v>
      </c>
      <c r="AX46" s="22">
        <f>Emissions!AZ90</f>
        <v>6.0523997109746182</v>
      </c>
      <c r="AY46" s="22">
        <f>Emissions!BA90</f>
        <v>6.0523997109746182</v>
      </c>
      <c r="AZ46" s="22">
        <f>Emissions!BB90</f>
        <v>6.0523997109746182</v>
      </c>
      <c r="BA46" s="22">
        <f>Emissions!BC90</f>
        <v>6.0523997109746182</v>
      </c>
      <c r="BB46" s="22">
        <f>Emissions!BD90</f>
        <v>6.0523997109746182</v>
      </c>
      <c r="BC46" s="22">
        <f>Emissions!BE90</f>
        <v>6.0523997109746182</v>
      </c>
      <c r="BD46" s="22">
        <f>Emissions!BF90</f>
        <v>6.0523997109746182</v>
      </c>
      <c r="BE46" s="22">
        <f>Emissions!BG90</f>
        <v>6.0523997109746182</v>
      </c>
      <c r="BF46" s="22">
        <f>Emissions!BH90</f>
        <v>6.0523997109746182</v>
      </c>
      <c r="BG46" s="22">
        <f>Emissions!BI90</f>
        <v>6.0523997109746182</v>
      </c>
      <c r="BH46" s="22">
        <f>Emissions!BJ90</f>
        <v>6.0523997109746182</v>
      </c>
      <c r="BI46" s="22">
        <f>Emissions!BK90</f>
        <v>6.0523997109746182</v>
      </c>
      <c r="BJ46" s="22">
        <f>Emissions!BL90</f>
        <v>6.0523997109746182</v>
      </c>
      <c r="BK46" s="22">
        <f>Emissions!BM90</f>
        <v>6.0523997109746182</v>
      </c>
      <c r="BL46" s="22">
        <f>Emissions!BN90</f>
        <v>6.0523997109746182</v>
      </c>
      <c r="BM46" s="22">
        <f>Emissions!BO90</f>
        <v>6.0523997109746182</v>
      </c>
      <c r="BN46" s="22">
        <f>Emissions!BP90</f>
        <v>6.0523997109746182</v>
      </c>
    </row>
    <row r="47" spans="1:66" x14ac:dyDescent="0.25">
      <c r="A47" t="str">
        <f t="shared" ref="A47:B47" si="28">A46</f>
        <v>3C Aggregated and non-CO2 emissions on land</v>
      </c>
      <c r="B47" t="str">
        <f t="shared" si="28"/>
        <v>3C4 Direct N2O from managed soils (N2O)</v>
      </c>
      <c r="C47" t="str">
        <f>'IPCC Categories'!C76</f>
        <v>Urine and dung</v>
      </c>
      <c r="D47" t="str">
        <f t="shared" ref="D47:D54" si="29">D46</f>
        <v>N2O</v>
      </c>
      <c r="E47" t="str">
        <f t="shared" ref="E47:E54" si="30">E46</f>
        <v>Gg N2O</v>
      </c>
      <c r="F47" s="22">
        <f>SUM(Emissions!H107:H122)</f>
        <v>42.436312340501509</v>
      </c>
      <c r="G47" s="22">
        <f>SUM(Emissions!I107:I122)</f>
        <v>41.959400833537792</v>
      </c>
      <c r="H47" s="22">
        <f>SUM(Emissions!J107:J122)</f>
        <v>41.262712845268737</v>
      </c>
      <c r="I47" s="22">
        <f>SUM(Emissions!K107:K122)</f>
        <v>39.551527186701385</v>
      </c>
      <c r="J47" s="22">
        <f>SUM(Emissions!L107:L122)</f>
        <v>38.7369644653769</v>
      </c>
      <c r="K47" s="22">
        <f>SUM(Emissions!M107:M122)</f>
        <v>39.002067975423728</v>
      </c>
      <c r="L47" s="22">
        <f>SUM(Emissions!N107:N122)</f>
        <v>40.008727542676056</v>
      </c>
      <c r="M47" s="22">
        <f>SUM(Emissions!O107:O122)</f>
        <v>40.702154570702113</v>
      </c>
      <c r="N47" s="22">
        <f>SUM(Emissions!P107:P122)</f>
        <v>41.262774414583795</v>
      </c>
      <c r="O47" s="22">
        <f>SUM(Emissions!Q107:Q122)</f>
        <v>41.132663148226648</v>
      </c>
      <c r="P47" s="22">
        <f>SUM(Emissions!R107:R122)</f>
        <v>40.378797055144396</v>
      </c>
      <c r="Q47" s="22">
        <f>SUM(Emissions!S107:S122)</f>
        <v>40.080758545580657</v>
      </c>
      <c r="R47" s="22">
        <f>SUM(Emissions!T107:T122)</f>
        <v>39.306772687630641</v>
      </c>
      <c r="S47" s="22">
        <f>SUM(Emissions!U107:U122)</f>
        <v>39.461390143066879</v>
      </c>
      <c r="T47" s="22">
        <f>SUM(Emissions!V107:V122)</f>
        <v>39.145595802158361</v>
      </c>
      <c r="U47" s="22">
        <f>SUM(Emissions!W107:W122)</f>
        <v>39.20819584177169</v>
      </c>
      <c r="V47" s="22">
        <f>SUM(Emissions!X107:X122)</f>
        <v>39.035186058652414</v>
      </c>
      <c r="W47" s="22">
        <f>SUM(Emissions!Y107:Y122)</f>
        <v>39.841639679727571</v>
      </c>
      <c r="X47" s="22">
        <f>SUM(Emissions!Z107:Z122)</f>
        <v>39.966114793645815</v>
      </c>
      <c r="Y47" s="22">
        <f>SUM(Emissions!AA107:AA122)</f>
        <v>39.662854426835139</v>
      </c>
      <c r="Z47" s="22">
        <f>SUM(Emissions!AB107:AB122)</f>
        <v>39.301842237045413</v>
      </c>
      <c r="AA47" s="22">
        <f>SUM(Emissions!AC107:AC122)</f>
        <v>39.050109551048862</v>
      </c>
      <c r="AB47" s="22">
        <f>SUM(Emissions!AD107:AD122)</f>
        <v>39.058698885067955</v>
      </c>
      <c r="AC47" s="22">
        <f>SUM(Emissions!AE107:AE122)</f>
        <v>38.992342130994565</v>
      </c>
      <c r="AD47" s="22">
        <f>SUM(Emissions!AF107:AF122)</f>
        <v>38.94753291651682</v>
      </c>
      <c r="AE47" s="22">
        <f>SUM(Emissions!AG107:AG122)</f>
        <v>38.923048014196354</v>
      </c>
      <c r="AF47" s="22">
        <f>SUM(Emissions!AH107:AH122)</f>
        <v>38.91549542181172</v>
      </c>
      <c r="AG47" s="22">
        <f>SUM(Emissions!AI107:AI122)</f>
        <v>38.895925359093603</v>
      </c>
      <c r="AH47" s="22">
        <f>SUM(Emissions!AJ107:AJ122)</f>
        <v>38.882122531145228</v>
      </c>
      <c r="AI47" s="22">
        <f>SUM(Emissions!AK107:AK122)</f>
        <v>38.873543754076813</v>
      </c>
      <c r="AJ47" s="22">
        <f>SUM(Emissions!AL107:AL122)</f>
        <v>39.158115692438606</v>
      </c>
      <c r="AK47" s="22">
        <f>SUM(Emissions!AM107:AM122)</f>
        <v>39.098988114947645</v>
      </c>
      <c r="AL47" s="22">
        <f>SUM(Emissions!AN107:AN122)</f>
        <v>39.046671200503035</v>
      </c>
      <c r="AM47" s="22">
        <f>SUM(Emissions!AO107:AO122)</f>
        <v>38.99682514676109</v>
      </c>
      <c r="AN47" s="22">
        <f>SUM(Emissions!AP107:AP122)</f>
        <v>38.952338571844244</v>
      </c>
      <c r="AO47" s="22">
        <f>SUM(Emissions!AQ107:AQ122)</f>
        <v>38.907727922406309</v>
      </c>
      <c r="AP47" s="22">
        <f>SUM(Emissions!AR107:AR122)</f>
        <v>38.855958168357944</v>
      </c>
      <c r="AQ47" s="22">
        <f>SUM(Emissions!AS107:AS122)</f>
        <v>38.808307473657187</v>
      </c>
      <c r="AR47" s="22">
        <f>SUM(Emissions!AT107:AT122)</f>
        <v>38.760772457038854</v>
      </c>
      <c r="AS47" s="22">
        <f>SUM(Emissions!AU107:AU122)</f>
        <v>38.714340740801362</v>
      </c>
      <c r="AT47" s="22">
        <f>SUM(Emissions!AV107:AV122)</f>
        <v>38.67418179863197</v>
      </c>
      <c r="AU47" s="22">
        <f>SUM(Emissions!AW107:AW122)</f>
        <v>38.851748711267987</v>
      </c>
      <c r="AV47" s="22">
        <f>SUM(Emissions!AX107:AX122)</f>
        <v>38.978509753747012</v>
      </c>
      <c r="AW47" s="22">
        <f>SUM(Emissions!AY107:AY122)</f>
        <v>39.129730104299</v>
      </c>
      <c r="AX47" s="22">
        <f>SUM(Emissions!AZ107:AZ122)</f>
        <v>39.278582261867072</v>
      </c>
      <c r="AY47" s="22">
        <f>SUM(Emissions!BA107:BA122)</f>
        <v>39.421944045088473</v>
      </c>
      <c r="AZ47" s="22">
        <f>SUM(Emissions!BB107:BB122)</f>
        <v>39.53271661338907</v>
      </c>
      <c r="BA47" s="22">
        <f>SUM(Emissions!BC107:BC122)</f>
        <v>39.618458886042561</v>
      </c>
      <c r="BB47" s="22">
        <f>SUM(Emissions!BD107:BD122)</f>
        <v>39.660752618746038</v>
      </c>
      <c r="BC47" s="22">
        <f>SUM(Emissions!BE107:BE122)</f>
        <v>39.6744684995911</v>
      </c>
      <c r="BD47" s="22">
        <f>SUM(Emissions!BF107:BF122)</f>
        <v>39.669363203566704</v>
      </c>
      <c r="BE47" s="22">
        <f>SUM(Emissions!BG107:BG122)</f>
        <v>39.804677166473788</v>
      </c>
      <c r="BF47" s="22">
        <f>SUM(Emissions!BH107:BH122)</f>
        <v>39.919678677193076</v>
      </c>
      <c r="BG47" s="22">
        <f>SUM(Emissions!BI107:BI122)</f>
        <v>40.010655778221498</v>
      </c>
      <c r="BH47" s="22">
        <f>SUM(Emissions!BJ107:BJ122)</f>
        <v>40.078554692630988</v>
      </c>
      <c r="BI47" s="22">
        <f>SUM(Emissions!BK107:BK122)</f>
        <v>40.132188132445492</v>
      </c>
      <c r="BJ47" s="22">
        <f>SUM(Emissions!BL107:BL122)</f>
        <v>40.160809314144998</v>
      </c>
      <c r="BK47" s="22">
        <f>SUM(Emissions!BM107:BM122)</f>
        <v>40.163288477243157</v>
      </c>
      <c r="BL47" s="22">
        <f>SUM(Emissions!BN107:BN122)</f>
        <v>40.118995692216096</v>
      </c>
      <c r="BM47" s="22">
        <f>SUM(Emissions!BO107:BO122)</f>
        <v>40.047216874530356</v>
      </c>
      <c r="BN47" s="22">
        <f>SUM(Emissions!BP107:BP122)</f>
        <v>39.946845533414056</v>
      </c>
    </row>
    <row r="48" spans="1:66" x14ac:dyDescent="0.25">
      <c r="A48" t="str">
        <f t="shared" ref="A48:B49" si="31">A47</f>
        <v>3C Aggregated and non-CO2 emissions on land</v>
      </c>
      <c r="B48" t="str">
        <f t="shared" si="31"/>
        <v>3C4 Direct N2O from managed soils (N2O)</v>
      </c>
      <c r="C48" t="str">
        <f>'IPCC Categories'!C77</f>
        <v>FSOM</v>
      </c>
      <c r="D48" t="str">
        <f t="shared" si="29"/>
        <v>N2O</v>
      </c>
      <c r="E48" t="str">
        <f t="shared" si="30"/>
        <v>Gg N2O</v>
      </c>
      <c r="F48" s="22">
        <f>SUM(Emissions!H145:H156)</f>
        <v>0</v>
      </c>
      <c r="G48" s="22">
        <f>SUM(Emissions!I145:I156)</f>
        <v>0.15768201001521304</v>
      </c>
      <c r="H48" s="22">
        <f>SUM(Emissions!J145:J156)</f>
        <v>0.15768201001521304</v>
      </c>
      <c r="I48" s="22">
        <f>SUM(Emissions!K145:K156)</f>
        <v>0.15768201001521304</v>
      </c>
      <c r="J48" s="22">
        <f>SUM(Emissions!L145:L156)</f>
        <v>0.15768201001521304</v>
      </c>
      <c r="K48" s="22">
        <f>SUM(Emissions!M145:M156)</f>
        <v>0.15768201001521304</v>
      </c>
      <c r="L48" s="22">
        <f>SUM(Emissions!N145:N156)</f>
        <v>0.15768201001521304</v>
      </c>
      <c r="M48" s="22">
        <f>SUM(Emissions!O145:O156)</f>
        <v>0.15768201001521304</v>
      </c>
      <c r="N48" s="22">
        <f>SUM(Emissions!P145:P156)</f>
        <v>0.15768201001521304</v>
      </c>
      <c r="O48" s="22">
        <f>SUM(Emissions!Q145:Q156)</f>
        <v>0.15768201001521304</v>
      </c>
      <c r="P48" s="22">
        <f>SUM(Emissions!R145:R156)</f>
        <v>0.15768201001521304</v>
      </c>
      <c r="Q48" s="22">
        <f>SUM(Emissions!S145:S156)</f>
        <v>0.15768201001521304</v>
      </c>
      <c r="R48" s="22">
        <f>SUM(Emissions!T145:T156)</f>
        <v>0.15768201001521304</v>
      </c>
      <c r="S48" s="22">
        <f>SUM(Emissions!U145:U156)</f>
        <v>0.15768201001521304</v>
      </c>
      <c r="T48" s="22">
        <f>SUM(Emissions!V145:V156)</f>
        <v>0.15768201001521304</v>
      </c>
      <c r="U48" s="22">
        <f>SUM(Emissions!W145:W156)</f>
        <v>0.15768201001521304</v>
      </c>
      <c r="V48" s="22">
        <f>SUM(Emissions!X145:X156)</f>
        <v>0.15768201001521304</v>
      </c>
      <c r="W48" s="22">
        <f>SUM(Emissions!Y145:Y156)</f>
        <v>0.15768201001521304</v>
      </c>
      <c r="X48" s="22">
        <f>SUM(Emissions!Z145:Z156)</f>
        <v>0.15768201001521304</v>
      </c>
      <c r="Y48" s="22">
        <f>SUM(Emissions!AA145:AA156)</f>
        <v>0.15768201001521304</v>
      </c>
      <c r="Z48" s="22">
        <f>SUM(Emissions!AB145:AB156)</f>
        <v>0.15768201001521304</v>
      </c>
      <c r="AA48" s="22">
        <f>SUM(Emissions!AC145:AC156)</f>
        <v>0.15768201001521304</v>
      </c>
      <c r="AB48" s="22">
        <f>SUM(Emissions!AD145:AD156)</f>
        <v>0.16812139145071128</v>
      </c>
      <c r="AC48" s="22">
        <f>SUM(Emissions!AE145:AE156)</f>
        <v>0.16816121413346041</v>
      </c>
      <c r="AD48" s="22">
        <f>SUM(Emissions!AF145:AF156)</f>
        <v>0.16820103681620957</v>
      </c>
      <c r="AE48" s="22">
        <f>SUM(Emissions!AG145:AG156)</f>
        <v>0.1682408594989587</v>
      </c>
      <c r="AF48" s="22">
        <f>SUM(Emissions!AH145:AH156)</f>
        <v>0.16828068218170783</v>
      </c>
      <c r="AG48" s="22">
        <f>SUM(Emissions!AI145:AI156)</f>
        <v>0.16832050486445696</v>
      </c>
      <c r="AH48" s="22">
        <f>SUM(Emissions!AJ145:AJ156)</f>
        <v>0.16836032754720609</v>
      </c>
      <c r="AI48" s="22">
        <f>SUM(Emissions!AK145:AK156)</f>
        <v>0.16840015022995525</v>
      </c>
      <c r="AJ48" s="22">
        <f>SUM(Emissions!AL145:AL156)</f>
        <v>0.16843997291270438</v>
      </c>
      <c r="AK48" s="22">
        <f>SUM(Emissions!AM145:AM156)</f>
        <v>0.16847979559545351</v>
      </c>
      <c r="AL48" s="22">
        <f>SUM(Emissions!AN145:AN156)</f>
        <v>0.16851961827820264</v>
      </c>
      <c r="AM48" s="22">
        <f>SUM(Emissions!AO145:AO156)</f>
        <v>0.16855944096095177</v>
      </c>
      <c r="AN48" s="22">
        <f>SUM(Emissions!AP145:AP156)</f>
        <v>0.16859926364370093</v>
      </c>
      <c r="AO48" s="22">
        <f>SUM(Emissions!AQ145:AQ156)</f>
        <v>0.16863908632645003</v>
      </c>
      <c r="AP48" s="22">
        <f>SUM(Emissions!AR145:AR156)</f>
        <v>0.16867890900919918</v>
      </c>
      <c r="AQ48" s="22">
        <f>SUM(Emissions!AS145:AS156)</f>
        <v>0.16871873169194831</v>
      </c>
      <c r="AR48" s="22">
        <f>SUM(Emissions!AT145:AT156)</f>
        <v>0.16875855437469744</v>
      </c>
      <c r="AS48" s="22">
        <f>SUM(Emissions!AU145:AU156)</f>
        <v>0.1687983770574466</v>
      </c>
      <c r="AT48" s="22">
        <f>SUM(Emissions!AV145:AV156)</f>
        <v>0.1688381997401957</v>
      </c>
      <c r="AU48" s="22">
        <f>SUM(Emissions!AW145:AW156)</f>
        <v>0.16887802242294486</v>
      </c>
      <c r="AV48" s="22">
        <f>SUM(Emissions!AX145:AX156)</f>
        <v>0.16891784510569399</v>
      </c>
      <c r="AW48" s="22">
        <f>SUM(Emissions!AY145:AY156)</f>
        <v>0.16895766778844312</v>
      </c>
      <c r="AX48" s="22">
        <f>SUM(Emissions!AZ145:AZ156)</f>
        <v>0.16899749047119228</v>
      </c>
      <c r="AY48" s="22">
        <f>SUM(Emissions!BA145:BA156)</f>
        <v>0.16903731315394138</v>
      </c>
      <c r="AZ48" s="22">
        <f>SUM(Emissions!BB145:BB156)</f>
        <v>0.16907713583669054</v>
      </c>
      <c r="BA48" s="22">
        <f>SUM(Emissions!BC145:BC156)</f>
        <v>0.16911695851943967</v>
      </c>
      <c r="BB48" s="22">
        <f>SUM(Emissions!BD145:BD156)</f>
        <v>0.1691567812021888</v>
      </c>
      <c r="BC48" s="22">
        <f>SUM(Emissions!BE145:BE156)</f>
        <v>0.16919660388493796</v>
      </c>
      <c r="BD48" s="22">
        <f>SUM(Emissions!BF145:BF156)</f>
        <v>0.16923642656768706</v>
      </c>
      <c r="BE48" s="22">
        <f>SUM(Emissions!BG145:BG156)</f>
        <v>0.16927624925043622</v>
      </c>
      <c r="BF48" s="22">
        <f>SUM(Emissions!BH145:BH156)</f>
        <v>0.16931607193318532</v>
      </c>
      <c r="BG48" s="22">
        <f>SUM(Emissions!BI145:BI156)</f>
        <v>0.16935589461593448</v>
      </c>
      <c r="BH48" s="22">
        <f>SUM(Emissions!BJ145:BJ156)</f>
        <v>0.16939571729868361</v>
      </c>
      <c r="BI48" s="22">
        <f>SUM(Emissions!BK145:BK156)</f>
        <v>0.16943553998143274</v>
      </c>
      <c r="BJ48" s="22">
        <f>SUM(Emissions!BL145:BL156)</f>
        <v>0.16947536266418189</v>
      </c>
      <c r="BK48" s="22">
        <f>SUM(Emissions!BM145:BM156)</f>
        <v>0.16951518534693102</v>
      </c>
      <c r="BL48" s="22">
        <f>SUM(Emissions!BN145:BN156)</f>
        <v>0.16955500802968015</v>
      </c>
      <c r="BM48" s="22">
        <f>SUM(Emissions!BO145:BO156)</f>
        <v>0.16959483071242931</v>
      </c>
      <c r="BN48" s="22">
        <f>SUM(Emissions!BP145:BP156)</f>
        <v>0.16963465339517841</v>
      </c>
    </row>
    <row r="49" spans="1:72" s="19" customFormat="1" ht="15.75" x14ac:dyDescent="0.25">
      <c r="A49" s="19" t="str">
        <f t="shared" si="31"/>
        <v>3C Aggregated and non-CO2 emissions on land</v>
      </c>
      <c r="B49" s="19" t="str">
        <f>'IPCC Categories'!B78</f>
        <v>3C5 Indirect N2O from managed soils (N2O)</v>
      </c>
      <c r="C49" s="19" t="s">
        <v>148</v>
      </c>
      <c r="D49" s="19" t="str">
        <f t="shared" ref="D49" si="32">D48</f>
        <v>N2O</v>
      </c>
      <c r="E49" s="19" t="str">
        <f t="shared" ref="E49" si="33">E48</f>
        <v>Gg N2O</v>
      </c>
      <c r="F49" s="49">
        <f>SUM(F50:F51)</f>
        <v>7.7032587210076144</v>
      </c>
      <c r="G49" s="49">
        <f t="shared" ref="G49:BN49" si="34">SUM(G50:G51)</f>
        <v>7.6814294416040232</v>
      </c>
      <c r="H49" s="49">
        <f t="shared" si="34"/>
        <v>7.4996587099075827</v>
      </c>
      <c r="I49" s="49">
        <f t="shared" si="34"/>
        <v>7.3900080147702605</v>
      </c>
      <c r="J49" s="49">
        <f t="shared" si="34"/>
        <v>7.1895606772082514</v>
      </c>
      <c r="K49" s="49">
        <f t="shared" si="34"/>
        <v>7.1491398235846519</v>
      </c>
      <c r="L49" s="49">
        <f t="shared" si="34"/>
        <v>7.3927664272848759</v>
      </c>
      <c r="M49" s="49">
        <f t="shared" si="34"/>
        <v>7.4591582430645653</v>
      </c>
      <c r="N49" s="49">
        <f t="shared" si="34"/>
        <v>7.5289898642721163</v>
      </c>
      <c r="O49" s="49">
        <f t="shared" si="34"/>
        <v>7.5119044750048722</v>
      </c>
      <c r="P49" s="49">
        <f t="shared" si="34"/>
        <v>7.5419730085851944</v>
      </c>
      <c r="Q49" s="49">
        <f t="shared" si="34"/>
        <v>7.3914641235202962</v>
      </c>
      <c r="R49" s="49">
        <f t="shared" si="34"/>
        <v>7.4560688038313012</v>
      </c>
      <c r="S49" s="49">
        <f t="shared" si="34"/>
        <v>7.3417109461489591</v>
      </c>
      <c r="T49" s="49">
        <f t="shared" si="34"/>
        <v>7.2579955465928894</v>
      </c>
      <c r="U49" s="49">
        <f t="shared" si="34"/>
        <v>7.1599834044108377</v>
      </c>
      <c r="V49" s="49">
        <f t="shared" si="34"/>
        <v>7.2096083335596948</v>
      </c>
      <c r="W49" s="49">
        <f t="shared" si="34"/>
        <v>7.3981397435622824</v>
      </c>
      <c r="X49" s="49">
        <f t="shared" si="34"/>
        <v>7.4958655517267792</v>
      </c>
      <c r="Y49" s="49">
        <f t="shared" si="34"/>
        <v>7.4715706067967984</v>
      </c>
      <c r="Z49" s="49">
        <f t="shared" si="34"/>
        <v>7.3406832058889977</v>
      </c>
      <c r="AA49" s="49">
        <f t="shared" si="34"/>
        <v>7.3299021553117774</v>
      </c>
      <c r="AB49" s="49">
        <f t="shared" si="34"/>
        <v>7.3897143399190979</v>
      </c>
      <c r="AC49" s="49">
        <f t="shared" si="34"/>
        <v>7.3888655768863067</v>
      </c>
      <c r="AD49" s="49">
        <f t="shared" si="34"/>
        <v>7.3887536886879648</v>
      </c>
      <c r="AE49" s="49">
        <f t="shared" si="34"/>
        <v>7.3891739272741876</v>
      </c>
      <c r="AF49" s="49">
        <f t="shared" si="34"/>
        <v>7.3898570131280525</v>
      </c>
      <c r="AG49" s="49">
        <f t="shared" si="34"/>
        <v>7.3905501775937026</v>
      </c>
      <c r="AH49" s="49">
        <f t="shared" si="34"/>
        <v>7.3914803624361838</v>
      </c>
      <c r="AI49" s="49">
        <f t="shared" si="34"/>
        <v>7.3926210711126616</v>
      </c>
      <c r="AJ49" s="49">
        <f t="shared" si="34"/>
        <v>7.3989991539455806</v>
      </c>
      <c r="AK49" s="49">
        <f t="shared" si="34"/>
        <v>7.3989295544783484</v>
      </c>
      <c r="AL49" s="49">
        <f t="shared" si="34"/>
        <v>7.3993850641126055</v>
      </c>
      <c r="AM49" s="49">
        <f t="shared" si="34"/>
        <v>7.4002415460106219</v>
      </c>
      <c r="AN49" s="49">
        <f t="shared" si="34"/>
        <v>7.4032245704648787</v>
      </c>
      <c r="AO49" s="49">
        <f t="shared" si="34"/>
        <v>7.4065434754894861</v>
      </c>
      <c r="AP49" s="49">
        <f t="shared" si="34"/>
        <v>7.4102591560081876</v>
      </c>
      <c r="AQ49" s="49">
        <f t="shared" si="34"/>
        <v>7.4144205673124466</v>
      </c>
      <c r="AR49" s="49">
        <f t="shared" si="34"/>
        <v>7.4190170869911052</v>
      </c>
      <c r="AS49" s="49">
        <f t="shared" si="34"/>
        <v>7.4240592889769799</v>
      </c>
      <c r="AT49" s="49">
        <f t="shared" si="34"/>
        <v>7.4306977305985624</v>
      </c>
      <c r="AU49" s="49">
        <f t="shared" si="34"/>
        <v>7.4628618162941409</v>
      </c>
      <c r="AV49" s="49">
        <f t="shared" si="34"/>
        <v>7.4912708857876975</v>
      </c>
      <c r="AW49" s="49">
        <f t="shared" si="34"/>
        <v>7.5233422112741266</v>
      </c>
      <c r="AX49" s="49">
        <f t="shared" si="34"/>
        <v>7.5558407867406965</v>
      </c>
      <c r="AY49" s="49">
        <f t="shared" si="34"/>
        <v>7.5884399054248526</v>
      </c>
      <c r="AZ49" s="49">
        <f t="shared" si="34"/>
        <v>7.6179047354817273</v>
      </c>
      <c r="BA49" s="49">
        <f t="shared" si="34"/>
        <v>7.6451108255117859</v>
      </c>
      <c r="BB49" s="49">
        <f t="shared" si="34"/>
        <v>7.6639278448658512</v>
      </c>
      <c r="BC49" s="49">
        <f t="shared" si="34"/>
        <v>7.679351422537219</v>
      </c>
      <c r="BD49" s="49">
        <f t="shared" si="34"/>
        <v>7.6932775230189057</v>
      </c>
      <c r="BE49" s="49">
        <f t="shared" si="34"/>
        <v>7.7231851631291306</v>
      </c>
      <c r="BF49" s="49">
        <f t="shared" si="34"/>
        <v>7.7512410881370792</v>
      </c>
      <c r="BG49" s="49">
        <f t="shared" si="34"/>
        <v>7.7769966547909704</v>
      </c>
      <c r="BH49" s="49">
        <f t="shared" si="34"/>
        <v>7.800607013602872</v>
      </c>
      <c r="BI49" s="49">
        <f t="shared" si="34"/>
        <v>7.823273075304396</v>
      </c>
      <c r="BJ49" s="49">
        <f t="shared" si="34"/>
        <v>7.8435502129312331</v>
      </c>
      <c r="BK49" s="49">
        <f t="shared" si="34"/>
        <v>7.8614226250846331</v>
      </c>
      <c r="BL49" s="49">
        <f t="shared" si="34"/>
        <v>7.8741576077529087</v>
      </c>
      <c r="BM49" s="49">
        <f t="shared" si="34"/>
        <v>7.8843676516853689</v>
      </c>
      <c r="BN49" s="49">
        <f t="shared" si="34"/>
        <v>7.8919593525464178</v>
      </c>
    </row>
    <row r="50" spans="1:72" x14ac:dyDescent="0.25">
      <c r="A50" t="str">
        <f t="shared" ref="A50" si="35">A48</f>
        <v>3C Aggregated and non-CO2 emissions on land</v>
      </c>
      <c r="B50" t="str">
        <f>'IPCC Categories'!B78</f>
        <v>3C5 Indirect N2O from managed soils (N2O)</v>
      </c>
      <c r="C50" t="str">
        <f>'IPCC Categories'!C78</f>
        <v>Volatilisation</v>
      </c>
      <c r="D50" t="str">
        <f>D48</f>
        <v>N2O</v>
      </c>
      <c r="E50" t="str">
        <f>E48</f>
        <v>Gg N2O</v>
      </c>
      <c r="F50" s="22">
        <f>SUM(Emissions!H136:H139)</f>
        <v>7.1839751379908723</v>
      </c>
      <c r="G50" s="22">
        <f>SUM(Emissions!I136:I139)</f>
        <v>7.1613277299785283</v>
      </c>
      <c r="H50" s="22">
        <f>SUM(Emissions!J136:J139)</f>
        <v>6.973495324173081</v>
      </c>
      <c r="I50" s="22">
        <f>SUM(Emissions!K136:K139)</f>
        <v>6.8393410538260762</v>
      </c>
      <c r="J50" s="22">
        <f>SUM(Emissions!L136:L139)</f>
        <v>6.6367297523851203</v>
      </c>
      <c r="K50" s="22">
        <f>SUM(Emissions!M136:M139)</f>
        <v>6.669391079979448</v>
      </c>
      <c r="L50" s="22">
        <f>SUM(Emissions!N136:N139)</f>
        <v>6.8799227017061675</v>
      </c>
      <c r="M50" s="22">
        <f>SUM(Emissions!O136:O139)</f>
        <v>6.9289564681596332</v>
      </c>
      <c r="N50" s="22">
        <f>SUM(Emissions!P136:P139)</f>
        <v>7.0327935478753698</v>
      </c>
      <c r="O50" s="22">
        <f>SUM(Emissions!Q136:Q139)</f>
        <v>7.0139549971454418</v>
      </c>
      <c r="P50" s="22">
        <f>SUM(Emissions!R136:R139)</f>
        <v>6.9912972312738084</v>
      </c>
      <c r="Q50" s="22">
        <f>SUM(Emissions!S136:S139)</f>
        <v>6.900122583456108</v>
      </c>
      <c r="R50" s="22">
        <f>SUM(Emissions!T136:T139)</f>
        <v>6.9385561638404774</v>
      </c>
      <c r="S50" s="22">
        <f>SUM(Emissions!U136:U139)</f>
        <v>6.8328825992868278</v>
      </c>
      <c r="T50" s="22">
        <f>SUM(Emissions!V136:V139)</f>
        <v>6.7809287651143499</v>
      </c>
      <c r="U50" s="22">
        <f>SUM(Emissions!W136:W139)</f>
        <v>6.6755784582013353</v>
      </c>
      <c r="V50" s="22">
        <f>SUM(Emissions!X136:X139)</f>
        <v>6.8024903951615503</v>
      </c>
      <c r="W50" s="22">
        <f>SUM(Emissions!Y136:Y139)</f>
        <v>6.9265278546024636</v>
      </c>
      <c r="X50" s="22">
        <f>SUM(Emissions!Z136:Z139)</f>
        <v>6.9813057302936983</v>
      </c>
      <c r="Y50" s="22">
        <f>SUM(Emissions!AA136:AA139)</f>
        <v>6.9865650699050512</v>
      </c>
      <c r="Z50" s="22">
        <f>SUM(Emissions!AB136:AB139)</f>
        <v>6.8355943584047232</v>
      </c>
      <c r="AA50" s="22">
        <f>SUM(Emissions!AC136:AC139)</f>
        <v>6.8429733502704497</v>
      </c>
      <c r="AB50" s="22">
        <f>SUM(Emissions!AD136:AD139)</f>
        <v>6.8666775406975766</v>
      </c>
      <c r="AC50" s="22">
        <f>SUM(Emissions!AE136:AE139)</f>
        <v>6.866113108430258</v>
      </c>
      <c r="AD50" s="22">
        <f>SUM(Emissions!AF136:AF139)</f>
        <v>6.8664958993289078</v>
      </c>
      <c r="AE50" s="22">
        <f>SUM(Emissions!AG136:AG139)</f>
        <v>6.8676348943824639</v>
      </c>
      <c r="AF50" s="22">
        <f>SUM(Emissions!AH136:AH139)</f>
        <v>6.8693467352018569</v>
      </c>
      <c r="AG50" s="22">
        <f>SUM(Emissions!AI136:AI139)</f>
        <v>6.870903071529451</v>
      </c>
      <c r="AH50" s="22">
        <f>SUM(Emissions!AJ136:AJ139)</f>
        <v>6.8727481361534561</v>
      </c>
      <c r="AI50" s="22">
        <f>SUM(Emissions!AK136:AK139)</f>
        <v>6.8748513066044232</v>
      </c>
      <c r="AJ50" s="22">
        <f>SUM(Emissions!AL136:AL139)</f>
        <v>6.8854775982436163</v>
      </c>
      <c r="AK50" s="22">
        <f>SUM(Emissions!AM136:AM139)</f>
        <v>6.8858785947319721</v>
      </c>
      <c r="AL50" s="22">
        <f>SUM(Emissions!AN136:AN139)</f>
        <v>6.8868253353441196</v>
      </c>
      <c r="AM50" s="22">
        <f>SUM(Emissions!AO136:AO139)</f>
        <v>6.8881527123937554</v>
      </c>
      <c r="AN50" s="22">
        <f>SUM(Emissions!AP136:AP139)</f>
        <v>6.8896003418644636</v>
      </c>
      <c r="AO50" s="22">
        <f>SUM(Emissions!AQ136:AQ139)</f>
        <v>6.8913372585290791</v>
      </c>
      <c r="AP50" s="22">
        <f>SUM(Emissions!AR136:AR139)</f>
        <v>6.8932813941018711</v>
      </c>
      <c r="AQ50" s="22">
        <f>SUM(Emissions!AS136:AS139)</f>
        <v>6.8956668794426346</v>
      </c>
      <c r="AR50" s="22">
        <f>SUM(Emissions!AT136:AT139)</f>
        <v>6.8984291159270832</v>
      </c>
      <c r="AS50" s="22">
        <f>SUM(Emissions!AU136:AU139)</f>
        <v>6.9015905167049123</v>
      </c>
      <c r="AT50" s="22">
        <f>SUM(Emissions!AV136:AV139)</f>
        <v>6.9062855907182943</v>
      </c>
      <c r="AU50" s="22">
        <f>SUM(Emissions!AW136:AW139)</f>
        <v>6.9360019145627607</v>
      </c>
      <c r="AV50" s="22">
        <f>SUM(Emissions!AX136:AX139)</f>
        <v>6.9620993534333691</v>
      </c>
      <c r="AW50" s="22">
        <f>SUM(Emissions!AY136:AY139)</f>
        <v>6.991684569691464</v>
      </c>
      <c r="AX50" s="22">
        <f>SUM(Emissions!AZ136:AZ139)</f>
        <v>7.0216016169720508</v>
      </c>
      <c r="AY50" s="22">
        <f>SUM(Emissions!BA136:BA139)</f>
        <v>7.0515260667339374</v>
      </c>
      <c r="AZ50" s="22">
        <f>SUM(Emissions!BB136:BB139)</f>
        <v>7.0782999544539624</v>
      </c>
      <c r="BA50" s="22">
        <f>SUM(Emissions!BC136:BC139)</f>
        <v>7.1027798297191636</v>
      </c>
      <c r="BB50" s="22">
        <f>SUM(Emissions!BD136:BD139)</f>
        <v>7.1194641575447797</v>
      </c>
      <c r="BC50" s="22">
        <f>SUM(Emissions!BE136:BE139)</f>
        <v>7.1328344532870611</v>
      </c>
      <c r="BD50" s="22">
        <f>SUM(Emissions!BF136:BF139)</f>
        <v>7.1446530477260568</v>
      </c>
      <c r="BE50" s="22">
        <f>SUM(Emissions!BG136:BG139)</f>
        <v>7.1722015290763572</v>
      </c>
      <c r="BF50" s="22">
        <f>SUM(Emissions!BH136:BH139)</f>
        <v>7.1978731115722647</v>
      </c>
      <c r="BG50" s="22">
        <f>SUM(Emissions!BI136:BI139)</f>
        <v>7.2212302524315231</v>
      </c>
      <c r="BH50" s="22">
        <f>SUM(Emissions!BJ136:BJ139)</f>
        <v>7.2424196582754403</v>
      </c>
      <c r="BI50" s="22">
        <f>SUM(Emissions!BK136:BK139)</f>
        <v>7.2625972143426303</v>
      </c>
      <c r="BJ50" s="22">
        <f>SUM(Emissions!BL136:BL139)</f>
        <v>7.2803695149669876</v>
      </c>
      <c r="BK50" s="22">
        <f>SUM(Emissions!BM136:BM139)</f>
        <v>7.2957086679774559</v>
      </c>
      <c r="BL50" s="22">
        <f>SUM(Emissions!BN136:BN139)</f>
        <v>7.3059765412211402</v>
      </c>
      <c r="BM50" s="22">
        <f>SUM(Emissions!BO136:BO139)</f>
        <v>7.3136892917979441</v>
      </c>
      <c r="BN50" s="22">
        <f>SUM(Emissions!BP136:BP139)</f>
        <v>7.3187513279748888</v>
      </c>
    </row>
    <row r="51" spans="1:72" x14ac:dyDescent="0.25">
      <c r="A51" t="str">
        <f t="shared" ref="A51:A52" si="36">A50</f>
        <v>3C Aggregated and non-CO2 emissions on land</v>
      </c>
      <c r="B51" t="str">
        <f>B50</f>
        <v>3C5 Indirect N2O from managed soils (N2O)</v>
      </c>
      <c r="C51" t="str">
        <f>'IPCC Categories'!C79</f>
        <v>Leaching/runoff</v>
      </c>
      <c r="D51" t="str">
        <f t="shared" si="29"/>
        <v>N2O</v>
      </c>
      <c r="E51" t="str">
        <f t="shared" si="30"/>
        <v>Gg N2O</v>
      </c>
      <c r="F51" s="22">
        <f>SUM(Emissions!H140:H155)</f>
        <v>0.5192835830167426</v>
      </c>
      <c r="G51" s="22">
        <f>SUM(Emissions!I140:I155)</f>
        <v>0.52010171162549512</v>
      </c>
      <c r="H51" s="22">
        <f>SUM(Emissions!J140:J155)</f>
        <v>0.52616338573450194</v>
      </c>
      <c r="I51" s="22">
        <f>SUM(Emissions!K140:K155)</f>
        <v>0.55066696094418399</v>
      </c>
      <c r="J51" s="22">
        <f>SUM(Emissions!L140:L155)</f>
        <v>0.55283092482313123</v>
      </c>
      <c r="K51" s="22">
        <f>SUM(Emissions!M140:M155)</f>
        <v>0.47974874360520425</v>
      </c>
      <c r="L51" s="22">
        <f>SUM(Emissions!N140:N155)</f>
        <v>0.51284372557870861</v>
      </c>
      <c r="M51" s="22">
        <f>SUM(Emissions!O140:O155)</f>
        <v>0.53020177490493225</v>
      </c>
      <c r="N51" s="22">
        <f>SUM(Emissions!P140:P155)</f>
        <v>0.49619631639674644</v>
      </c>
      <c r="O51" s="22">
        <f>SUM(Emissions!Q140:Q155)</f>
        <v>0.49794947785943022</v>
      </c>
      <c r="P51" s="22">
        <f>SUM(Emissions!R140:R155)</f>
        <v>0.55067577731138606</v>
      </c>
      <c r="Q51" s="22">
        <f>SUM(Emissions!S140:S155)</f>
        <v>0.4913415400641884</v>
      </c>
      <c r="R51" s="22">
        <f>SUM(Emissions!T140:T155)</f>
        <v>0.51751263999082375</v>
      </c>
      <c r="S51" s="22">
        <f>SUM(Emissions!U140:U155)</f>
        <v>0.5088283468621313</v>
      </c>
      <c r="T51" s="22">
        <f>SUM(Emissions!V140:V155)</f>
        <v>0.47706678147853976</v>
      </c>
      <c r="U51" s="22">
        <f>SUM(Emissions!W140:W155)</f>
        <v>0.48440494620950225</v>
      </c>
      <c r="V51" s="22">
        <f>SUM(Emissions!X140:X155)</f>
        <v>0.4071179383981442</v>
      </c>
      <c r="W51" s="22">
        <f>SUM(Emissions!Y140:Y155)</f>
        <v>0.47161188895981909</v>
      </c>
      <c r="X51" s="22">
        <f>SUM(Emissions!Z140:Z155)</f>
        <v>0.51455982143308099</v>
      </c>
      <c r="Y51" s="22">
        <f>SUM(Emissions!AA140:AA155)</f>
        <v>0.48500553689174686</v>
      </c>
      <c r="Z51" s="22">
        <f>SUM(Emissions!AB140:AB155)</f>
        <v>0.50508884748427418</v>
      </c>
      <c r="AA51" s="22">
        <f>SUM(Emissions!AC140:AC155)</f>
        <v>0.48692880504132796</v>
      </c>
      <c r="AB51" s="22">
        <f>SUM(Emissions!AD140:AD155)</f>
        <v>0.52303679922152091</v>
      </c>
      <c r="AC51" s="22">
        <f>SUM(Emissions!AE140:AE155)</f>
        <v>0.52275246845604895</v>
      </c>
      <c r="AD51" s="22">
        <f>SUM(Emissions!AF140:AF155)</f>
        <v>0.52225778935905742</v>
      </c>
      <c r="AE51" s="22">
        <f>SUM(Emissions!AG140:AG155)</f>
        <v>0.52153903289172387</v>
      </c>
      <c r="AF51" s="22">
        <f>SUM(Emissions!AH140:AH155)</f>
        <v>0.52051027792619542</v>
      </c>
      <c r="AG51" s="22">
        <f>SUM(Emissions!AI140:AI155)</f>
        <v>0.5196471060642518</v>
      </c>
      <c r="AH51" s="22">
        <f>SUM(Emissions!AJ140:AJ155)</f>
        <v>0.51873222628272797</v>
      </c>
      <c r="AI51" s="22">
        <f>SUM(Emissions!AK140:AK155)</f>
        <v>0.51776976450823875</v>
      </c>
      <c r="AJ51" s="22">
        <f>SUM(Emissions!AL140:AL155)</f>
        <v>0.51352155570196434</v>
      </c>
      <c r="AK51" s="22">
        <f>SUM(Emissions!AM140:AM155)</f>
        <v>0.51305095974637638</v>
      </c>
      <c r="AL51" s="22">
        <f>SUM(Emissions!AN140:AN155)</f>
        <v>0.51255972876848555</v>
      </c>
      <c r="AM51" s="22">
        <f>SUM(Emissions!AO140:AO155)</f>
        <v>0.51208883361686675</v>
      </c>
      <c r="AN51" s="22">
        <f>SUM(Emissions!AP140:AP155)</f>
        <v>0.51362422860041512</v>
      </c>
      <c r="AO51" s="22">
        <f>SUM(Emissions!AQ140:AQ155)</f>
        <v>0.51520621696040714</v>
      </c>
      <c r="AP51" s="22">
        <f>SUM(Emissions!AR140:AR155)</f>
        <v>0.51697776190631606</v>
      </c>
      <c r="AQ51" s="22">
        <f>SUM(Emissions!AS140:AS155)</f>
        <v>0.51875368786981213</v>
      </c>
      <c r="AR51" s="22">
        <f>SUM(Emissions!AT140:AT155)</f>
        <v>0.52058797106402233</v>
      </c>
      <c r="AS51" s="22">
        <f>SUM(Emissions!AU140:AU155)</f>
        <v>0.52246877227206734</v>
      </c>
      <c r="AT51" s="22">
        <f>SUM(Emissions!AV140:AV155)</f>
        <v>0.52441213988026802</v>
      </c>
      <c r="AU51" s="22">
        <f>SUM(Emissions!AW140:AW155)</f>
        <v>0.52685990173138009</v>
      </c>
      <c r="AV51" s="22">
        <f>SUM(Emissions!AX140:AX155)</f>
        <v>0.52917153235432857</v>
      </c>
      <c r="AW51" s="22">
        <f>SUM(Emissions!AY140:AY155)</f>
        <v>0.53165764158266249</v>
      </c>
      <c r="AX51" s="22">
        <f>SUM(Emissions!AZ140:AZ155)</f>
        <v>0.53423916976864583</v>
      </c>
      <c r="AY51" s="22">
        <f>SUM(Emissions!BA140:BA155)</f>
        <v>0.53691383869091469</v>
      </c>
      <c r="AZ51" s="22">
        <f>SUM(Emissions!BB140:BB155)</f>
        <v>0.53960478102776466</v>
      </c>
      <c r="BA51" s="22">
        <f>SUM(Emissions!BC140:BC155)</f>
        <v>0.54233099579262267</v>
      </c>
      <c r="BB51" s="22">
        <f>SUM(Emissions!BD140:BD155)</f>
        <v>0.54446368732107164</v>
      </c>
      <c r="BC51" s="22">
        <f>SUM(Emissions!BE140:BE155)</f>
        <v>0.54651696925015802</v>
      </c>
      <c r="BD51" s="22">
        <f>SUM(Emissions!BF140:BF155)</f>
        <v>0.54862447529284908</v>
      </c>
      <c r="BE51" s="22">
        <f>SUM(Emissions!BG140:BG155)</f>
        <v>0.55098363405277351</v>
      </c>
      <c r="BF51" s="22">
        <f>SUM(Emissions!BH140:BH155)</f>
        <v>0.55336797656481451</v>
      </c>
      <c r="BG51" s="22">
        <f>SUM(Emissions!BI140:BI155)</f>
        <v>0.55576640235944774</v>
      </c>
      <c r="BH51" s="22">
        <f>SUM(Emissions!BJ140:BJ155)</f>
        <v>0.55818735532743136</v>
      </c>
      <c r="BI51" s="22">
        <f>SUM(Emissions!BK140:BK155)</f>
        <v>0.5606758609617658</v>
      </c>
      <c r="BJ51" s="22">
        <f>SUM(Emissions!BL140:BL155)</f>
        <v>0.56318069796424586</v>
      </c>
      <c r="BK51" s="22">
        <f>SUM(Emissions!BM140:BM155)</f>
        <v>0.56571395710717731</v>
      </c>
      <c r="BL51" s="22">
        <f>SUM(Emissions!BN140:BN155)</f>
        <v>0.56818106653176836</v>
      </c>
      <c r="BM51" s="22">
        <f>SUM(Emissions!BO140:BO155)</f>
        <v>0.57067835988742466</v>
      </c>
      <c r="BN51" s="22">
        <f>SUM(Emissions!BP140:BP155)</f>
        <v>0.57320802457152931</v>
      </c>
    </row>
    <row r="52" spans="1:72" s="19" customFormat="1" ht="15.75" x14ac:dyDescent="0.25">
      <c r="A52" s="19" t="str">
        <f t="shared" si="36"/>
        <v>3C Aggregated and non-CO2 emissions on land</v>
      </c>
      <c r="B52" s="19" t="str">
        <f>'IPCC Categories'!B80</f>
        <v>3C6 Indirect N2O from manure management (N2O)</v>
      </c>
      <c r="C52" s="19" t="s">
        <v>148</v>
      </c>
      <c r="D52" s="19" t="str">
        <f t="shared" ref="D52" si="37">D51</f>
        <v>N2O</v>
      </c>
      <c r="E52" s="19" t="str">
        <f t="shared" ref="E52" si="38">E51</f>
        <v>Gg N2O</v>
      </c>
      <c r="F52" s="49">
        <f>SUM(F53:F54)</f>
        <v>1.1067848439218742</v>
      </c>
      <c r="G52" s="49">
        <f t="shared" ref="G52:BN52" si="39">SUM(G53:G54)</f>
        <v>1.1793101333236566</v>
      </c>
      <c r="H52" s="49">
        <f t="shared" si="39"/>
        <v>1.0964875704106052</v>
      </c>
      <c r="I52" s="49">
        <f t="shared" si="39"/>
        <v>1.1375032898207786</v>
      </c>
      <c r="J52" s="49">
        <f t="shared" si="39"/>
        <v>1.0846717436458997</v>
      </c>
      <c r="K52" s="49">
        <f t="shared" si="39"/>
        <v>1.1448597732686163</v>
      </c>
      <c r="L52" s="49">
        <f t="shared" si="39"/>
        <v>1.1958977242460898</v>
      </c>
      <c r="M52" s="49">
        <f t="shared" si="39"/>
        <v>1.1849439691736401</v>
      </c>
      <c r="N52" s="49">
        <f t="shared" si="39"/>
        <v>1.2139183010598238</v>
      </c>
      <c r="O52" s="49">
        <f t="shared" si="39"/>
        <v>1.2266540220375095</v>
      </c>
      <c r="P52" s="49">
        <f t="shared" si="39"/>
        <v>1.3571702301687614</v>
      </c>
      <c r="Q52" s="49">
        <f t="shared" si="39"/>
        <v>1.3495873458385352</v>
      </c>
      <c r="R52" s="49">
        <f t="shared" si="39"/>
        <v>1.3100812150143717</v>
      </c>
      <c r="S52" s="49">
        <f t="shared" si="39"/>
        <v>1.2439413143268161</v>
      </c>
      <c r="T52" s="49">
        <f t="shared" si="39"/>
        <v>1.2358396061640136</v>
      </c>
      <c r="U52" s="49">
        <f t="shared" si="39"/>
        <v>1.2987903898093689</v>
      </c>
      <c r="V52" s="49">
        <f t="shared" si="39"/>
        <v>1.3151273686847365</v>
      </c>
      <c r="W52" s="49">
        <f t="shared" si="39"/>
        <v>1.3412006818051601</v>
      </c>
      <c r="X52" s="49">
        <f t="shared" si="39"/>
        <v>1.4528640616978117</v>
      </c>
      <c r="Y52" s="49">
        <f t="shared" si="39"/>
        <v>1.4448477671226592</v>
      </c>
      <c r="Z52" s="49">
        <f t="shared" si="39"/>
        <v>1.4531461736367308</v>
      </c>
      <c r="AA52" s="49">
        <f t="shared" si="39"/>
        <v>1.4700081553266331</v>
      </c>
      <c r="AB52" s="49">
        <f t="shared" si="39"/>
        <v>1.465932998268165</v>
      </c>
      <c r="AC52" s="49">
        <f t="shared" si="39"/>
        <v>1.4840942030376372</v>
      </c>
      <c r="AD52" s="49">
        <f t="shared" si="39"/>
        <v>1.4992879543900095</v>
      </c>
      <c r="AE52" s="49">
        <f t="shared" si="39"/>
        <v>1.5113640556599148</v>
      </c>
      <c r="AF52" s="49">
        <f t="shared" si="39"/>
        <v>1.5208968987560816</v>
      </c>
      <c r="AG52" s="49">
        <f t="shared" si="39"/>
        <v>1.5328988985457048</v>
      </c>
      <c r="AH52" s="49">
        <f t="shared" si="39"/>
        <v>1.5441518247826256</v>
      </c>
      <c r="AI52" s="49">
        <f t="shared" si="39"/>
        <v>1.5547174480244039</v>
      </c>
      <c r="AJ52" s="49">
        <f t="shared" si="39"/>
        <v>1.5149191004476399</v>
      </c>
      <c r="AK52" s="49">
        <f t="shared" si="39"/>
        <v>1.5335839500572681</v>
      </c>
      <c r="AL52" s="49">
        <f t="shared" si="39"/>
        <v>1.5518581029118019</v>
      </c>
      <c r="AM52" s="49">
        <f t="shared" si="39"/>
        <v>1.5703994251619622</v>
      </c>
      <c r="AN52" s="49">
        <f t="shared" si="39"/>
        <v>1.5886556424247065</v>
      </c>
      <c r="AO52" s="49">
        <f t="shared" si="39"/>
        <v>1.6075939126161729</v>
      </c>
      <c r="AP52" s="49">
        <f t="shared" si="39"/>
        <v>1.6289274428799898</v>
      </c>
      <c r="AQ52" s="49">
        <f t="shared" si="39"/>
        <v>1.6502768361521394</v>
      </c>
      <c r="AR52" s="49">
        <f t="shared" si="39"/>
        <v>1.6724536668289447</v>
      </c>
      <c r="AS52" s="49">
        <f t="shared" si="39"/>
        <v>1.695277142420919</v>
      </c>
      <c r="AT52" s="49">
        <f t="shared" si="39"/>
        <v>1.7188222605907142</v>
      </c>
      <c r="AU52" s="49">
        <f t="shared" si="39"/>
        <v>1.7480047727560959</v>
      </c>
      <c r="AV52" s="49">
        <f t="shared" si="39"/>
        <v>1.7756343624517332</v>
      </c>
      <c r="AW52" s="49">
        <f t="shared" si="39"/>
        <v>1.8056075450505658</v>
      </c>
      <c r="AX52" s="49">
        <f t="shared" si="39"/>
        <v>1.8369835174486946</v>
      </c>
      <c r="AY52" s="49">
        <f t="shared" si="39"/>
        <v>1.8697515075244402</v>
      </c>
      <c r="AZ52" s="49">
        <f t="shared" si="39"/>
        <v>1.9028207656227896</v>
      </c>
      <c r="BA52" s="49">
        <f t="shared" si="39"/>
        <v>1.9365946547997943</v>
      </c>
      <c r="BB52" s="49">
        <f t="shared" si="39"/>
        <v>1.9607462712956298</v>
      </c>
      <c r="BC52" s="49">
        <f t="shared" si="39"/>
        <v>1.9837059564792914</v>
      </c>
      <c r="BD52" s="49">
        <f t="shared" si="39"/>
        <v>2.0075453137546315</v>
      </c>
      <c r="BE52" s="49">
        <f t="shared" si="39"/>
        <v>2.0333625380521196</v>
      </c>
      <c r="BF52" s="49">
        <f t="shared" si="39"/>
        <v>2.0596541895280396</v>
      </c>
      <c r="BG52" s="49">
        <f t="shared" si="39"/>
        <v>2.0862874093300476</v>
      </c>
      <c r="BH52" s="49">
        <f t="shared" si="39"/>
        <v>2.113374769798821</v>
      </c>
      <c r="BI52" s="49">
        <f t="shared" si="39"/>
        <v>2.1414934529729397</v>
      </c>
      <c r="BJ52" s="49">
        <f t="shared" si="39"/>
        <v>2.1701857503101794</v>
      </c>
      <c r="BK52" s="49">
        <f t="shared" si="39"/>
        <v>2.1994337596622637</v>
      </c>
      <c r="BL52" s="49">
        <f t="shared" si="39"/>
        <v>2.2280381510389073</v>
      </c>
      <c r="BM52" s="49">
        <f t="shared" si="39"/>
        <v>2.2572312061470088</v>
      </c>
      <c r="BN52" s="49">
        <f t="shared" si="39"/>
        <v>2.2870503951743077</v>
      </c>
    </row>
    <row r="53" spans="1:72" x14ac:dyDescent="0.25">
      <c r="A53" t="str">
        <f t="shared" ref="A53" si="40">A51</f>
        <v>3C Aggregated and non-CO2 emissions on land</v>
      </c>
      <c r="B53" t="str">
        <f>'IPCC Categories'!B80</f>
        <v>3C6 Indirect N2O from manure management (N2O)</v>
      </c>
      <c r="C53" t="str">
        <f>'IPCC Categories'!C80</f>
        <v>Volatilisation</v>
      </c>
      <c r="D53" t="str">
        <f>D51</f>
        <v>N2O</v>
      </c>
      <c r="E53" t="str">
        <f>E51</f>
        <v>Gg N2O</v>
      </c>
      <c r="F53" s="22">
        <f>SUM(Emissions!H157:H172)</f>
        <v>0.80497093483523396</v>
      </c>
      <c r="G53" s="22">
        <f>SUM(Emissions!I157:I172)</f>
        <v>0.86233539878187604</v>
      </c>
      <c r="H53" s="22">
        <f>SUM(Emissions!J157:J172)</f>
        <v>0.79767569260328364</v>
      </c>
      <c r="I53" s="22">
        <f>SUM(Emissions!K157:K172)</f>
        <v>0.83265187632050408</v>
      </c>
      <c r="J53" s="22">
        <f>SUM(Emissions!L157:L172)</f>
        <v>0.79362380821800149</v>
      </c>
      <c r="K53" s="22">
        <f>SUM(Emissions!M157:M172)</f>
        <v>0.84114007394933876</v>
      </c>
      <c r="L53" s="22">
        <f>SUM(Emissions!N157:N172)</f>
        <v>0.88031125752728001</v>
      </c>
      <c r="M53" s="22">
        <f>SUM(Emissions!O157:O172)</f>
        <v>0.87011957060763057</v>
      </c>
      <c r="N53" s="22">
        <f>SUM(Emissions!P157:P172)</f>
        <v>0.89193646472266419</v>
      </c>
      <c r="O53" s="22">
        <f>SUM(Emissions!Q157:Q172)</f>
        <v>0.9018496961695287</v>
      </c>
      <c r="P53" s="22">
        <f>SUM(Emissions!R157:R172)</f>
        <v>1.0051166202071826</v>
      </c>
      <c r="Q53" s="22">
        <f>SUM(Emissions!S157:S172)</f>
        <v>0.99973180096814318</v>
      </c>
      <c r="R53" s="22">
        <f>SUM(Emissions!T157:T172)</f>
        <v>0.96903043616764661</v>
      </c>
      <c r="S53" s="22">
        <f>SUM(Emissions!U157:U172)</f>
        <v>0.91635616897348715</v>
      </c>
      <c r="T53" s="22">
        <f>SUM(Emissions!V157:V172)</f>
        <v>0.91079640284789576</v>
      </c>
      <c r="U53" s="22">
        <f>SUM(Emissions!W157:W172)</f>
        <v>0.96093176336778918</v>
      </c>
      <c r="V53" s="22">
        <f>SUM(Emissions!X157:X172)</f>
        <v>0.97375523430943844</v>
      </c>
      <c r="W53" s="22">
        <f>SUM(Emissions!Y157:Y172)</f>
        <v>0.99293298858543744</v>
      </c>
      <c r="X53" s="22">
        <f>SUM(Emissions!Z157:Z172)</f>
        <v>1.080705672997484</v>
      </c>
      <c r="Y53" s="22">
        <f>SUM(Emissions!AA157:AA172)</f>
        <v>1.0746830477881333</v>
      </c>
      <c r="Z53" s="22">
        <f>SUM(Emissions!AB157:AB172)</f>
        <v>1.0819782799441571</v>
      </c>
      <c r="AA53" s="22">
        <f>SUM(Emissions!AC157:AC172)</f>
        <v>1.0958521266457313</v>
      </c>
      <c r="AB53" s="22">
        <f>SUM(Emissions!AD157:AD172)</f>
        <v>1.092756475187481</v>
      </c>
      <c r="AC53" s="22">
        <f>SUM(Emissions!AE157:AE172)</f>
        <v>1.1072081520126893</v>
      </c>
      <c r="AD53" s="22">
        <f>SUM(Emissions!AF157:AF172)</f>
        <v>1.1192692700767206</v>
      </c>
      <c r="AE53" s="22">
        <f>SUM(Emissions!AG157:AG172)</f>
        <v>1.1288219985849981</v>
      </c>
      <c r="AF53" s="22">
        <f>SUM(Emissions!AH157:AH172)</f>
        <v>1.1363230833097206</v>
      </c>
      <c r="AG53" s="22">
        <f>SUM(Emissions!AI157:AI172)</f>
        <v>1.1458036213051814</v>
      </c>
      <c r="AH53" s="22">
        <f>SUM(Emissions!AJ157:AJ172)</f>
        <v>1.1546798388137556</v>
      </c>
      <c r="AI53" s="22">
        <f>SUM(Emissions!AK157:AK172)</f>
        <v>1.163001575639818</v>
      </c>
      <c r="AJ53" s="22">
        <f>SUM(Emissions!AL157:AL172)</f>
        <v>1.1308686682220093</v>
      </c>
      <c r="AK53" s="22">
        <f>SUM(Emissions!AM157:AM172)</f>
        <v>1.145698160865432</v>
      </c>
      <c r="AL53" s="22">
        <f>SUM(Emissions!AN157:AN172)</f>
        <v>1.1602068318944996</v>
      </c>
      <c r="AM53" s="22">
        <f>SUM(Emissions!AO157:AO172)</f>
        <v>1.174923761330648</v>
      </c>
      <c r="AN53" s="22">
        <f>SUM(Emissions!AP157:AP172)</f>
        <v>1.1894057629607362</v>
      </c>
      <c r="AO53" s="22">
        <f>SUM(Emissions!AQ157:AQ172)</f>
        <v>1.2044294535124493</v>
      </c>
      <c r="AP53" s="22">
        <f>SUM(Emissions!AR157:AR172)</f>
        <v>1.2213617041686597</v>
      </c>
      <c r="AQ53" s="22">
        <f>SUM(Emissions!AS157:AS172)</f>
        <v>1.2383000104076836</v>
      </c>
      <c r="AR53" s="22">
        <f>SUM(Emissions!AT157:AT172)</f>
        <v>1.2558952441298952</v>
      </c>
      <c r="AS53" s="22">
        <f>SUM(Emissions!AU157:AU172)</f>
        <v>1.2740022446973158</v>
      </c>
      <c r="AT53" s="22">
        <f>SUM(Emissions!AV157:AV172)</f>
        <v>1.2926584863231925</v>
      </c>
      <c r="AU53" s="22">
        <f>SUM(Emissions!AW157:AW172)</f>
        <v>1.3155221053286068</v>
      </c>
      <c r="AV53" s="22">
        <f>SUM(Emissions!AX157:AX172)</f>
        <v>1.3372233344997881</v>
      </c>
      <c r="AW53" s="22">
        <f>SUM(Emissions!AY157:AY172)</f>
        <v>1.3607575055376693</v>
      </c>
      <c r="AX53" s="22">
        <f>SUM(Emissions!AZ157:AZ172)</f>
        <v>1.3854107632542896</v>
      </c>
      <c r="AY53" s="22">
        <f>SUM(Emissions!BA157:BA172)</f>
        <v>1.4111786616826856</v>
      </c>
      <c r="AZ53" s="22">
        <f>SUM(Emissions!BB157:BB172)</f>
        <v>1.4372256548998361</v>
      </c>
      <c r="BA53" s="22">
        <f>SUM(Emissions!BC157:BC172)</f>
        <v>1.463865548190767</v>
      </c>
      <c r="BB53" s="22">
        <f>SUM(Emissions!BD157:BD172)</f>
        <v>1.4829544602757017</v>
      </c>
      <c r="BC53" s="22">
        <f>SUM(Emissions!BE157:BE172)</f>
        <v>1.5011413290218023</v>
      </c>
      <c r="BD53" s="22">
        <f>SUM(Emissions!BF157:BF172)</f>
        <v>1.5200543106803936</v>
      </c>
      <c r="BE53" s="22">
        <f>SUM(Emissions!BG157:BG172)</f>
        <v>1.5403472980117106</v>
      </c>
      <c r="BF53" s="22">
        <f>SUM(Emissions!BH157:BH172)</f>
        <v>1.5610451601774469</v>
      </c>
      <c r="BG53" s="22">
        <f>SUM(Emissions!BI157:BI172)</f>
        <v>1.5820469832162234</v>
      </c>
      <c r="BH53" s="22">
        <f>SUM(Emissions!BJ157:BJ172)</f>
        <v>1.6034412096539237</v>
      </c>
      <c r="BI53" s="22">
        <f>SUM(Emissions!BK157:BK172)</f>
        <v>1.6256760129457108</v>
      </c>
      <c r="BJ53" s="22">
        <f>SUM(Emissions!BL157:BL172)</f>
        <v>1.6484037867717456</v>
      </c>
      <c r="BK53" s="22">
        <f>SUM(Emissions!BM157:BM172)</f>
        <v>1.6716090162317481</v>
      </c>
      <c r="BL53" s="22">
        <f>SUM(Emissions!BN157:BN172)</f>
        <v>1.6943635335053693</v>
      </c>
      <c r="BM53" s="22">
        <f>SUM(Emissions!BO157:BO172)</f>
        <v>1.7176235632944619</v>
      </c>
      <c r="BN53" s="22">
        <f>SUM(Emissions!BP157:BP172)</f>
        <v>1.7414204478184143</v>
      </c>
    </row>
    <row r="54" spans="1:72" x14ac:dyDescent="0.25">
      <c r="A54" t="str">
        <f t="shared" ref="A54" si="41">A53</f>
        <v>3C Aggregated and non-CO2 emissions on land</v>
      </c>
      <c r="B54" t="str">
        <f>B53</f>
        <v>3C6 Indirect N2O from manure management (N2O)</v>
      </c>
      <c r="C54" t="str">
        <f>'IPCC Categories'!C81</f>
        <v>Leaching/runoff</v>
      </c>
      <c r="D54" t="str">
        <f t="shared" si="29"/>
        <v>N2O</v>
      </c>
      <c r="E54" t="str">
        <f t="shared" si="30"/>
        <v>Gg N2O</v>
      </c>
      <c r="F54" s="22">
        <f>SUM(Emissions!H173:H188)</f>
        <v>0.30181390908664013</v>
      </c>
      <c r="G54" s="22">
        <f>SUM(Emissions!I173:I188)</f>
        <v>0.3169747345417806</v>
      </c>
      <c r="H54" s="22">
        <f>SUM(Emissions!J173:J188)</f>
        <v>0.2988118778073216</v>
      </c>
      <c r="I54" s="22">
        <f>SUM(Emissions!K173:K188)</f>
        <v>0.30485141350027467</v>
      </c>
      <c r="J54" s="22">
        <f>SUM(Emissions!L173:L188)</f>
        <v>0.29104793542789809</v>
      </c>
      <c r="K54" s="22">
        <f>SUM(Emissions!M173:M188)</f>
        <v>0.30371969931927756</v>
      </c>
      <c r="L54" s="22">
        <f>SUM(Emissions!N173:N188)</f>
        <v>0.31558646671880985</v>
      </c>
      <c r="M54" s="22">
        <f>SUM(Emissions!O173:O188)</f>
        <v>0.31482439856600941</v>
      </c>
      <c r="N54" s="22">
        <f>SUM(Emissions!P173:P188)</f>
        <v>0.32198183633715949</v>
      </c>
      <c r="O54" s="22">
        <f>SUM(Emissions!Q173:Q188)</f>
        <v>0.32480432586798069</v>
      </c>
      <c r="P54" s="22">
        <f>SUM(Emissions!R173:R188)</f>
        <v>0.3520536099615787</v>
      </c>
      <c r="Q54" s="22">
        <f>SUM(Emissions!S173:S188)</f>
        <v>0.34985554487039217</v>
      </c>
      <c r="R54" s="22">
        <f>SUM(Emissions!T173:T188)</f>
        <v>0.34105077884672508</v>
      </c>
      <c r="S54" s="22">
        <f>SUM(Emissions!U173:U188)</f>
        <v>0.32758514535332894</v>
      </c>
      <c r="T54" s="22">
        <f>SUM(Emissions!V173:V188)</f>
        <v>0.32504320331611769</v>
      </c>
      <c r="U54" s="22">
        <f>SUM(Emissions!W173:W188)</f>
        <v>0.33785862644157977</v>
      </c>
      <c r="V54" s="22">
        <f>SUM(Emissions!X173:X188)</f>
        <v>0.34137213437529795</v>
      </c>
      <c r="W54" s="22">
        <f>SUM(Emissions!Y173:Y188)</f>
        <v>0.34826769321972251</v>
      </c>
      <c r="X54" s="22">
        <f>SUM(Emissions!Z173:Z188)</f>
        <v>0.3721583887003278</v>
      </c>
      <c r="Y54" s="22">
        <f>SUM(Emissions!AA173:AA188)</f>
        <v>0.37016471933452583</v>
      </c>
      <c r="Z54" s="22">
        <f>SUM(Emissions!AB173:AB188)</f>
        <v>0.3711678936925738</v>
      </c>
      <c r="AA54" s="22">
        <f>SUM(Emissions!AC173:AC188)</f>
        <v>0.37415602868090186</v>
      </c>
      <c r="AB54" s="22">
        <f>SUM(Emissions!AD173:AD188)</f>
        <v>0.37317652308068405</v>
      </c>
      <c r="AC54" s="22">
        <f>SUM(Emissions!AE173:AE188)</f>
        <v>0.37688605102494799</v>
      </c>
      <c r="AD54" s="22">
        <f>SUM(Emissions!AF173:AF188)</f>
        <v>0.38001868431328889</v>
      </c>
      <c r="AE54" s="22">
        <f>SUM(Emissions!AG173:AG188)</f>
        <v>0.38254205707491673</v>
      </c>
      <c r="AF54" s="22">
        <f>SUM(Emissions!AH173:AH188)</f>
        <v>0.38457381544636093</v>
      </c>
      <c r="AG54" s="22">
        <f>SUM(Emissions!AI173:AI188)</f>
        <v>0.38709527724052351</v>
      </c>
      <c r="AH54" s="22">
        <f>SUM(Emissions!AJ173:AJ188)</f>
        <v>0.38947198596887</v>
      </c>
      <c r="AI54" s="22">
        <f>SUM(Emissions!AK173:AK188)</f>
        <v>0.39171587238458588</v>
      </c>
      <c r="AJ54" s="22">
        <f>SUM(Emissions!AL173:AL188)</f>
        <v>0.38405043222563051</v>
      </c>
      <c r="AK54" s="22">
        <f>SUM(Emissions!AM173:AM188)</f>
        <v>0.38788578919183619</v>
      </c>
      <c r="AL54" s="22">
        <f>SUM(Emissions!AN173:AN188)</f>
        <v>0.39165127101730224</v>
      </c>
      <c r="AM54" s="22">
        <f>SUM(Emissions!AO173:AO188)</f>
        <v>0.39547566383131422</v>
      </c>
      <c r="AN54" s="22">
        <f>SUM(Emissions!AP173:AP188)</f>
        <v>0.39924987946397034</v>
      </c>
      <c r="AO54" s="22">
        <f>SUM(Emissions!AQ173:AQ188)</f>
        <v>0.40316445910372356</v>
      </c>
      <c r="AP54" s="22">
        <f>SUM(Emissions!AR173:AR188)</f>
        <v>0.40756573871133012</v>
      </c>
      <c r="AQ54" s="22">
        <f>SUM(Emissions!AS173:AS188)</f>
        <v>0.41197682574445571</v>
      </c>
      <c r="AR54" s="22">
        <f>SUM(Emissions!AT173:AT188)</f>
        <v>0.41655842269904947</v>
      </c>
      <c r="AS54" s="22">
        <f>SUM(Emissions!AU173:AU188)</f>
        <v>0.42127489772360327</v>
      </c>
      <c r="AT54" s="22">
        <f>SUM(Emissions!AV173:AV188)</f>
        <v>0.42616377426752172</v>
      </c>
      <c r="AU54" s="22">
        <f>SUM(Emissions!AW173:AW188)</f>
        <v>0.4324826674274892</v>
      </c>
      <c r="AV54" s="22">
        <f>SUM(Emissions!AX173:AX188)</f>
        <v>0.43841102795194509</v>
      </c>
      <c r="AW54" s="22">
        <f>SUM(Emissions!AY173:AY188)</f>
        <v>0.44485003951289648</v>
      </c>
      <c r="AX54" s="22">
        <f>SUM(Emissions!AZ173:AZ188)</f>
        <v>0.45157275419440496</v>
      </c>
      <c r="AY54" s="22">
        <f>SUM(Emissions!BA173:BA188)</f>
        <v>0.45857284584175462</v>
      </c>
      <c r="AZ54" s="22">
        <f>SUM(Emissions!BB173:BB188)</f>
        <v>0.46559511072295351</v>
      </c>
      <c r="BA54" s="22">
        <f>SUM(Emissions!BC173:BC188)</f>
        <v>0.47272910660902734</v>
      </c>
      <c r="BB54" s="22">
        <f>SUM(Emissions!BD173:BD188)</f>
        <v>0.47779181101992824</v>
      </c>
      <c r="BC54" s="22">
        <f>SUM(Emissions!BE173:BE188)</f>
        <v>0.48256462745748896</v>
      </c>
      <c r="BD54" s="22">
        <f>SUM(Emissions!BF173:BF188)</f>
        <v>0.48749100307423809</v>
      </c>
      <c r="BE54" s="22">
        <f>SUM(Emissions!BG173:BG188)</f>
        <v>0.49301524004040886</v>
      </c>
      <c r="BF54" s="22">
        <f>SUM(Emissions!BH173:BH188)</f>
        <v>0.49860902935059265</v>
      </c>
      <c r="BG54" s="22">
        <f>SUM(Emissions!BI173:BI188)</f>
        <v>0.50424042611382447</v>
      </c>
      <c r="BH54" s="22">
        <f>SUM(Emissions!BJ173:BJ188)</f>
        <v>0.50993356014489732</v>
      </c>
      <c r="BI54" s="22">
        <f>SUM(Emissions!BK173:BK188)</f>
        <v>0.51581744002722862</v>
      </c>
      <c r="BJ54" s="22">
        <f>SUM(Emissions!BL173:BL188)</f>
        <v>0.52178196353843354</v>
      </c>
      <c r="BK54" s="22">
        <f>SUM(Emissions!BM173:BM188)</f>
        <v>0.52782474343051544</v>
      </c>
      <c r="BL54" s="22">
        <f>SUM(Emissions!BN173:BN188)</f>
        <v>0.53367461753353784</v>
      </c>
      <c r="BM54" s="22">
        <f>SUM(Emissions!BO173:BO188)</f>
        <v>0.53960764285254714</v>
      </c>
      <c r="BN54" s="22">
        <f>SUM(Emissions!BP173:BP188)</f>
        <v>0.54562994735589343</v>
      </c>
    </row>
    <row r="57" spans="1:72" s="19" customFormat="1" ht="15.75" x14ac:dyDescent="0.25">
      <c r="A57" s="17" t="s">
        <v>4</v>
      </c>
      <c r="B57" s="17" t="s">
        <v>313</v>
      </c>
      <c r="C57" s="17"/>
      <c r="D57" s="17"/>
      <c r="E57" s="17"/>
      <c r="F57" s="17">
        <v>1990</v>
      </c>
      <c r="G57" s="17">
        <v>1991</v>
      </c>
      <c r="H57" s="17">
        <v>1992</v>
      </c>
      <c r="I57" s="17">
        <v>1993</v>
      </c>
      <c r="J57" s="17">
        <v>1994</v>
      </c>
      <c r="K57" s="17">
        <v>1995</v>
      </c>
      <c r="L57" s="17">
        <v>1996</v>
      </c>
      <c r="M57" s="17">
        <v>1997</v>
      </c>
      <c r="N57" s="17">
        <v>1998</v>
      </c>
      <c r="O57" s="17">
        <v>1999</v>
      </c>
      <c r="P57" s="17">
        <v>2000</v>
      </c>
      <c r="Q57" s="17">
        <v>2001</v>
      </c>
      <c r="R57" s="17">
        <v>2002</v>
      </c>
      <c r="S57" s="17">
        <v>2003</v>
      </c>
      <c r="T57" s="17">
        <v>2004</v>
      </c>
      <c r="U57" s="17">
        <v>2005</v>
      </c>
      <c r="V57" s="17">
        <v>2006</v>
      </c>
      <c r="W57" s="17">
        <v>2007</v>
      </c>
      <c r="X57" s="17">
        <v>2008</v>
      </c>
      <c r="Y57" s="17">
        <v>2009</v>
      </c>
      <c r="Z57" s="17">
        <v>2010</v>
      </c>
      <c r="AA57" s="17">
        <v>2011</v>
      </c>
      <c r="AB57" s="17">
        <v>2012</v>
      </c>
      <c r="AC57" s="17">
        <v>2013</v>
      </c>
      <c r="AD57" s="17">
        <v>2014</v>
      </c>
      <c r="AE57" s="17">
        <v>2015</v>
      </c>
      <c r="AF57" s="17">
        <v>2016</v>
      </c>
      <c r="AG57" s="17">
        <v>2017</v>
      </c>
      <c r="AH57" s="17">
        <v>2018</v>
      </c>
      <c r="AI57" s="17">
        <v>2019</v>
      </c>
      <c r="AJ57" s="17">
        <v>2020</v>
      </c>
      <c r="AK57" s="17">
        <v>2021</v>
      </c>
      <c r="AL57" s="17">
        <v>2022</v>
      </c>
      <c r="AM57" s="17">
        <v>2023</v>
      </c>
      <c r="AN57" s="17">
        <v>2024</v>
      </c>
      <c r="AO57" s="17">
        <v>2025</v>
      </c>
      <c r="AP57" s="17">
        <v>2026</v>
      </c>
      <c r="AQ57" s="17">
        <v>2027</v>
      </c>
      <c r="AR57" s="17">
        <v>2028</v>
      </c>
      <c r="AS57" s="17">
        <v>2029</v>
      </c>
      <c r="AT57" s="17">
        <v>2030</v>
      </c>
      <c r="AU57" s="17">
        <v>2031</v>
      </c>
      <c r="AV57" s="17">
        <v>2032</v>
      </c>
      <c r="AW57" s="17">
        <v>2033</v>
      </c>
      <c r="AX57" s="17">
        <v>2034</v>
      </c>
      <c r="AY57" s="17">
        <v>2035</v>
      </c>
      <c r="AZ57" s="17">
        <v>2036</v>
      </c>
      <c r="BA57" s="17">
        <v>2037</v>
      </c>
      <c r="BB57" s="17">
        <v>2038</v>
      </c>
      <c r="BC57" s="17">
        <v>2039</v>
      </c>
      <c r="BD57" s="17">
        <v>2040</v>
      </c>
      <c r="BE57" s="17">
        <v>2041</v>
      </c>
      <c r="BF57" s="17">
        <v>2042</v>
      </c>
      <c r="BG57" s="17">
        <v>2043</v>
      </c>
      <c r="BH57" s="17">
        <v>2044</v>
      </c>
      <c r="BI57" s="17">
        <v>2045</v>
      </c>
      <c r="BJ57" s="17">
        <v>2046</v>
      </c>
      <c r="BK57" s="17">
        <v>2047</v>
      </c>
      <c r="BL57" s="17">
        <v>2048</v>
      </c>
      <c r="BM57" s="17">
        <v>2049</v>
      </c>
      <c r="BN57" s="17">
        <v>2050</v>
      </c>
      <c r="BO57" s="17"/>
      <c r="BP57" s="17"/>
      <c r="BQ57" s="17"/>
      <c r="BR57" s="17"/>
      <c r="BS57" s="17"/>
      <c r="BT57" s="17"/>
    </row>
    <row r="58" spans="1:72" x14ac:dyDescent="0.25">
      <c r="A58" t="str">
        <f>A4</f>
        <v>3A Livestock</v>
      </c>
      <c r="B58" t="str">
        <f t="shared" ref="B58:D58" si="42">B4</f>
        <v>3A1 Enteric fermentation (CH4)</v>
      </c>
      <c r="C58" t="s">
        <v>637</v>
      </c>
      <c r="D58" t="str">
        <f t="shared" si="42"/>
        <v>CH4</v>
      </c>
      <c r="E58" t="s">
        <v>636</v>
      </c>
      <c r="F58" s="22">
        <f t="shared" ref="F58:AK58" si="43">F4*CH4GWP</f>
        <v>27887.85112455436</v>
      </c>
      <c r="G58" s="22">
        <f t="shared" si="43"/>
        <v>28052.95424476856</v>
      </c>
      <c r="H58" s="22">
        <f t="shared" si="43"/>
        <v>27441.217435183567</v>
      </c>
      <c r="I58" s="22">
        <f t="shared" si="43"/>
        <v>26581.05994030408</v>
      </c>
      <c r="J58" s="22">
        <f t="shared" si="43"/>
        <v>25774.563793534111</v>
      </c>
      <c r="K58" s="22">
        <f t="shared" si="43"/>
        <v>26067.705926599345</v>
      </c>
      <c r="L58" s="22">
        <f t="shared" si="43"/>
        <v>26722.834982572273</v>
      </c>
      <c r="M58" s="22">
        <f t="shared" si="43"/>
        <v>27148.993723921943</v>
      </c>
      <c r="N58" s="22">
        <f t="shared" si="43"/>
        <v>27518.798403844699</v>
      </c>
      <c r="O58" s="22">
        <f t="shared" si="43"/>
        <v>27480.068184836913</v>
      </c>
      <c r="P58" s="22">
        <f t="shared" si="43"/>
        <v>27554.219807136677</v>
      </c>
      <c r="Q58" s="22">
        <f t="shared" si="43"/>
        <v>27355.95746628254</v>
      </c>
      <c r="R58" s="22">
        <f t="shared" si="43"/>
        <v>26716.740856961191</v>
      </c>
      <c r="S58" s="22">
        <f t="shared" si="43"/>
        <v>26637.476489992478</v>
      </c>
      <c r="T58" s="22">
        <f t="shared" si="43"/>
        <v>26374.852623436884</v>
      </c>
      <c r="U58" s="22">
        <f t="shared" si="43"/>
        <v>26533.412575204307</v>
      </c>
      <c r="V58" s="22">
        <f t="shared" si="43"/>
        <v>26410.698013112593</v>
      </c>
      <c r="W58" s="22">
        <f t="shared" si="43"/>
        <v>26955.917556178629</v>
      </c>
      <c r="X58" s="22">
        <f t="shared" si="43"/>
        <v>27407.444385583316</v>
      </c>
      <c r="Y58" s="22">
        <f t="shared" si="43"/>
        <v>27291.288746937418</v>
      </c>
      <c r="Z58" s="22">
        <f t="shared" si="43"/>
        <v>27077.0700941676</v>
      </c>
      <c r="AA58" s="22">
        <f t="shared" si="43"/>
        <v>26920.982021071421</v>
      </c>
      <c r="AB58" s="22">
        <f t="shared" si="43"/>
        <v>26891.802559138967</v>
      </c>
      <c r="AC58" s="22">
        <f t="shared" si="43"/>
        <v>26895.058306222345</v>
      </c>
      <c r="AD58" s="22">
        <f t="shared" si="43"/>
        <v>26907.709956497594</v>
      </c>
      <c r="AE58" s="22">
        <f t="shared" si="43"/>
        <v>26928.784544529732</v>
      </c>
      <c r="AF58" s="22">
        <f t="shared" si="43"/>
        <v>26957.672462989274</v>
      </c>
      <c r="AG58" s="22">
        <f t="shared" si="43"/>
        <v>26982.968288156633</v>
      </c>
      <c r="AH58" s="22">
        <f t="shared" si="43"/>
        <v>27011.044287316945</v>
      </c>
      <c r="AI58" s="22">
        <f t="shared" si="43"/>
        <v>27041.664736826409</v>
      </c>
      <c r="AJ58" s="22">
        <f t="shared" si="43"/>
        <v>27181.50340804008</v>
      </c>
      <c r="AK58" s="22">
        <f t="shared" si="43"/>
        <v>27193.238499989362</v>
      </c>
      <c r="AL58" s="22">
        <f t="shared" ref="AL58:BN58" si="44">AL4*CH4GWP</f>
        <v>27208.976572862244</v>
      </c>
      <c r="AM58" s="22">
        <f t="shared" si="44"/>
        <v>27226.988374133805</v>
      </c>
      <c r="AN58" s="22">
        <f t="shared" si="44"/>
        <v>27248.27818415589</v>
      </c>
      <c r="AO58" s="22">
        <f t="shared" si="44"/>
        <v>27270.857555495088</v>
      </c>
      <c r="AP58" s="22">
        <f t="shared" si="44"/>
        <v>27293.567918871617</v>
      </c>
      <c r="AQ58" s="22">
        <f t="shared" si="44"/>
        <v>27319.256628107163</v>
      </c>
      <c r="AR58" s="22">
        <f t="shared" si="44"/>
        <v>27346.631151661506</v>
      </c>
      <c r="AS58" s="22">
        <f t="shared" si="44"/>
        <v>27376.056881683493</v>
      </c>
      <c r="AT58" s="22">
        <f t="shared" si="44"/>
        <v>27409.633478649284</v>
      </c>
      <c r="AU58" s="22">
        <f t="shared" si="44"/>
        <v>27585.982832304857</v>
      </c>
      <c r="AV58" s="22">
        <f t="shared" si="44"/>
        <v>27725.813131737843</v>
      </c>
      <c r="AW58" s="22">
        <f t="shared" si="44"/>
        <v>27884.636893154635</v>
      </c>
      <c r="AX58" s="22">
        <f t="shared" si="44"/>
        <v>28044.487696411648</v>
      </c>
      <c r="AY58" s="22">
        <f t="shared" si="44"/>
        <v>28203.423897265395</v>
      </c>
      <c r="AZ58" s="22">
        <f t="shared" si="44"/>
        <v>28343.227384301448</v>
      </c>
      <c r="BA58" s="22">
        <f t="shared" si="44"/>
        <v>28469.052075185784</v>
      </c>
      <c r="BB58" s="22">
        <f t="shared" si="44"/>
        <v>28536.480472247538</v>
      </c>
      <c r="BC58" s="22">
        <f t="shared" si="44"/>
        <v>28581.524237927457</v>
      </c>
      <c r="BD58" s="22">
        <f t="shared" si="44"/>
        <v>28616.073136714054</v>
      </c>
      <c r="BE58" s="22">
        <f t="shared" si="44"/>
        <v>28740.893228151283</v>
      </c>
      <c r="BF58" s="22">
        <f t="shared" si="44"/>
        <v>28853.746883576092</v>
      </c>
      <c r="BG58" s="22">
        <f t="shared" si="44"/>
        <v>28952.142678263241</v>
      </c>
      <c r="BH58" s="22">
        <f t="shared" si="44"/>
        <v>29036.823240401071</v>
      </c>
      <c r="BI58" s="22">
        <f t="shared" si="44"/>
        <v>29114.061119013419</v>
      </c>
      <c r="BJ58" s="22">
        <f t="shared" si="44"/>
        <v>29176.410297423536</v>
      </c>
      <c r="BK58" s="22">
        <f t="shared" si="44"/>
        <v>29223.275299934598</v>
      </c>
      <c r="BL58" s="22">
        <f t="shared" si="44"/>
        <v>29240.18005664974</v>
      </c>
      <c r="BM58" s="22">
        <f t="shared" si="44"/>
        <v>29240.80925419939</v>
      </c>
      <c r="BN58" s="22">
        <f t="shared" si="44"/>
        <v>29224.525387194233</v>
      </c>
    </row>
    <row r="59" spans="1:72" x14ac:dyDescent="0.25">
      <c r="A59" t="str">
        <f>A11</f>
        <v>3A Livestock</v>
      </c>
      <c r="B59" t="str">
        <f t="shared" ref="B59:D59" si="45">B11</f>
        <v>3A2 Manure management (CH4)</v>
      </c>
      <c r="C59" t="s">
        <v>638</v>
      </c>
      <c r="D59" t="str">
        <f t="shared" si="45"/>
        <v>CH4</v>
      </c>
      <c r="E59" t="s">
        <v>636</v>
      </c>
      <c r="F59" s="22">
        <f t="shared" ref="F59:AK59" si="46">F11*CH4GWP</f>
        <v>666.06204934001551</v>
      </c>
      <c r="G59" s="22">
        <f t="shared" si="46"/>
        <v>732.12436901914043</v>
      </c>
      <c r="H59" s="22">
        <f t="shared" si="46"/>
        <v>700.56680996537909</v>
      </c>
      <c r="I59" s="22">
        <f t="shared" si="46"/>
        <v>712.45688981398314</v>
      </c>
      <c r="J59" s="22">
        <f t="shared" si="46"/>
        <v>673.84019056197121</v>
      </c>
      <c r="K59" s="22">
        <f t="shared" si="46"/>
        <v>693.75148778351172</v>
      </c>
      <c r="L59" s="22">
        <f t="shared" si="46"/>
        <v>735.0532688951846</v>
      </c>
      <c r="M59" s="22">
        <f t="shared" si="46"/>
        <v>726.81306453403101</v>
      </c>
      <c r="N59" s="22">
        <f t="shared" si="46"/>
        <v>739.05090449418776</v>
      </c>
      <c r="O59" s="22">
        <f t="shared" si="46"/>
        <v>751.5428196938949</v>
      </c>
      <c r="P59" s="22">
        <f t="shared" si="46"/>
        <v>762.61798038874713</v>
      </c>
      <c r="Q59" s="22">
        <f t="shared" si="46"/>
        <v>770.037342974083</v>
      </c>
      <c r="R59" s="22">
        <f t="shared" si="46"/>
        <v>755.58203891254311</v>
      </c>
      <c r="S59" s="22">
        <f t="shared" si="46"/>
        <v>721.75143456019089</v>
      </c>
      <c r="T59" s="22">
        <f t="shared" si="46"/>
        <v>716.67484725890722</v>
      </c>
      <c r="U59" s="22">
        <f t="shared" si="46"/>
        <v>729.32337712122808</v>
      </c>
      <c r="V59" s="22">
        <f t="shared" si="46"/>
        <v>720.68997500480248</v>
      </c>
      <c r="W59" s="22">
        <f t="shared" si="46"/>
        <v>731.3640552803688</v>
      </c>
      <c r="X59" s="22">
        <f t="shared" si="46"/>
        <v>761.56334487642721</v>
      </c>
      <c r="Y59" s="22">
        <f t="shared" si="46"/>
        <v>763.39480303850974</v>
      </c>
      <c r="Z59" s="22">
        <f t="shared" si="46"/>
        <v>759.25274923515042</v>
      </c>
      <c r="AA59" s="22">
        <f t="shared" si="46"/>
        <v>751.41115031540085</v>
      </c>
      <c r="AB59" s="22">
        <f t="shared" si="46"/>
        <v>745.27810094755455</v>
      </c>
      <c r="AC59" s="22">
        <f t="shared" si="46"/>
        <v>746.70283875190376</v>
      </c>
      <c r="AD59" s="22">
        <f t="shared" si="46"/>
        <v>747.9296291260498</v>
      </c>
      <c r="AE59" s="22">
        <f t="shared" si="46"/>
        <v>748.91287036566155</v>
      </c>
      <c r="AF59" s="22">
        <f t="shared" si="46"/>
        <v>749.6946695051796</v>
      </c>
      <c r="AG59" s="22">
        <f t="shared" si="46"/>
        <v>750.68846270271354</v>
      </c>
      <c r="AH59" s="22">
        <f t="shared" si="46"/>
        <v>751.61673684953962</v>
      </c>
      <c r="AI59" s="22">
        <f t="shared" si="46"/>
        <v>752.4808973820974</v>
      </c>
      <c r="AJ59" s="22">
        <f t="shared" si="46"/>
        <v>749.18918275355156</v>
      </c>
      <c r="AK59" s="22">
        <f t="shared" si="46"/>
        <v>750.60564373214697</v>
      </c>
      <c r="AL59" s="22">
        <f t="shared" ref="AL59:BN59" si="47">AL11*CH4GWP</f>
        <v>752.03145332965312</v>
      </c>
      <c r="AM59" s="22">
        <f t="shared" si="47"/>
        <v>753.51269055322484</v>
      </c>
      <c r="AN59" s="22">
        <f t="shared" si="47"/>
        <v>754.99867042010908</v>
      </c>
      <c r="AO59" s="22">
        <f t="shared" si="47"/>
        <v>756.57082988997797</v>
      </c>
      <c r="AP59" s="22">
        <f t="shared" si="47"/>
        <v>758.40896836774129</v>
      </c>
      <c r="AQ59" s="22">
        <f t="shared" si="47"/>
        <v>760.28337477362481</v>
      </c>
      <c r="AR59" s="22">
        <f t="shared" si="47"/>
        <v>762.27199876722329</v>
      </c>
      <c r="AS59" s="22">
        <f t="shared" si="47"/>
        <v>764.35870715707836</v>
      </c>
      <c r="AT59" s="22">
        <f t="shared" si="47"/>
        <v>766.55112993319688</v>
      </c>
      <c r="AU59" s="22">
        <f t="shared" si="47"/>
        <v>774.57243022059583</v>
      </c>
      <c r="AV59" s="22">
        <f t="shared" si="47"/>
        <v>780.70495637745034</v>
      </c>
      <c r="AW59" s="22">
        <f t="shared" si="47"/>
        <v>787.94082099303796</v>
      </c>
      <c r="AX59" s="22">
        <f t="shared" si="47"/>
        <v>795.50125314545414</v>
      </c>
      <c r="AY59" s="22">
        <f t="shared" si="47"/>
        <v>803.32535663669</v>
      </c>
      <c r="AZ59" s="22">
        <f t="shared" si="47"/>
        <v>810.55277903415458</v>
      </c>
      <c r="BA59" s="22">
        <f t="shared" si="47"/>
        <v>817.47240753229846</v>
      </c>
      <c r="BB59" s="22">
        <f t="shared" si="47"/>
        <v>823.03269869632425</v>
      </c>
      <c r="BC59" s="22">
        <f t="shared" si="47"/>
        <v>828.10922984723743</v>
      </c>
      <c r="BD59" s="22">
        <f t="shared" si="47"/>
        <v>833.12921255984702</v>
      </c>
      <c r="BE59" s="22">
        <f t="shared" si="47"/>
        <v>841.15883406695832</v>
      </c>
      <c r="BF59" s="22">
        <f t="shared" si="47"/>
        <v>848.94761445455686</v>
      </c>
      <c r="BG59" s="22">
        <f t="shared" si="47"/>
        <v>856.38623608122441</v>
      </c>
      <c r="BH59" s="22">
        <f t="shared" si="47"/>
        <v>863.52639940616393</v>
      </c>
      <c r="BI59" s="22">
        <f t="shared" si="47"/>
        <v>870.70688424805337</v>
      </c>
      <c r="BJ59" s="22">
        <f t="shared" si="47"/>
        <v>877.6210471244126</v>
      </c>
      <c r="BK59" s="22">
        <f t="shared" si="47"/>
        <v>884.21059670808211</v>
      </c>
      <c r="BL59" s="22">
        <f t="shared" si="47"/>
        <v>889.72847033304663</v>
      </c>
      <c r="BM59" s="22">
        <f t="shared" si="47"/>
        <v>894.90665364563085</v>
      </c>
      <c r="BN59" s="22">
        <f t="shared" si="47"/>
        <v>899.73582796657047</v>
      </c>
    </row>
    <row r="60" spans="1:72" x14ac:dyDescent="0.25">
      <c r="A60" t="str">
        <f>A19</f>
        <v>3A Livestock</v>
      </c>
      <c r="B60" t="str">
        <f t="shared" ref="B60:D60" si="48">B19</f>
        <v>3A2 Manure management (N2O)</v>
      </c>
      <c r="C60" t="s">
        <v>639</v>
      </c>
      <c r="D60" t="str">
        <f t="shared" si="48"/>
        <v>N2O</v>
      </c>
      <c r="E60" t="s">
        <v>636</v>
      </c>
      <c r="F60" s="22">
        <f t="shared" ref="F60:AK60" si="49">F19*N2OGWP</f>
        <v>1255.1652754869137</v>
      </c>
      <c r="G60" s="22">
        <f t="shared" si="49"/>
        <v>1258.0143640040135</v>
      </c>
      <c r="H60" s="22">
        <f t="shared" si="49"/>
        <v>1225.2163625655207</v>
      </c>
      <c r="I60" s="22">
        <f t="shared" si="49"/>
        <v>1236.3224727966381</v>
      </c>
      <c r="J60" s="22">
        <f t="shared" si="49"/>
        <v>1196.4788414758145</v>
      </c>
      <c r="K60" s="22">
        <f t="shared" si="49"/>
        <v>1241.7643864691374</v>
      </c>
      <c r="L60" s="22">
        <f t="shared" si="49"/>
        <v>1306.5378094378329</v>
      </c>
      <c r="M60" s="22">
        <f t="shared" si="49"/>
        <v>1321.5734657862276</v>
      </c>
      <c r="N60" s="22">
        <f t="shared" si="49"/>
        <v>1372.8496560471892</v>
      </c>
      <c r="O60" s="22">
        <f t="shared" si="49"/>
        <v>1397.6106559713833</v>
      </c>
      <c r="P60" s="22">
        <f t="shared" si="49"/>
        <v>1437.1521613218097</v>
      </c>
      <c r="Q60" s="22">
        <f t="shared" si="49"/>
        <v>1420.7532667016601</v>
      </c>
      <c r="R60" s="22">
        <f t="shared" si="49"/>
        <v>1453.9931240925632</v>
      </c>
      <c r="S60" s="22">
        <f t="shared" si="49"/>
        <v>1423.6012907024699</v>
      </c>
      <c r="T60" s="22">
        <f t="shared" si="49"/>
        <v>1426.753610882653</v>
      </c>
      <c r="U60" s="22">
        <f t="shared" si="49"/>
        <v>1477.1488035237094</v>
      </c>
      <c r="V60" s="22">
        <f t="shared" si="49"/>
        <v>1517.6310373242886</v>
      </c>
      <c r="W60" s="22">
        <f t="shared" si="49"/>
        <v>1563.8037591101804</v>
      </c>
      <c r="X60" s="22">
        <f t="shared" si="49"/>
        <v>1600.9778867790778</v>
      </c>
      <c r="Y60" s="22">
        <f t="shared" si="49"/>
        <v>1570.3300471621321</v>
      </c>
      <c r="Z60" s="22">
        <f t="shared" si="49"/>
        <v>1579.8471445717203</v>
      </c>
      <c r="AA60" s="22">
        <f t="shared" si="49"/>
        <v>1630.4753358386679</v>
      </c>
      <c r="AB60" s="22">
        <f t="shared" si="49"/>
        <v>1628.2700018260662</v>
      </c>
      <c r="AC60" s="22">
        <f t="shared" si="49"/>
        <v>1648.3808089234237</v>
      </c>
      <c r="AD60" s="22">
        <f t="shared" si="49"/>
        <v>1665.8348875840941</v>
      </c>
      <c r="AE60" s="22">
        <f t="shared" si="49"/>
        <v>1680.4861695348657</v>
      </c>
      <c r="AF60" s="22">
        <f t="shared" si="49"/>
        <v>1692.8786086782386</v>
      </c>
      <c r="AG60" s="22">
        <f t="shared" si="49"/>
        <v>1707.6789601335902</v>
      </c>
      <c r="AH60" s="22">
        <f t="shared" si="49"/>
        <v>1721.8878801727653</v>
      </c>
      <c r="AI60" s="22">
        <f t="shared" si="49"/>
        <v>1735.5651317799736</v>
      </c>
      <c r="AJ60" s="22">
        <f t="shared" si="49"/>
        <v>1702.4272802638138</v>
      </c>
      <c r="AK60" s="22">
        <f t="shared" si="49"/>
        <v>1723.8534158622163</v>
      </c>
      <c r="AL60" s="22">
        <f t="shared" ref="AL60:BN60" si="50">AL19*N2OGWP</f>
        <v>1745.0477809182573</v>
      </c>
      <c r="AM60" s="22">
        <f t="shared" si="50"/>
        <v>1766.6243107723235</v>
      </c>
      <c r="AN60" s="22">
        <f t="shared" si="50"/>
        <v>1788.0704311857003</v>
      </c>
      <c r="AO60" s="22">
        <f t="shared" si="50"/>
        <v>1810.2912617744114</v>
      </c>
      <c r="AP60" s="22">
        <f t="shared" si="50"/>
        <v>1834.9064155589317</v>
      </c>
      <c r="AQ60" s="22">
        <f t="shared" si="50"/>
        <v>1859.6843780636766</v>
      </c>
      <c r="AR60" s="22">
        <f t="shared" si="50"/>
        <v>1885.3879467974587</v>
      </c>
      <c r="AS60" s="22">
        <f t="shared" si="50"/>
        <v>1911.8522665855126</v>
      </c>
      <c r="AT60" s="22">
        <f t="shared" si="50"/>
        <v>1939.2756852511393</v>
      </c>
      <c r="AU60" s="22">
        <f t="shared" si="50"/>
        <v>1972.7402616471004</v>
      </c>
      <c r="AV60" s="22">
        <f t="shared" si="50"/>
        <v>2004.8419515665021</v>
      </c>
      <c r="AW60" s="22">
        <f t="shared" si="50"/>
        <v>2039.3489265082437</v>
      </c>
      <c r="AX60" s="22">
        <f t="shared" si="50"/>
        <v>2075.3058132533415</v>
      </c>
      <c r="AY60" s="22">
        <f t="shared" si="50"/>
        <v>2112.6963521247967</v>
      </c>
      <c r="AZ60" s="22">
        <f t="shared" si="50"/>
        <v>2150.438542331281</v>
      </c>
      <c r="BA60" s="22">
        <f t="shared" si="50"/>
        <v>2188.9238096249333</v>
      </c>
      <c r="BB60" s="22">
        <f t="shared" si="50"/>
        <v>2212.911398106437</v>
      </c>
      <c r="BC60" s="22">
        <f t="shared" si="50"/>
        <v>2234.7983552741348</v>
      </c>
      <c r="BD60" s="22">
        <f t="shared" si="50"/>
        <v>2257.4240082106162</v>
      </c>
      <c r="BE60" s="22">
        <f t="shared" si="50"/>
        <v>2282.4153026953645</v>
      </c>
      <c r="BF60" s="22">
        <f t="shared" si="50"/>
        <v>2307.7760905190862</v>
      </c>
      <c r="BG60" s="22">
        <f t="shared" si="50"/>
        <v>2333.3712987201388</v>
      </c>
      <c r="BH60" s="22">
        <f t="shared" si="50"/>
        <v>2359.3077945246901</v>
      </c>
      <c r="BI60" s="22">
        <f t="shared" si="50"/>
        <v>2386.1471633378451</v>
      </c>
      <c r="BJ60" s="22">
        <f t="shared" si="50"/>
        <v>2413.4183176499132</v>
      </c>
      <c r="BK60" s="22">
        <f t="shared" si="50"/>
        <v>2441.1135571898476</v>
      </c>
      <c r="BL60" s="22">
        <f t="shared" si="50"/>
        <v>2468.0579712316417</v>
      </c>
      <c r="BM60" s="22">
        <f t="shared" si="50"/>
        <v>2495.4521561228953</v>
      </c>
      <c r="BN60" s="22">
        <f t="shared" si="50"/>
        <v>2523.326771830647</v>
      </c>
    </row>
    <row r="61" spans="1:72" x14ac:dyDescent="0.25">
      <c r="A61" t="str">
        <f>A27</f>
        <v>3C Aggregated and non-CO2 emissions on land</v>
      </c>
      <c r="B61" t="str">
        <f t="shared" ref="B61:D61" si="51">B27</f>
        <v>3C1 Biomass burning (CH4)</v>
      </c>
      <c r="C61" t="s">
        <v>640</v>
      </c>
      <c r="D61" t="str">
        <f t="shared" si="51"/>
        <v>CH4</v>
      </c>
      <c r="E61" t="s">
        <v>636</v>
      </c>
      <c r="F61" s="22">
        <f t="shared" ref="F61:AK61" si="52">F27*CH4GWP</f>
        <v>1113.9523335609101</v>
      </c>
      <c r="G61" s="22">
        <f t="shared" si="52"/>
        <v>1113.9523335609101</v>
      </c>
      <c r="H61" s="22">
        <f t="shared" si="52"/>
        <v>1113.9523335609101</v>
      </c>
      <c r="I61" s="22">
        <f t="shared" si="52"/>
        <v>1113.9523335609101</v>
      </c>
      <c r="J61" s="22">
        <f t="shared" si="52"/>
        <v>1113.9523335609101</v>
      </c>
      <c r="K61" s="22">
        <f t="shared" si="52"/>
        <v>1113.9523335609101</v>
      </c>
      <c r="L61" s="22">
        <f t="shared" si="52"/>
        <v>1113.9523335609101</v>
      </c>
      <c r="M61" s="22">
        <f t="shared" si="52"/>
        <v>1113.9523335609101</v>
      </c>
      <c r="N61" s="22">
        <f t="shared" si="52"/>
        <v>1113.9523335609101</v>
      </c>
      <c r="O61" s="22">
        <f t="shared" si="52"/>
        <v>1113.9523335609101</v>
      </c>
      <c r="P61" s="22">
        <f t="shared" si="52"/>
        <v>1103.4776992955053</v>
      </c>
      <c r="Q61" s="22">
        <f t="shared" si="52"/>
        <v>1282.5517441798665</v>
      </c>
      <c r="R61" s="22">
        <f t="shared" si="52"/>
        <v>1288.9176046937982</v>
      </c>
      <c r="S61" s="22">
        <f t="shared" si="52"/>
        <v>1011.4345809085878</v>
      </c>
      <c r="T61" s="22">
        <f t="shared" si="52"/>
        <v>883.38003872679235</v>
      </c>
      <c r="U61" s="22">
        <f t="shared" si="52"/>
        <v>1412.334298727088</v>
      </c>
      <c r="V61" s="22">
        <f t="shared" si="52"/>
        <v>1236.8838978672777</v>
      </c>
      <c r="W61" s="22">
        <f t="shared" si="52"/>
        <v>1218.5771221263838</v>
      </c>
      <c r="X61" s="22">
        <f t="shared" si="52"/>
        <v>1139.8644942847</v>
      </c>
      <c r="Y61" s="22">
        <f t="shared" si="52"/>
        <v>1078.8713756473658</v>
      </c>
      <c r="Z61" s="22">
        <f t="shared" si="52"/>
        <v>1107.055106514</v>
      </c>
      <c r="AA61" s="22">
        <f t="shared" si="52"/>
        <v>1093.3943713178221</v>
      </c>
      <c r="AB61" s="22">
        <f t="shared" si="52"/>
        <v>920.63198550116749</v>
      </c>
      <c r="AC61" s="22">
        <f t="shared" si="52"/>
        <v>958.89617652703839</v>
      </c>
      <c r="AD61" s="22">
        <f t="shared" si="52"/>
        <v>942.41124067290946</v>
      </c>
      <c r="AE61" s="22">
        <f t="shared" si="52"/>
        <v>927.33819518053326</v>
      </c>
      <c r="AF61" s="22">
        <f t="shared" si="52"/>
        <v>934.76306456815712</v>
      </c>
      <c r="AG61" s="22">
        <f t="shared" si="52"/>
        <v>941.07033411578141</v>
      </c>
      <c r="AH61" s="22">
        <f t="shared" si="52"/>
        <v>941.00032030340537</v>
      </c>
      <c r="AI61" s="22">
        <f t="shared" si="52"/>
        <v>940.94396707954434</v>
      </c>
      <c r="AJ61" s="22">
        <f t="shared" si="52"/>
        <v>940.88761385568318</v>
      </c>
      <c r="AK61" s="22">
        <f t="shared" si="52"/>
        <v>940.83126063182181</v>
      </c>
      <c r="AL61" s="22">
        <f t="shared" ref="AL61:BN61" si="53">AL27*CH4GWP</f>
        <v>940.77490740796088</v>
      </c>
      <c r="AM61" s="22">
        <f t="shared" si="53"/>
        <v>940.71855418409973</v>
      </c>
      <c r="AN61" s="22">
        <f t="shared" si="53"/>
        <v>940.66220096023858</v>
      </c>
      <c r="AO61" s="22">
        <f t="shared" si="53"/>
        <v>940.60584773637754</v>
      </c>
      <c r="AP61" s="22">
        <f t="shared" si="53"/>
        <v>940.54949451251628</v>
      </c>
      <c r="AQ61" s="22">
        <f t="shared" si="53"/>
        <v>940.49314128865512</v>
      </c>
      <c r="AR61" s="22">
        <f t="shared" si="53"/>
        <v>940.43678806479409</v>
      </c>
      <c r="AS61" s="22">
        <f t="shared" si="53"/>
        <v>940.38043484093294</v>
      </c>
      <c r="AT61" s="22">
        <f t="shared" si="53"/>
        <v>940.32408161707156</v>
      </c>
      <c r="AU61" s="22">
        <f t="shared" si="53"/>
        <v>939.98475988569771</v>
      </c>
      <c r="AV61" s="22">
        <f t="shared" si="53"/>
        <v>939.64543815432364</v>
      </c>
      <c r="AW61" s="22">
        <f t="shared" si="53"/>
        <v>939.30611642294946</v>
      </c>
      <c r="AX61" s="22">
        <f t="shared" si="53"/>
        <v>938.96679469157527</v>
      </c>
      <c r="AY61" s="22">
        <f t="shared" si="53"/>
        <v>938.62747296020143</v>
      </c>
      <c r="AZ61" s="22">
        <f t="shared" si="53"/>
        <v>938.28815122882713</v>
      </c>
      <c r="BA61" s="22">
        <f t="shared" si="53"/>
        <v>937.94882949745306</v>
      </c>
      <c r="BB61" s="22">
        <f t="shared" si="53"/>
        <v>937.60950776607922</v>
      </c>
      <c r="BC61" s="22">
        <f t="shared" si="53"/>
        <v>937.1835886609515</v>
      </c>
      <c r="BD61" s="22">
        <f t="shared" si="53"/>
        <v>936.7576695558239</v>
      </c>
      <c r="BE61" s="22">
        <f t="shared" si="53"/>
        <v>936.33175045069629</v>
      </c>
      <c r="BF61" s="22">
        <f t="shared" si="53"/>
        <v>935.90583134556834</v>
      </c>
      <c r="BG61" s="22">
        <f t="shared" si="53"/>
        <v>935.47991224044074</v>
      </c>
      <c r="BH61" s="22">
        <f t="shared" si="53"/>
        <v>935.05399313531291</v>
      </c>
      <c r="BI61" s="22">
        <f t="shared" si="53"/>
        <v>934.62807403018519</v>
      </c>
      <c r="BJ61" s="22">
        <f t="shared" si="53"/>
        <v>934.20215492505747</v>
      </c>
      <c r="BK61" s="22">
        <f t="shared" si="53"/>
        <v>933.77623581992998</v>
      </c>
      <c r="BL61" s="22">
        <f t="shared" si="53"/>
        <v>933.35031671480237</v>
      </c>
      <c r="BM61" s="22">
        <f t="shared" si="53"/>
        <v>932.92439760967443</v>
      </c>
      <c r="BN61" s="22">
        <f t="shared" si="53"/>
        <v>932.49847850454682</v>
      </c>
    </row>
    <row r="62" spans="1:72" x14ac:dyDescent="0.25">
      <c r="A62" t="str">
        <f>A34</f>
        <v>3C Aggregated and non-CO2 emissions on land</v>
      </c>
      <c r="B62" t="str">
        <f t="shared" ref="B62:D62" si="54">B34</f>
        <v>3C1 Biomass burning (N2O)</v>
      </c>
      <c r="C62" t="s">
        <v>641</v>
      </c>
      <c r="D62" t="str">
        <f t="shared" si="54"/>
        <v>N2O</v>
      </c>
      <c r="E62" t="s">
        <v>636</v>
      </c>
      <c r="F62" s="22">
        <f t="shared" ref="F62:AK62" si="55">F34*N2OGWP</f>
        <v>1149.3522600947301</v>
      </c>
      <c r="G62" s="22">
        <f t="shared" si="55"/>
        <v>1149.3522600947301</v>
      </c>
      <c r="H62" s="22">
        <f t="shared" si="55"/>
        <v>1149.3522600947301</v>
      </c>
      <c r="I62" s="22">
        <f t="shared" si="55"/>
        <v>1149.3522600947301</v>
      </c>
      <c r="J62" s="22">
        <f t="shared" si="55"/>
        <v>1149.3522600947301</v>
      </c>
      <c r="K62" s="22">
        <f t="shared" si="55"/>
        <v>1149.3522600947301</v>
      </c>
      <c r="L62" s="22">
        <f t="shared" si="55"/>
        <v>1149.3522600947301</v>
      </c>
      <c r="M62" s="22">
        <f t="shared" si="55"/>
        <v>1149.3522600947301</v>
      </c>
      <c r="N62" s="22">
        <f t="shared" si="55"/>
        <v>1149.3522600947301</v>
      </c>
      <c r="O62" s="22">
        <f t="shared" si="55"/>
        <v>1149.3522600947301</v>
      </c>
      <c r="P62" s="22">
        <f t="shared" si="55"/>
        <v>1138.2881924240246</v>
      </c>
      <c r="Q62" s="22">
        <f t="shared" si="55"/>
        <v>1347.8625366593228</v>
      </c>
      <c r="R62" s="22">
        <f t="shared" si="55"/>
        <v>1328.3690110437451</v>
      </c>
      <c r="S62" s="22">
        <f t="shared" si="55"/>
        <v>1017.5651134275211</v>
      </c>
      <c r="T62" s="22">
        <f t="shared" si="55"/>
        <v>914.67644691903695</v>
      </c>
      <c r="U62" s="22">
        <f t="shared" si="55"/>
        <v>1447.9112474339306</v>
      </c>
      <c r="V62" s="22">
        <f t="shared" si="55"/>
        <v>1263.4019893034997</v>
      </c>
      <c r="W62" s="22">
        <f t="shared" si="55"/>
        <v>1217.4357899565925</v>
      </c>
      <c r="X62" s="22">
        <f t="shared" si="55"/>
        <v>1180.1818937292605</v>
      </c>
      <c r="Y62" s="22">
        <f t="shared" si="55"/>
        <v>1108.1395844539597</v>
      </c>
      <c r="Z62" s="22">
        <f t="shared" si="55"/>
        <v>1121.7567904983002</v>
      </c>
      <c r="AA62" s="22">
        <f t="shared" si="55"/>
        <v>1111.0832034573957</v>
      </c>
      <c r="AB62" s="22">
        <f t="shared" si="55"/>
        <v>964.38790587743847</v>
      </c>
      <c r="AC62" s="22">
        <f t="shared" si="55"/>
        <v>995.11705333830332</v>
      </c>
      <c r="AD62" s="22">
        <f t="shared" si="55"/>
        <v>981.13718735916825</v>
      </c>
      <c r="AE62" s="22">
        <f t="shared" si="55"/>
        <v>968.87559608273943</v>
      </c>
      <c r="AF62" s="22">
        <f t="shared" si="55"/>
        <v>974.98616224631087</v>
      </c>
      <c r="AG62" s="22">
        <f t="shared" si="55"/>
        <v>980.18407848988204</v>
      </c>
      <c r="AH62" s="22">
        <f t="shared" si="55"/>
        <v>980.17420305345331</v>
      </c>
      <c r="AI62" s="22">
        <f t="shared" si="55"/>
        <v>980.04411744554989</v>
      </c>
      <c r="AJ62" s="22">
        <f t="shared" si="55"/>
        <v>979.91403183764669</v>
      </c>
      <c r="AK62" s="22">
        <f t="shared" si="55"/>
        <v>979.78394622974326</v>
      </c>
      <c r="AL62" s="22">
        <f t="shared" ref="AL62:BN62" si="56">AL34*N2OGWP</f>
        <v>979.65386062184007</v>
      </c>
      <c r="AM62" s="22">
        <f t="shared" si="56"/>
        <v>979.52377501393664</v>
      </c>
      <c r="AN62" s="22">
        <f t="shared" si="56"/>
        <v>979.39368940603345</v>
      </c>
      <c r="AO62" s="22">
        <f t="shared" si="56"/>
        <v>979.26360379813013</v>
      </c>
      <c r="AP62" s="22">
        <f t="shared" si="56"/>
        <v>979.1335181902266</v>
      </c>
      <c r="AQ62" s="22">
        <f t="shared" si="56"/>
        <v>979.00343258232351</v>
      </c>
      <c r="AR62" s="22">
        <f t="shared" si="56"/>
        <v>978.87334697442031</v>
      </c>
      <c r="AS62" s="22">
        <f t="shared" si="56"/>
        <v>978.74326136651689</v>
      </c>
      <c r="AT62" s="22">
        <f t="shared" si="56"/>
        <v>978.61317575861358</v>
      </c>
      <c r="AU62" s="22">
        <f t="shared" si="56"/>
        <v>978.30447191955875</v>
      </c>
      <c r="AV62" s="22">
        <f t="shared" si="56"/>
        <v>977.99576808050392</v>
      </c>
      <c r="AW62" s="22">
        <f t="shared" si="56"/>
        <v>977.68706424144898</v>
      </c>
      <c r="AX62" s="22">
        <f t="shared" si="56"/>
        <v>977.37836040239404</v>
      </c>
      <c r="AY62" s="22">
        <f t="shared" si="56"/>
        <v>977.06965656333921</v>
      </c>
      <c r="AZ62" s="22">
        <f t="shared" si="56"/>
        <v>976.76095272428449</v>
      </c>
      <c r="BA62" s="22">
        <f t="shared" si="56"/>
        <v>976.45224888522955</v>
      </c>
      <c r="BB62" s="22">
        <f t="shared" si="56"/>
        <v>976.14354504617461</v>
      </c>
      <c r="BC62" s="22">
        <f t="shared" si="56"/>
        <v>975.76412440545255</v>
      </c>
      <c r="BD62" s="22">
        <f t="shared" si="56"/>
        <v>975.38470376473083</v>
      </c>
      <c r="BE62" s="22">
        <f t="shared" si="56"/>
        <v>975.005283124009</v>
      </c>
      <c r="BF62" s="22">
        <f t="shared" si="56"/>
        <v>974.62586248328682</v>
      </c>
      <c r="BG62" s="22">
        <f t="shared" si="56"/>
        <v>974.24644184256499</v>
      </c>
      <c r="BH62" s="22">
        <f t="shared" si="56"/>
        <v>973.86702120184316</v>
      </c>
      <c r="BI62" s="22">
        <f t="shared" si="56"/>
        <v>973.4876005611211</v>
      </c>
      <c r="BJ62" s="22">
        <f t="shared" si="56"/>
        <v>973.10817992039927</v>
      </c>
      <c r="BK62" s="22">
        <f t="shared" si="56"/>
        <v>972.72875927967709</v>
      </c>
      <c r="BL62" s="22">
        <f t="shared" si="56"/>
        <v>972.34933863895526</v>
      </c>
      <c r="BM62" s="22">
        <f t="shared" si="56"/>
        <v>971.9699179982332</v>
      </c>
      <c r="BN62" s="22">
        <f t="shared" si="56"/>
        <v>971.59049735751148</v>
      </c>
    </row>
    <row r="63" spans="1:72" x14ac:dyDescent="0.25">
      <c r="A63" t="str">
        <f>A41</f>
        <v>3C Aggregated and non-CO2 emissions on land</v>
      </c>
      <c r="B63" t="str">
        <f t="shared" ref="B63:F63" si="57">B41</f>
        <v>3C2 Liming (CO2)</v>
      </c>
      <c r="C63" t="s">
        <v>113</v>
      </c>
      <c r="D63" t="str">
        <f t="shared" si="57"/>
        <v>CO2</v>
      </c>
      <c r="E63" t="s">
        <v>636</v>
      </c>
      <c r="F63" s="22">
        <f t="shared" si="57"/>
        <v>357.5</v>
      </c>
      <c r="G63" s="22">
        <f t="shared" ref="G63:BN63" si="58">G41</f>
        <v>378.125</v>
      </c>
      <c r="H63" s="22">
        <f t="shared" si="58"/>
        <v>261.25</v>
      </c>
      <c r="I63" s="22">
        <f t="shared" si="58"/>
        <v>412.5</v>
      </c>
      <c r="J63" s="22">
        <f t="shared" si="58"/>
        <v>595.58170833333327</v>
      </c>
      <c r="K63" s="22">
        <f t="shared" si="58"/>
        <v>473.34145833333332</v>
      </c>
      <c r="L63" s="22">
        <f t="shared" si="58"/>
        <v>579.13625000000002</v>
      </c>
      <c r="M63" s="22">
        <f t="shared" si="58"/>
        <v>547.24312499999996</v>
      </c>
      <c r="N63" s="22">
        <f t="shared" si="58"/>
        <v>570.31379166666659</v>
      </c>
      <c r="O63" s="22">
        <f t="shared" si="58"/>
        <v>567.03808333333325</v>
      </c>
      <c r="P63" s="22">
        <f t="shared" si="58"/>
        <v>378.2405</v>
      </c>
      <c r="Q63" s="22">
        <f t="shared" si="58"/>
        <v>489.66362500000002</v>
      </c>
      <c r="R63" s="22">
        <f t="shared" si="58"/>
        <v>672.79437500000006</v>
      </c>
      <c r="S63" s="22">
        <f t="shared" si="58"/>
        <v>580.13175000000001</v>
      </c>
      <c r="T63" s="22">
        <f t="shared" si="58"/>
        <v>579.7403333333333</v>
      </c>
      <c r="U63" s="22">
        <f t="shared" si="58"/>
        <v>266.03683333333333</v>
      </c>
      <c r="V63" s="22">
        <f t="shared" si="58"/>
        <v>441.42908333333332</v>
      </c>
      <c r="W63" s="22">
        <f t="shared" si="58"/>
        <v>521.42108333333329</v>
      </c>
      <c r="X63" s="22">
        <f t="shared" si="58"/>
        <v>655.32637499999998</v>
      </c>
      <c r="Y63" s="22">
        <f t="shared" si="58"/>
        <v>695.56775237855516</v>
      </c>
      <c r="Z63" s="22">
        <f t="shared" si="58"/>
        <v>653.23730656422072</v>
      </c>
      <c r="AA63" s="22">
        <f t="shared" si="58"/>
        <v>722.61220387104663</v>
      </c>
      <c r="AB63" s="22">
        <f t="shared" si="58"/>
        <v>686.82166737777982</v>
      </c>
      <c r="AC63" s="22">
        <f t="shared" si="58"/>
        <v>690.46807135714243</v>
      </c>
      <c r="AD63" s="22">
        <f t="shared" si="58"/>
        <v>694.14759049189047</v>
      </c>
      <c r="AE63" s="22">
        <f t="shared" si="58"/>
        <v>697.86052552034892</v>
      </c>
      <c r="AF63" s="22">
        <f t="shared" si="58"/>
        <v>701.90718951194333</v>
      </c>
      <c r="AG63" s="22">
        <f t="shared" si="58"/>
        <v>705.95385350353752</v>
      </c>
      <c r="AH63" s="22">
        <f t="shared" si="58"/>
        <v>710.0005174951317</v>
      </c>
      <c r="AI63" s="22">
        <f t="shared" si="58"/>
        <v>714.047181486726</v>
      </c>
      <c r="AJ63" s="22">
        <f t="shared" si="58"/>
        <v>718.0938454783203</v>
      </c>
      <c r="AK63" s="22">
        <f t="shared" si="58"/>
        <v>722.19557607453942</v>
      </c>
      <c r="AL63" s="22">
        <f t="shared" si="58"/>
        <v>726.29730659504719</v>
      </c>
      <c r="AM63" s="22">
        <f t="shared" si="58"/>
        <v>730.39903711555496</v>
      </c>
      <c r="AN63" s="22">
        <f t="shared" si="58"/>
        <v>730.39903711555496</v>
      </c>
      <c r="AO63" s="22">
        <f t="shared" si="58"/>
        <v>730.39903711555496</v>
      </c>
      <c r="AP63" s="22">
        <f t="shared" si="58"/>
        <v>730.39903711555496</v>
      </c>
      <c r="AQ63" s="22">
        <f t="shared" si="58"/>
        <v>730.39903711555496</v>
      </c>
      <c r="AR63" s="22">
        <f t="shared" si="58"/>
        <v>730.39903711555496</v>
      </c>
      <c r="AS63" s="22">
        <f t="shared" si="58"/>
        <v>730.39903711555496</v>
      </c>
      <c r="AT63" s="22">
        <f t="shared" si="58"/>
        <v>730.39903711555496</v>
      </c>
      <c r="AU63" s="22">
        <f t="shared" si="58"/>
        <v>730.39903711555496</v>
      </c>
      <c r="AV63" s="22">
        <f t="shared" si="58"/>
        <v>730.39903711555496</v>
      </c>
      <c r="AW63" s="22">
        <f t="shared" si="58"/>
        <v>730.39903711555496</v>
      </c>
      <c r="AX63" s="22">
        <f t="shared" si="58"/>
        <v>730.39903711555496</v>
      </c>
      <c r="AY63" s="22">
        <f t="shared" si="58"/>
        <v>730.39903711555496</v>
      </c>
      <c r="AZ63" s="22">
        <f t="shared" si="58"/>
        <v>730.39903711555496</v>
      </c>
      <c r="BA63" s="22">
        <f t="shared" si="58"/>
        <v>730.39903711555496</v>
      </c>
      <c r="BB63" s="22">
        <f t="shared" si="58"/>
        <v>730.39903711555496</v>
      </c>
      <c r="BC63" s="22">
        <f t="shared" si="58"/>
        <v>730.39903711555496</v>
      </c>
      <c r="BD63" s="22">
        <f t="shared" si="58"/>
        <v>730.39903711555496</v>
      </c>
      <c r="BE63" s="22">
        <f t="shared" si="58"/>
        <v>730.39903711555496</v>
      </c>
      <c r="BF63" s="22">
        <f t="shared" si="58"/>
        <v>730.39903711555496</v>
      </c>
      <c r="BG63" s="22">
        <f t="shared" si="58"/>
        <v>730.39903711555496</v>
      </c>
      <c r="BH63" s="22">
        <f t="shared" si="58"/>
        <v>730.39903711555496</v>
      </c>
      <c r="BI63" s="22">
        <f t="shared" si="58"/>
        <v>730.39903711555496</v>
      </c>
      <c r="BJ63" s="22">
        <f t="shared" si="58"/>
        <v>730.39903711555496</v>
      </c>
      <c r="BK63" s="22">
        <f t="shared" si="58"/>
        <v>730.39903711555496</v>
      </c>
      <c r="BL63" s="22">
        <f t="shared" si="58"/>
        <v>730.39903711555496</v>
      </c>
      <c r="BM63" s="22">
        <f t="shared" si="58"/>
        <v>730.39903711555496</v>
      </c>
      <c r="BN63" s="22">
        <f t="shared" si="58"/>
        <v>730.39903711555496</v>
      </c>
    </row>
    <row r="64" spans="1:72" x14ac:dyDescent="0.25">
      <c r="A64" t="str">
        <f>A42</f>
        <v>3C Aggregated and non-CO2 emissions on land</v>
      </c>
      <c r="B64" t="str">
        <f>B42</f>
        <v>3C3 Urea application (CO2)</v>
      </c>
      <c r="C64" t="s">
        <v>642</v>
      </c>
      <c r="D64" t="str">
        <f>D42</f>
        <v>CO2</v>
      </c>
      <c r="E64" t="s">
        <v>636</v>
      </c>
      <c r="F64" s="22">
        <f>F42</f>
        <v>90.994567483487728</v>
      </c>
      <c r="G64" s="22">
        <f t="shared" ref="G64:BN64" si="59">G42</f>
        <v>111.62690198838213</v>
      </c>
      <c r="H64" s="22">
        <f t="shared" si="59"/>
        <v>132.25923649327655</v>
      </c>
      <c r="I64" s="22">
        <f t="shared" si="59"/>
        <v>152.89157099816552</v>
      </c>
      <c r="J64" s="22">
        <f t="shared" si="59"/>
        <v>173.52390550305992</v>
      </c>
      <c r="K64" s="22">
        <f t="shared" si="59"/>
        <v>194.15624000795432</v>
      </c>
      <c r="L64" s="22">
        <f t="shared" si="59"/>
        <v>214.78857451284878</v>
      </c>
      <c r="M64" s="22">
        <f t="shared" si="59"/>
        <v>235.42090901774316</v>
      </c>
      <c r="N64" s="22">
        <f t="shared" si="59"/>
        <v>256.05324352263762</v>
      </c>
      <c r="O64" s="22">
        <f t="shared" si="59"/>
        <v>276.68557802753202</v>
      </c>
      <c r="P64" s="22">
        <f t="shared" si="59"/>
        <v>297.31791253242642</v>
      </c>
      <c r="Q64" s="22">
        <f t="shared" si="59"/>
        <v>317.95024703732088</v>
      </c>
      <c r="R64" s="22">
        <f t="shared" si="59"/>
        <v>338.58258154220977</v>
      </c>
      <c r="S64" s="22">
        <f t="shared" si="59"/>
        <v>359.21491604710423</v>
      </c>
      <c r="T64" s="22">
        <f t="shared" si="59"/>
        <v>435.89846666666671</v>
      </c>
      <c r="U64" s="22">
        <f t="shared" si="59"/>
        <v>355.08659999999998</v>
      </c>
      <c r="V64" s="22">
        <f t="shared" si="59"/>
        <v>393.08573333333334</v>
      </c>
      <c r="W64" s="22">
        <f t="shared" si="59"/>
        <v>484.55366666666663</v>
      </c>
      <c r="X64" s="22">
        <f t="shared" si="59"/>
        <v>480.19253333333336</v>
      </c>
      <c r="Y64" s="22">
        <f t="shared" si="59"/>
        <v>380.54426666666666</v>
      </c>
      <c r="Z64" s="22">
        <f t="shared" si="59"/>
        <v>501.48046666666664</v>
      </c>
      <c r="AA64" s="22">
        <f t="shared" si="59"/>
        <v>571.19113333333337</v>
      </c>
      <c r="AB64" s="22">
        <f t="shared" si="59"/>
        <v>473.70201342711152</v>
      </c>
      <c r="AC64" s="22">
        <f t="shared" si="59"/>
        <v>473.87950816779028</v>
      </c>
      <c r="AD64" s="22">
        <f t="shared" si="59"/>
        <v>474.05861484339204</v>
      </c>
      <c r="AE64" s="22">
        <f t="shared" si="59"/>
        <v>474.2393480928518</v>
      </c>
      <c r="AF64" s="22">
        <f t="shared" si="59"/>
        <v>474.43632615119856</v>
      </c>
      <c r="AG64" s="22">
        <f t="shared" si="59"/>
        <v>474.63330420954514</v>
      </c>
      <c r="AH64" s="22">
        <f t="shared" si="59"/>
        <v>474.83028226789162</v>
      </c>
      <c r="AI64" s="22">
        <f t="shared" si="59"/>
        <v>475.02726032623832</v>
      </c>
      <c r="AJ64" s="22">
        <f t="shared" si="59"/>
        <v>475.22423838458496</v>
      </c>
      <c r="AK64" s="22">
        <f t="shared" si="59"/>
        <v>475.42389690092881</v>
      </c>
      <c r="AL64" s="22">
        <f t="shared" si="59"/>
        <v>475.62355541358733</v>
      </c>
      <c r="AM64" s="22">
        <f t="shared" si="59"/>
        <v>475.82321392624596</v>
      </c>
      <c r="AN64" s="22">
        <f t="shared" si="59"/>
        <v>475.82321392624596</v>
      </c>
      <c r="AO64" s="22">
        <f t="shared" si="59"/>
        <v>475.82321392624596</v>
      </c>
      <c r="AP64" s="22">
        <f t="shared" si="59"/>
        <v>475.82321392624596</v>
      </c>
      <c r="AQ64" s="22">
        <f t="shared" si="59"/>
        <v>475.82321392624596</v>
      </c>
      <c r="AR64" s="22">
        <f t="shared" si="59"/>
        <v>475.82321392624596</v>
      </c>
      <c r="AS64" s="22">
        <f t="shared" si="59"/>
        <v>475.82321392624596</v>
      </c>
      <c r="AT64" s="22">
        <f t="shared" si="59"/>
        <v>475.82321392624596</v>
      </c>
      <c r="AU64" s="22">
        <f t="shared" si="59"/>
        <v>475.82321392624596</v>
      </c>
      <c r="AV64" s="22">
        <f t="shared" si="59"/>
        <v>475.82321392624596</v>
      </c>
      <c r="AW64" s="22">
        <f t="shared" si="59"/>
        <v>475.82321392624596</v>
      </c>
      <c r="AX64" s="22">
        <f t="shared" si="59"/>
        <v>475.82321392624596</v>
      </c>
      <c r="AY64" s="22">
        <f t="shared" si="59"/>
        <v>475.82321392624596</v>
      </c>
      <c r="AZ64" s="22">
        <f t="shared" si="59"/>
        <v>475.82321392624596</v>
      </c>
      <c r="BA64" s="22">
        <f t="shared" si="59"/>
        <v>475.82321392624596</v>
      </c>
      <c r="BB64" s="22">
        <f t="shared" si="59"/>
        <v>475.82321392624596</v>
      </c>
      <c r="BC64" s="22">
        <f t="shared" si="59"/>
        <v>475.82321392624596</v>
      </c>
      <c r="BD64" s="22">
        <f t="shared" si="59"/>
        <v>475.82321392624596</v>
      </c>
      <c r="BE64" s="22">
        <f t="shared" si="59"/>
        <v>475.82321392624596</v>
      </c>
      <c r="BF64" s="22">
        <f t="shared" si="59"/>
        <v>475.82321392624596</v>
      </c>
      <c r="BG64" s="22">
        <f t="shared" si="59"/>
        <v>475.82321392624596</v>
      </c>
      <c r="BH64" s="22">
        <f t="shared" si="59"/>
        <v>475.82321392624596</v>
      </c>
      <c r="BI64" s="22">
        <f t="shared" si="59"/>
        <v>475.82321392624596</v>
      </c>
      <c r="BJ64" s="22">
        <f t="shared" si="59"/>
        <v>475.82321392624596</v>
      </c>
      <c r="BK64" s="22">
        <f t="shared" si="59"/>
        <v>475.82321392624596</v>
      </c>
      <c r="BL64" s="22">
        <f t="shared" si="59"/>
        <v>475.82321392624596</v>
      </c>
      <c r="BM64" s="22">
        <f t="shared" si="59"/>
        <v>475.82321392624596</v>
      </c>
      <c r="BN64" s="22">
        <f t="shared" si="59"/>
        <v>475.82321392624596</v>
      </c>
    </row>
    <row r="65" spans="1:72" x14ac:dyDescent="0.25">
      <c r="A65" t="str">
        <f>A43</f>
        <v>3C Aggregated and non-CO2 emissions on land</v>
      </c>
      <c r="B65" t="str">
        <f>B43</f>
        <v>3C4 Direct N2O from managed soils (N2O)</v>
      </c>
      <c r="C65" t="s">
        <v>643</v>
      </c>
      <c r="D65" t="str">
        <f>D43</f>
        <v>N2O</v>
      </c>
      <c r="E65" t="s">
        <v>636</v>
      </c>
      <c r="F65" s="22">
        <f t="shared" ref="F65:AK65" si="60">F43*N2OGWP</f>
        <v>19504.904423790304</v>
      </c>
      <c r="G65" s="22">
        <f t="shared" si="60"/>
        <v>19292.945969163135</v>
      </c>
      <c r="H65" s="22">
        <f t="shared" si="60"/>
        <v>19045.664085317185</v>
      </c>
      <c r="I65" s="22">
        <f t="shared" si="60"/>
        <v>19033.869532746325</v>
      </c>
      <c r="J65" s="22">
        <f t="shared" si="60"/>
        <v>18637.217900557851</v>
      </c>
      <c r="K65" s="22">
        <f t="shared" si="60"/>
        <v>18045.206751556161</v>
      </c>
      <c r="L65" s="22">
        <f t="shared" si="60"/>
        <v>18868.194418923074</v>
      </c>
      <c r="M65" s="22">
        <f t="shared" si="60"/>
        <v>19199.105489263504</v>
      </c>
      <c r="N65" s="22">
        <f t="shared" si="60"/>
        <v>19109.504254972093</v>
      </c>
      <c r="O65" s="22">
        <f t="shared" si="60"/>
        <v>19072.793684612472</v>
      </c>
      <c r="P65" s="22">
        <f t="shared" si="60"/>
        <v>19327.015119058116</v>
      </c>
      <c r="Q65" s="22">
        <f t="shared" si="60"/>
        <v>18602.913592780023</v>
      </c>
      <c r="R65" s="22">
        <f t="shared" si="60"/>
        <v>18996.200132064732</v>
      </c>
      <c r="S65" s="22">
        <f t="shared" si="60"/>
        <v>18690.572709169541</v>
      </c>
      <c r="T65" s="22">
        <f t="shared" si="60"/>
        <v>18340.319361353846</v>
      </c>
      <c r="U65" s="22">
        <f t="shared" si="60"/>
        <v>18032.244904032526</v>
      </c>
      <c r="V65" s="22">
        <f t="shared" si="60"/>
        <v>17683.190185022595</v>
      </c>
      <c r="W65" s="22">
        <f t="shared" si="60"/>
        <v>18565.416324630911</v>
      </c>
      <c r="X65" s="22">
        <f t="shared" si="60"/>
        <v>18914.683594619022</v>
      </c>
      <c r="Y65" s="22">
        <f t="shared" si="60"/>
        <v>18700.377993558752</v>
      </c>
      <c r="Z65" s="22">
        <f t="shared" si="60"/>
        <v>18480.993443645988</v>
      </c>
      <c r="AA65" s="22">
        <f t="shared" si="60"/>
        <v>18357.347352101453</v>
      </c>
      <c r="AB65" s="22">
        <f t="shared" si="60"/>
        <v>18377.721222047017</v>
      </c>
      <c r="AC65" s="22">
        <f t="shared" si="60"/>
        <v>18355.122376439245</v>
      </c>
      <c r="AD65" s="22">
        <f t="shared" si="60"/>
        <v>18337.321101581299</v>
      </c>
      <c r="AE65" s="22">
        <f t="shared" si="60"/>
        <v>18323.814906515061</v>
      </c>
      <c r="AF65" s="22">
        <f t="shared" si="60"/>
        <v>18312.852049522098</v>
      </c>
      <c r="AG65" s="22">
        <f t="shared" si="60"/>
        <v>18299.651624902894</v>
      </c>
      <c r="AH65" s="22">
        <f t="shared" si="60"/>
        <v>18287.774421176226</v>
      </c>
      <c r="AI65" s="22">
        <f t="shared" si="60"/>
        <v>18277.08912487976</v>
      </c>
      <c r="AJ65" s="22">
        <f t="shared" si="60"/>
        <v>18327.756446602791</v>
      </c>
      <c r="AK65" s="22">
        <f t="shared" si="60"/>
        <v>18305.833855970308</v>
      </c>
      <c r="AL65" s="22">
        <f t="shared" ref="AL65:BN65" si="61">AL43*N2OGWP</f>
        <v>18285.837154721663</v>
      </c>
      <c r="AM65" s="22">
        <f t="shared" si="61"/>
        <v>18266.789148005169</v>
      </c>
      <c r="AN65" s="22">
        <f t="shared" si="61"/>
        <v>18266.449130558911</v>
      </c>
      <c r="AO65" s="22">
        <f t="shared" si="61"/>
        <v>18266.489315132785</v>
      </c>
      <c r="AP65" s="22">
        <f t="shared" si="61"/>
        <v>18266.013439353777</v>
      </c>
      <c r="AQ65" s="22">
        <f t="shared" si="61"/>
        <v>18266.853837637802</v>
      </c>
      <c r="AR65" s="22">
        <f t="shared" si="61"/>
        <v>18268.254465446844</v>
      </c>
      <c r="AS65" s="22">
        <f t="shared" si="61"/>
        <v>18270.415104324344</v>
      </c>
      <c r="AT65" s="22">
        <f t="shared" si="61"/>
        <v>18275.082494004932</v>
      </c>
      <c r="AU65" s="22">
        <f t="shared" si="61"/>
        <v>18351.777136799908</v>
      </c>
      <c r="AV65" s="22">
        <f t="shared" si="61"/>
        <v>18411.498751709096</v>
      </c>
      <c r="AW65" s="22">
        <f t="shared" si="61"/>
        <v>18480.370530893932</v>
      </c>
      <c r="AX65" s="22">
        <f t="shared" si="61"/>
        <v>18549.365557989153</v>
      </c>
      <c r="AY65" s="22">
        <f t="shared" si="61"/>
        <v>18617.495485797735</v>
      </c>
      <c r="AZ65" s="22">
        <f t="shared" si="61"/>
        <v>18675.668981865507</v>
      </c>
      <c r="BA65" s="22">
        <f t="shared" si="61"/>
        <v>18726.400026940137</v>
      </c>
      <c r="BB65" s="22">
        <f t="shared" si="61"/>
        <v>18758.328917288622</v>
      </c>
      <c r="BC65" s="22">
        <f t="shared" si="61"/>
        <v>18780.685138030491</v>
      </c>
      <c r="BD65" s="22">
        <f t="shared" si="61"/>
        <v>18797.694025108551</v>
      </c>
      <c r="BE65" s="22">
        <f t="shared" si="61"/>
        <v>18860.494109769643</v>
      </c>
      <c r="BF65" s="22">
        <f t="shared" si="61"/>
        <v>18917.223623039652</v>
      </c>
      <c r="BG65" s="22">
        <f t="shared" si="61"/>
        <v>18966.632114743272</v>
      </c>
      <c r="BH65" s="22">
        <f t="shared" si="61"/>
        <v>19009.088786674409</v>
      </c>
      <c r="BI65" s="22">
        <f t="shared" si="61"/>
        <v>19047.730156454105</v>
      </c>
      <c r="BJ65" s="22">
        <f t="shared" si="61"/>
        <v>19078.76447184497</v>
      </c>
      <c r="BK65" s="22">
        <f t="shared" si="61"/>
        <v>19101.9501488184</v>
      </c>
      <c r="BL65" s="22">
        <f t="shared" si="61"/>
        <v>19110.04213309952</v>
      </c>
      <c r="BM65" s="22">
        <f t="shared" si="61"/>
        <v>19109.884665187757</v>
      </c>
      <c r="BN65" s="22">
        <f t="shared" si="61"/>
        <v>19101.154387818868</v>
      </c>
    </row>
    <row r="66" spans="1:72" x14ac:dyDescent="0.25">
      <c r="A66" t="str">
        <f>A49</f>
        <v>3C Aggregated and non-CO2 emissions on land</v>
      </c>
      <c r="B66" t="str">
        <f t="shared" ref="B66:D66" si="62">B49</f>
        <v>3C5 Indirect N2O from managed soils (N2O)</v>
      </c>
      <c r="C66" t="s">
        <v>645</v>
      </c>
      <c r="D66" t="str">
        <f t="shared" si="62"/>
        <v>N2O</v>
      </c>
      <c r="E66" t="s">
        <v>636</v>
      </c>
      <c r="F66" s="22">
        <f t="shared" ref="F66:AK66" si="63">F49*N2OGWP</f>
        <v>2388.0102035123605</v>
      </c>
      <c r="G66" s="22">
        <f t="shared" si="63"/>
        <v>2381.2431268972473</v>
      </c>
      <c r="H66" s="22">
        <f t="shared" si="63"/>
        <v>2324.8942000713505</v>
      </c>
      <c r="I66" s="22">
        <f t="shared" si="63"/>
        <v>2290.9024845787808</v>
      </c>
      <c r="J66" s="22">
        <f t="shared" si="63"/>
        <v>2228.7638099345581</v>
      </c>
      <c r="K66" s="22">
        <f t="shared" si="63"/>
        <v>2216.2333453112419</v>
      </c>
      <c r="L66" s="22">
        <f t="shared" si="63"/>
        <v>2291.7575924583116</v>
      </c>
      <c r="M66" s="22">
        <f t="shared" si="63"/>
        <v>2312.3390553500153</v>
      </c>
      <c r="N66" s="22">
        <f t="shared" si="63"/>
        <v>2333.9868579243562</v>
      </c>
      <c r="O66" s="22">
        <f t="shared" si="63"/>
        <v>2328.6903872515104</v>
      </c>
      <c r="P66" s="22">
        <f t="shared" si="63"/>
        <v>2338.0116326614102</v>
      </c>
      <c r="Q66" s="22">
        <f t="shared" si="63"/>
        <v>2291.3538782912919</v>
      </c>
      <c r="R66" s="22">
        <f t="shared" si="63"/>
        <v>2311.3813291877032</v>
      </c>
      <c r="S66" s="22">
        <f t="shared" si="63"/>
        <v>2275.9303933061774</v>
      </c>
      <c r="T66" s="22">
        <f t="shared" si="63"/>
        <v>2249.9786194437957</v>
      </c>
      <c r="U66" s="22">
        <f t="shared" si="63"/>
        <v>2219.5948553673597</v>
      </c>
      <c r="V66" s="22">
        <f t="shared" si="63"/>
        <v>2234.9785834035056</v>
      </c>
      <c r="W66" s="22">
        <f t="shared" si="63"/>
        <v>2293.4233205043074</v>
      </c>
      <c r="X66" s="22">
        <f t="shared" si="63"/>
        <v>2323.7183210353014</v>
      </c>
      <c r="Y66" s="22">
        <f t="shared" si="63"/>
        <v>2316.1868881070077</v>
      </c>
      <c r="Z66" s="22">
        <f t="shared" si="63"/>
        <v>2275.6117938255893</v>
      </c>
      <c r="AA66" s="22">
        <f t="shared" si="63"/>
        <v>2272.2696681466509</v>
      </c>
      <c r="AB66" s="22">
        <f t="shared" si="63"/>
        <v>2290.8114453749204</v>
      </c>
      <c r="AC66" s="22">
        <f t="shared" si="63"/>
        <v>2290.548328834755</v>
      </c>
      <c r="AD66" s="22">
        <f t="shared" si="63"/>
        <v>2290.5136434932692</v>
      </c>
      <c r="AE66" s="22">
        <f t="shared" si="63"/>
        <v>2290.6439174549982</v>
      </c>
      <c r="AF66" s="22">
        <f t="shared" si="63"/>
        <v>2290.8556740696963</v>
      </c>
      <c r="AG66" s="22">
        <f t="shared" si="63"/>
        <v>2291.0705550540479</v>
      </c>
      <c r="AH66" s="22">
        <f t="shared" si="63"/>
        <v>2291.3589123552169</v>
      </c>
      <c r="AI66" s="22">
        <f t="shared" si="63"/>
        <v>2291.712532044925</v>
      </c>
      <c r="AJ66" s="22">
        <f t="shared" si="63"/>
        <v>2293.6897377231298</v>
      </c>
      <c r="AK66" s="22">
        <f t="shared" si="63"/>
        <v>2293.6681618882881</v>
      </c>
      <c r="AL66" s="22">
        <f t="shared" ref="AL66:BN66" si="64">AL49*N2OGWP</f>
        <v>2293.8093698749076</v>
      </c>
      <c r="AM66" s="22">
        <f t="shared" si="64"/>
        <v>2294.0748792632926</v>
      </c>
      <c r="AN66" s="22">
        <f t="shared" si="64"/>
        <v>2294.9996168441126</v>
      </c>
      <c r="AO66" s="22">
        <f t="shared" si="64"/>
        <v>2296.0284774017405</v>
      </c>
      <c r="AP66" s="22">
        <f t="shared" si="64"/>
        <v>2297.1803383625384</v>
      </c>
      <c r="AQ66" s="22">
        <f t="shared" si="64"/>
        <v>2298.4703758668584</v>
      </c>
      <c r="AR66" s="22">
        <f t="shared" si="64"/>
        <v>2299.8952969672428</v>
      </c>
      <c r="AS66" s="22">
        <f t="shared" si="64"/>
        <v>2301.4583795828639</v>
      </c>
      <c r="AT66" s="22">
        <f t="shared" si="64"/>
        <v>2303.5162964855544</v>
      </c>
      <c r="AU66" s="22">
        <f t="shared" si="64"/>
        <v>2313.4871630511839</v>
      </c>
      <c r="AV66" s="22">
        <f t="shared" si="64"/>
        <v>2322.2939745941862</v>
      </c>
      <c r="AW66" s="22">
        <f t="shared" si="64"/>
        <v>2332.2360854949793</v>
      </c>
      <c r="AX66" s="22">
        <f t="shared" si="64"/>
        <v>2342.3106438896161</v>
      </c>
      <c r="AY66" s="22">
        <f t="shared" si="64"/>
        <v>2352.4163706817044</v>
      </c>
      <c r="AZ66" s="22">
        <f t="shared" si="64"/>
        <v>2361.5504679993355</v>
      </c>
      <c r="BA66" s="22">
        <f t="shared" si="64"/>
        <v>2369.9843559086535</v>
      </c>
      <c r="BB66" s="22">
        <f t="shared" si="64"/>
        <v>2375.8176319084137</v>
      </c>
      <c r="BC66" s="22">
        <f t="shared" si="64"/>
        <v>2380.5989409865379</v>
      </c>
      <c r="BD66" s="22">
        <f t="shared" si="64"/>
        <v>2384.9160321358609</v>
      </c>
      <c r="BE66" s="22">
        <f t="shared" si="64"/>
        <v>2394.1874005700306</v>
      </c>
      <c r="BF66" s="22">
        <f t="shared" si="64"/>
        <v>2402.8847373224944</v>
      </c>
      <c r="BG66" s="22">
        <f t="shared" si="64"/>
        <v>2410.8689629852006</v>
      </c>
      <c r="BH66" s="22">
        <f t="shared" si="64"/>
        <v>2418.1881742168903</v>
      </c>
      <c r="BI66" s="22">
        <f t="shared" si="64"/>
        <v>2425.2146533443629</v>
      </c>
      <c r="BJ66" s="22">
        <f t="shared" si="64"/>
        <v>2431.5005660086822</v>
      </c>
      <c r="BK66" s="22">
        <f t="shared" si="64"/>
        <v>2437.0410137762365</v>
      </c>
      <c r="BL66" s="22">
        <f t="shared" si="64"/>
        <v>2440.9888584034015</v>
      </c>
      <c r="BM66" s="22">
        <f t="shared" si="64"/>
        <v>2444.1539720224646</v>
      </c>
      <c r="BN66" s="22">
        <f t="shared" si="64"/>
        <v>2446.5073992893895</v>
      </c>
    </row>
    <row r="67" spans="1:72" x14ac:dyDescent="0.25">
      <c r="A67" t="str">
        <f>A52</f>
        <v>3C Aggregated and non-CO2 emissions on land</v>
      </c>
      <c r="B67" t="str">
        <f t="shared" ref="B67:D67" si="65">B52</f>
        <v>3C6 Indirect N2O from manure management (N2O)</v>
      </c>
      <c r="C67" t="s">
        <v>644</v>
      </c>
      <c r="D67" t="str">
        <f t="shared" si="65"/>
        <v>N2O</v>
      </c>
      <c r="E67" t="s">
        <v>636</v>
      </c>
      <c r="F67" s="22">
        <f t="shared" ref="F67:AK67" si="66">F52*N2OGWP</f>
        <v>343.10330161578099</v>
      </c>
      <c r="G67" s="22">
        <f t="shared" si="66"/>
        <v>365.58614133033353</v>
      </c>
      <c r="H67" s="22">
        <f t="shared" si="66"/>
        <v>339.91114682728761</v>
      </c>
      <c r="I67" s="22">
        <f t="shared" si="66"/>
        <v>352.62601984444137</v>
      </c>
      <c r="J67" s="22">
        <f t="shared" si="66"/>
        <v>336.24824053022888</v>
      </c>
      <c r="K67" s="22">
        <f t="shared" si="66"/>
        <v>354.90652971327108</v>
      </c>
      <c r="L67" s="22">
        <f t="shared" si="66"/>
        <v>370.7282945162878</v>
      </c>
      <c r="M67" s="22">
        <f t="shared" si="66"/>
        <v>367.33263044382841</v>
      </c>
      <c r="N67" s="22">
        <f t="shared" si="66"/>
        <v>376.31467332854538</v>
      </c>
      <c r="O67" s="22">
        <f t="shared" si="66"/>
        <v>380.26274683162796</v>
      </c>
      <c r="P67" s="22">
        <f t="shared" si="66"/>
        <v>420.72277135231604</v>
      </c>
      <c r="Q67" s="22">
        <f t="shared" si="66"/>
        <v>418.37207720994593</v>
      </c>
      <c r="R67" s="22">
        <f t="shared" si="66"/>
        <v>406.12517665445523</v>
      </c>
      <c r="S67" s="22">
        <f t="shared" si="66"/>
        <v>385.62180744131297</v>
      </c>
      <c r="T67" s="22">
        <f t="shared" si="66"/>
        <v>383.11027791084422</v>
      </c>
      <c r="U67" s="22">
        <f t="shared" si="66"/>
        <v>402.62502084090437</v>
      </c>
      <c r="V67" s="22">
        <f t="shared" si="66"/>
        <v>407.68948429226828</v>
      </c>
      <c r="W67" s="22">
        <f t="shared" si="66"/>
        <v>415.77221135959962</v>
      </c>
      <c r="X67" s="22">
        <f t="shared" si="66"/>
        <v>450.38785912632164</v>
      </c>
      <c r="Y67" s="22">
        <f t="shared" si="66"/>
        <v>447.90280780802436</v>
      </c>
      <c r="Z67" s="22">
        <f t="shared" si="66"/>
        <v>450.47531382738657</v>
      </c>
      <c r="AA67" s="22">
        <f t="shared" si="66"/>
        <v>455.70252815125627</v>
      </c>
      <c r="AB67" s="22">
        <f t="shared" si="66"/>
        <v>454.43922946313114</v>
      </c>
      <c r="AC67" s="22">
        <f t="shared" si="66"/>
        <v>460.06920294166753</v>
      </c>
      <c r="AD67" s="22">
        <f t="shared" si="66"/>
        <v>464.77926586090297</v>
      </c>
      <c r="AE67" s="22">
        <f t="shared" si="66"/>
        <v>468.52285725457358</v>
      </c>
      <c r="AF67" s="22">
        <f t="shared" si="66"/>
        <v>471.4780386143853</v>
      </c>
      <c r="AG67" s="22">
        <f t="shared" si="66"/>
        <v>475.1986585491685</v>
      </c>
      <c r="AH67" s="22">
        <f t="shared" si="66"/>
        <v>478.68706568261393</v>
      </c>
      <c r="AI67" s="22">
        <f t="shared" si="66"/>
        <v>481.96240888756523</v>
      </c>
      <c r="AJ67" s="22">
        <f t="shared" si="66"/>
        <v>469.62492113876834</v>
      </c>
      <c r="AK67" s="22">
        <f t="shared" si="66"/>
        <v>475.41102451775311</v>
      </c>
      <c r="AL67" s="22">
        <f t="shared" ref="AL67:BN67" si="67">AL52*N2OGWP</f>
        <v>481.07601190265859</v>
      </c>
      <c r="AM67" s="22">
        <f t="shared" si="67"/>
        <v>486.82382180020829</v>
      </c>
      <c r="AN67" s="22">
        <f t="shared" si="67"/>
        <v>492.48324915165898</v>
      </c>
      <c r="AO67" s="22">
        <f t="shared" si="67"/>
        <v>498.3541129110136</v>
      </c>
      <c r="AP67" s="22">
        <f t="shared" si="67"/>
        <v>504.96750729279682</v>
      </c>
      <c r="AQ67" s="22">
        <f t="shared" si="67"/>
        <v>511.58581920716318</v>
      </c>
      <c r="AR67" s="22">
        <f t="shared" si="67"/>
        <v>518.46063671697289</v>
      </c>
      <c r="AS67" s="22">
        <f t="shared" si="67"/>
        <v>525.53591415048493</v>
      </c>
      <c r="AT67" s="22">
        <f t="shared" si="67"/>
        <v>532.83490078312138</v>
      </c>
      <c r="AU67" s="22">
        <f t="shared" si="67"/>
        <v>541.88147955438967</v>
      </c>
      <c r="AV67" s="22">
        <f t="shared" si="67"/>
        <v>550.44665236003732</v>
      </c>
      <c r="AW67" s="22">
        <f t="shared" si="67"/>
        <v>559.73833896567544</v>
      </c>
      <c r="AX67" s="22">
        <f t="shared" si="67"/>
        <v>569.46489040909535</v>
      </c>
      <c r="AY67" s="22">
        <f t="shared" si="67"/>
        <v>579.62296733257642</v>
      </c>
      <c r="AZ67" s="22">
        <f t="shared" si="67"/>
        <v>589.87443734306476</v>
      </c>
      <c r="BA67" s="22">
        <f t="shared" si="67"/>
        <v>600.34434298793622</v>
      </c>
      <c r="BB67" s="22">
        <f t="shared" si="67"/>
        <v>607.8313441016453</v>
      </c>
      <c r="BC67" s="22">
        <f t="shared" si="67"/>
        <v>614.94884650858035</v>
      </c>
      <c r="BD67" s="22">
        <f t="shared" si="67"/>
        <v>622.33904726393575</v>
      </c>
      <c r="BE67" s="22">
        <f t="shared" si="67"/>
        <v>630.34238679615714</v>
      </c>
      <c r="BF67" s="22">
        <f t="shared" si="67"/>
        <v>638.49279875369223</v>
      </c>
      <c r="BG67" s="22">
        <f t="shared" si="67"/>
        <v>646.74909689231481</v>
      </c>
      <c r="BH67" s="22">
        <f t="shared" si="67"/>
        <v>655.14617863763453</v>
      </c>
      <c r="BI67" s="22">
        <f t="shared" si="67"/>
        <v>663.86297042161129</v>
      </c>
      <c r="BJ67" s="22">
        <f t="shared" si="67"/>
        <v>672.75758259615554</v>
      </c>
      <c r="BK67" s="22">
        <f t="shared" si="67"/>
        <v>681.82446549530175</v>
      </c>
      <c r="BL67" s="22">
        <f t="shared" si="67"/>
        <v>690.69182682206133</v>
      </c>
      <c r="BM67" s="22">
        <f t="shared" si="67"/>
        <v>699.74167390557272</v>
      </c>
      <c r="BN67" s="22">
        <f t="shared" si="67"/>
        <v>708.9856225040354</v>
      </c>
    </row>
    <row r="70" spans="1:72" s="19" customFormat="1" ht="15.75" x14ac:dyDescent="0.25">
      <c r="A70" s="17" t="s">
        <v>722</v>
      </c>
      <c r="B70" s="17"/>
      <c r="C70" s="17"/>
      <c r="D70" s="17"/>
      <c r="E70" s="17"/>
      <c r="F70" s="17">
        <v>1990</v>
      </c>
      <c r="G70" s="17">
        <v>1991</v>
      </c>
      <c r="H70" s="17">
        <v>1992</v>
      </c>
      <c r="I70" s="17">
        <v>1993</v>
      </c>
      <c r="J70" s="17">
        <v>1994</v>
      </c>
      <c r="K70" s="17">
        <v>1995</v>
      </c>
      <c r="L70" s="17">
        <v>1996</v>
      </c>
      <c r="M70" s="17">
        <v>1997</v>
      </c>
      <c r="N70" s="17">
        <v>1998</v>
      </c>
      <c r="O70" s="17">
        <v>1999</v>
      </c>
      <c r="P70" s="17">
        <v>2000</v>
      </c>
      <c r="Q70" s="17">
        <v>2001</v>
      </c>
      <c r="R70" s="17">
        <v>2002</v>
      </c>
      <c r="S70" s="17">
        <v>2003</v>
      </c>
      <c r="T70" s="17">
        <v>2004</v>
      </c>
      <c r="U70" s="17">
        <v>2005</v>
      </c>
      <c r="V70" s="17">
        <v>2006</v>
      </c>
      <c r="W70" s="17">
        <v>2007</v>
      </c>
      <c r="X70" s="17">
        <v>2008</v>
      </c>
      <c r="Y70" s="17">
        <v>2009</v>
      </c>
      <c r="Z70" s="17">
        <v>2010</v>
      </c>
      <c r="AA70" s="17">
        <v>2011</v>
      </c>
      <c r="AB70" s="17">
        <v>2012</v>
      </c>
      <c r="AC70" s="17">
        <v>2013</v>
      </c>
      <c r="AD70" s="17">
        <v>2014</v>
      </c>
      <c r="AE70" s="17">
        <v>2015</v>
      </c>
      <c r="AF70" s="17">
        <v>2016</v>
      </c>
      <c r="AG70" s="17">
        <v>2017</v>
      </c>
      <c r="AH70" s="17">
        <v>2018</v>
      </c>
      <c r="AI70" s="17">
        <v>2019</v>
      </c>
      <c r="AJ70" s="17">
        <v>2020</v>
      </c>
      <c r="AK70" s="17">
        <v>2021</v>
      </c>
      <c r="AL70" s="17">
        <v>2022</v>
      </c>
      <c r="AM70" s="17">
        <v>2023</v>
      </c>
      <c r="AN70" s="17">
        <v>2024</v>
      </c>
      <c r="AO70" s="17">
        <v>2025</v>
      </c>
      <c r="AP70" s="17">
        <v>2026</v>
      </c>
      <c r="AQ70" s="17">
        <v>2027</v>
      </c>
      <c r="AR70" s="17">
        <v>2028</v>
      </c>
      <c r="AS70" s="17">
        <v>2029</v>
      </c>
      <c r="AT70" s="17">
        <v>2030</v>
      </c>
      <c r="AU70" s="17">
        <v>2031</v>
      </c>
      <c r="AV70" s="17">
        <v>2032</v>
      </c>
      <c r="AW70" s="17">
        <v>2033</v>
      </c>
      <c r="AX70" s="17">
        <v>2034</v>
      </c>
      <c r="AY70" s="17">
        <v>2035</v>
      </c>
      <c r="AZ70" s="17">
        <v>2036</v>
      </c>
      <c r="BA70" s="17">
        <v>2037</v>
      </c>
      <c r="BB70" s="17">
        <v>2038</v>
      </c>
      <c r="BC70" s="17">
        <v>2039</v>
      </c>
      <c r="BD70" s="17">
        <v>2040</v>
      </c>
      <c r="BE70" s="17">
        <v>2041</v>
      </c>
      <c r="BF70" s="17">
        <v>2042</v>
      </c>
      <c r="BG70" s="17">
        <v>2043</v>
      </c>
      <c r="BH70" s="17">
        <v>2044</v>
      </c>
      <c r="BI70" s="17">
        <v>2045</v>
      </c>
      <c r="BJ70" s="17">
        <v>2046</v>
      </c>
      <c r="BK70" s="17">
        <v>2047</v>
      </c>
      <c r="BL70" s="17">
        <v>2048</v>
      </c>
      <c r="BM70" s="17">
        <v>2049</v>
      </c>
      <c r="BN70" s="17">
        <v>2050</v>
      </c>
      <c r="BO70" s="17"/>
      <c r="BP70" s="17"/>
      <c r="BQ70" s="17"/>
      <c r="BR70" s="17"/>
      <c r="BS70" s="17"/>
      <c r="BT70" s="17"/>
    </row>
    <row r="71" spans="1:72" x14ac:dyDescent="0.25">
      <c r="E71" t="s">
        <v>744</v>
      </c>
      <c r="F71" s="22">
        <f>SUM(F58:F60)</f>
        <v>29809.07844938129</v>
      </c>
      <c r="G71" s="22">
        <f t="shared" ref="G71:AG71" si="68">SUM(G58:G60)</f>
        <v>30043.092977791715</v>
      </c>
      <c r="H71" s="22">
        <f t="shared" si="68"/>
        <v>29367.000607714464</v>
      </c>
      <c r="I71" s="22">
        <f t="shared" si="68"/>
        <v>28529.839302914701</v>
      </c>
      <c r="J71" s="22">
        <f t="shared" si="68"/>
        <v>27644.882825571898</v>
      </c>
      <c r="K71" s="22">
        <f t="shared" si="68"/>
        <v>28003.221800851996</v>
      </c>
      <c r="L71" s="22">
        <f t="shared" si="68"/>
        <v>28764.426060905291</v>
      </c>
      <c r="M71" s="22">
        <f t="shared" si="68"/>
        <v>29197.380254242202</v>
      </c>
      <c r="N71" s="22">
        <f t="shared" si="68"/>
        <v>29630.698964386076</v>
      </c>
      <c r="O71" s="22">
        <f t="shared" si="68"/>
        <v>29629.221660502193</v>
      </c>
      <c r="P71" s="22">
        <f t="shared" si="68"/>
        <v>29753.989948847233</v>
      </c>
      <c r="Q71" s="22">
        <f t="shared" si="68"/>
        <v>29546.748075958283</v>
      </c>
      <c r="R71" s="22">
        <f t="shared" si="68"/>
        <v>28926.316019966296</v>
      </c>
      <c r="S71" s="22">
        <f t="shared" si="68"/>
        <v>28782.82921525514</v>
      </c>
      <c r="T71" s="22">
        <f t="shared" si="68"/>
        <v>28518.281081578443</v>
      </c>
      <c r="U71" s="22">
        <f t="shared" si="68"/>
        <v>28739.884755849245</v>
      </c>
      <c r="V71" s="22">
        <f t="shared" si="68"/>
        <v>28649.019025441685</v>
      </c>
      <c r="W71" s="22">
        <f t="shared" si="68"/>
        <v>29251.085370569181</v>
      </c>
      <c r="X71" s="22">
        <f t="shared" si="68"/>
        <v>29769.985617238821</v>
      </c>
      <c r="Y71" s="22">
        <f t="shared" si="68"/>
        <v>29625.013597138062</v>
      </c>
      <c r="Z71" s="22">
        <f t="shared" si="68"/>
        <v>29416.16998797447</v>
      </c>
      <c r="AA71" s="22">
        <f t="shared" si="68"/>
        <v>29302.868507225488</v>
      </c>
      <c r="AB71" s="22">
        <f t="shared" si="68"/>
        <v>29265.350661912587</v>
      </c>
      <c r="AC71" s="22">
        <f t="shared" si="68"/>
        <v>29290.14195389767</v>
      </c>
      <c r="AD71" s="22">
        <f t="shared" si="68"/>
        <v>29321.474473207738</v>
      </c>
      <c r="AE71" s="22">
        <f t="shared" si="68"/>
        <v>29358.183584430259</v>
      </c>
      <c r="AF71" s="22">
        <f t="shared" si="68"/>
        <v>29400.245741172694</v>
      </c>
      <c r="AG71" s="22">
        <f t="shared" si="68"/>
        <v>29441.335710992938</v>
      </c>
    </row>
    <row r="72" spans="1:72" x14ac:dyDescent="0.25">
      <c r="E72" t="s">
        <v>746</v>
      </c>
      <c r="F72" s="22">
        <f>SUM(F61:F67)</f>
        <v>24947.817090057571</v>
      </c>
      <c r="G72" s="22">
        <f t="shared" ref="G72:AG72" si="69">SUM(G61:G67)</f>
        <v>24792.831733034734</v>
      </c>
      <c r="H72" s="22">
        <f t="shared" si="69"/>
        <v>24367.283262364737</v>
      </c>
      <c r="I72" s="22">
        <f t="shared" si="69"/>
        <v>24506.094201823351</v>
      </c>
      <c r="J72" s="22">
        <f t="shared" si="69"/>
        <v>24234.64015851467</v>
      </c>
      <c r="K72" s="22">
        <f t="shared" si="69"/>
        <v>23547.148918577601</v>
      </c>
      <c r="L72" s="22">
        <f t="shared" si="69"/>
        <v>24587.909724066161</v>
      </c>
      <c r="M72" s="22">
        <f t="shared" si="69"/>
        <v>24924.745802730729</v>
      </c>
      <c r="N72" s="22">
        <f t="shared" si="69"/>
        <v>24909.477415069938</v>
      </c>
      <c r="O72" s="22">
        <f t="shared" si="69"/>
        <v>24888.775073712117</v>
      </c>
      <c r="P72" s="22">
        <f t="shared" si="69"/>
        <v>25003.073827323802</v>
      </c>
      <c r="Q72" s="22">
        <f t="shared" si="69"/>
        <v>24750.66770115777</v>
      </c>
      <c r="R72" s="22">
        <f t="shared" si="69"/>
        <v>25342.370210186647</v>
      </c>
      <c r="S72" s="22">
        <f t="shared" si="69"/>
        <v>24320.471270300244</v>
      </c>
      <c r="T72" s="22">
        <f t="shared" si="69"/>
        <v>23787.103544354315</v>
      </c>
      <c r="U72" s="22">
        <f t="shared" si="69"/>
        <v>24135.833759735142</v>
      </c>
      <c r="V72" s="22">
        <f t="shared" si="69"/>
        <v>23660.658956555813</v>
      </c>
      <c r="W72" s="22">
        <f t="shared" si="69"/>
        <v>24716.59951857779</v>
      </c>
      <c r="X72" s="22">
        <f t="shared" si="69"/>
        <v>25144.355071127939</v>
      </c>
      <c r="Y72" s="22">
        <f t="shared" si="69"/>
        <v>24727.590668620331</v>
      </c>
      <c r="Z72" s="22">
        <f t="shared" si="69"/>
        <v>24590.610221542152</v>
      </c>
      <c r="AA72" s="22">
        <f t="shared" si="69"/>
        <v>24583.600460378959</v>
      </c>
      <c r="AB72" s="22">
        <f t="shared" si="69"/>
        <v>24168.515469068567</v>
      </c>
      <c r="AC72" s="22">
        <f t="shared" si="69"/>
        <v>24224.100717605943</v>
      </c>
      <c r="AD72" s="22">
        <f t="shared" si="69"/>
        <v>24184.368644302831</v>
      </c>
      <c r="AE72" s="22">
        <f t="shared" si="69"/>
        <v>24151.295346101109</v>
      </c>
      <c r="AF72" s="22">
        <f t="shared" si="69"/>
        <v>24161.278504683789</v>
      </c>
      <c r="AG72" s="22">
        <f t="shared" si="69"/>
        <v>24167.762408824856</v>
      </c>
    </row>
    <row r="73" spans="1:72" x14ac:dyDescent="0.25">
      <c r="E73" t="s">
        <v>732</v>
      </c>
      <c r="F73" s="22">
        <f>SUM(F71:F72)</f>
        <v>54756.895539438861</v>
      </c>
      <c r="G73" s="22">
        <f t="shared" ref="G73:AG73" si="70">SUM(G71:G72)</f>
        <v>54835.924710826454</v>
      </c>
      <c r="H73" s="22">
        <f t="shared" si="70"/>
        <v>53734.283870079205</v>
      </c>
      <c r="I73" s="22">
        <f t="shared" si="70"/>
        <v>53035.933504738052</v>
      </c>
      <c r="J73" s="22">
        <f t="shared" si="70"/>
        <v>51879.522984086565</v>
      </c>
      <c r="K73" s="22">
        <f t="shared" si="70"/>
        <v>51550.3707194296</v>
      </c>
      <c r="L73" s="22">
        <f t="shared" si="70"/>
        <v>53352.335784971452</v>
      </c>
      <c r="M73" s="22">
        <f t="shared" si="70"/>
        <v>54122.126056972935</v>
      </c>
      <c r="N73" s="22">
        <f t="shared" si="70"/>
        <v>54540.17637945601</v>
      </c>
      <c r="O73" s="22">
        <f t="shared" si="70"/>
        <v>54517.996734214306</v>
      </c>
      <c r="P73" s="22">
        <f t="shared" si="70"/>
        <v>54757.063776171039</v>
      </c>
      <c r="Q73" s="22">
        <f t="shared" si="70"/>
        <v>54297.415777116054</v>
      </c>
      <c r="R73" s="22">
        <f t="shared" si="70"/>
        <v>54268.686230152947</v>
      </c>
      <c r="S73" s="22">
        <f t="shared" si="70"/>
        <v>53103.300485555388</v>
      </c>
      <c r="T73" s="22">
        <f t="shared" si="70"/>
        <v>52305.384625932755</v>
      </c>
      <c r="U73" s="22">
        <f t="shared" si="70"/>
        <v>52875.718515584391</v>
      </c>
      <c r="V73" s="22">
        <f t="shared" si="70"/>
        <v>52309.677981997498</v>
      </c>
      <c r="W73" s="22">
        <f t="shared" si="70"/>
        <v>53967.684889146971</v>
      </c>
      <c r="X73" s="22">
        <f t="shared" si="70"/>
        <v>54914.340688366763</v>
      </c>
      <c r="Y73" s="22">
        <f t="shared" si="70"/>
        <v>54352.604265758389</v>
      </c>
      <c r="Z73" s="22">
        <f t="shared" si="70"/>
        <v>54006.780209516626</v>
      </c>
      <c r="AA73" s="22">
        <f t="shared" si="70"/>
        <v>53886.468967604451</v>
      </c>
      <c r="AB73" s="22">
        <f t="shared" si="70"/>
        <v>53433.866130981158</v>
      </c>
      <c r="AC73" s="22">
        <f t="shared" si="70"/>
        <v>53514.242671503613</v>
      </c>
      <c r="AD73" s="22">
        <f t="shared" si="70"/>
        <v>53505.843117510565</v>
      </c>
      <c r="AE73" s="22">
        <f t="shared" si="70"/>
        <v>53509.478930531368</v>
      </c>
      <c r="AF73" s="22">
        <f t="shared" si="70"/>
        <v>53561.524245856483</v>
      </c>
      <c r="AG73" s="22">
        <f t="shared" si="70"/>
        <v>53609.098119817791</v>
      </c>
    </row>
    <row r="74" spans="1:72" x14ac:dyDescent="0.25">
      <c r="E74" t="s">
        <v>745</v>
      </c>
      <c r="F74" s="21">
        <v>30363.701489664549</v>
      </c>
      <c r="G74" s="21">
        <v>30620.087433327655</v>
      </c>
      <c r="H74" s="21">
        <v>30019.645292780151</v>
      </c>
      <c r="I74" s="21">
        <v>29126.832767672211</v>
      </c>
      <c r="J74" s="21">
        <v>28220.504029960546</v>
      </c>
      <c r="K74" s="21">
        <v>28658.334296648256</v>
      </c>
      <c r="L74" s="21">
        <v>29216.836454505894</v>
      </c>
      <c r="M74" s="21">
        <v>29686.534877773469</v>
      </c>
      <c r="N74" s="21">
        <v>30358.840057469566</v>
      </c>
      <c r="O74" s="21">
        <v>30552.5406715998</v>
      </c>
      <c r="P74" s="21">
        <v>30515.456515029604</v>
      </c>
      <c r="Q74" s="21">
        <v>30340.133527107813</v>
      </c>
      <c r="R74" s="21">
        <v>29862.347205058868</v>
      </c>
      <c r="S74" s="21">
        <v>28988.455674699828</v>
      </c>
      <c r="T74" s="21">
        <v>28771.73121104404</v>
      </c>
      <c r="U74" s="21">
        <v>28806.676410294196</v>
      </c>
      <c r="V74" s="21">
        <v>28710.685662648946</v>
      </c>
      <c r="W74" s="21">
        <v>27953.813125583809</v>
      </c>
      <c r="X74" s="21">
        <v>29128.465653077492</v>
      </c>
      <c r="Y74" s="21">
        <v>28566.814632287216</v>
      </c>
      <c r="Z74" s="21">
        <v>29466.291233402069</v>
      </c>
      <c r="AA74" s="21">
        <v>29540.386989025857</v>
      </c>
      <c r="AB74" s="21">
        <v>28765.723679034749</v>
      </c>
      <c r="AC74" s="21">
        <v>29976.162007053368</v>
      </c>
      <c r="AD74" s="21">
        <v>29854.259774176113</v>
      </c>
      <c r="AE74" s="21">
        <v>29764.794009191111</v>
      </c>
      <c r="AF74" s="21">
        <v>28493.468307353363</v>
      </c>
      <c r="AG74" s="21">
        <v>28161.291437902692</v>
      </c>
    </row>
    <row r="75" spans="1:72" x14ac:dyDescent="0.25">
      <c r="E75" t="s">
        <v>747</v>
      </c>
      <c r="F75" s="21">
        <v>23966.513245185564</v>
      </c>
      <c r="G75" s="21">
        <v>25488.169557235855</v>
      </c>
      <c r="H75" s="21">
        <v>24918.03927597345</v>
      </c>
      <c r="I75" s="21">
        <v>24848.327264592699</v>
      </c>
      <c r="J75" s="21">
        <v>24505.816851306721</v>
      </c>
      <c r="K75" s="21">
        <v>24432.14794095813</v>
      </c>
      <c r="L75" s="21">
        <v>25202.904527562976</v>
      </c>
      <c r="M75" s="21">
        <v>25504.378529824888</v>
      </c>
      <c r="N75" s="21">
        <v>25890.467620410676</v>
      </c>
      <c r="O75" s="21">
        <v>25983.786939397698</v>
      </c>
      <c r="P75" s="21">
        <v>25868.394067579684</v>
      </c>
      <c r="Q75" s="21">
        <v>26002.535902574971</v>
      </c>
      <c r="R75" s="21">
        <v>26531.007410409438</v>
      </c>
      <c r="S75" s="21">
        <v>24775.301428664814</v>
      </c>
      <c r="T75" s="21">
        <v>24381.007267856174</v>
      </c>
      <c r="U75" s="21">
        <v>24606.540158008142</v>
      </c>
      <c r="V75" s="21">
        <v>24681.528992201023</v>
      </c>
      <c r="W75" s="21">
        <v>24370.637912824339</v>
      </c>
      <c r="X75" s="21">
        <v>25360.261324110521</v>
      </c>
      <c r="Y75" s="21">
        <v>24580.116845224002</v>
      </c>
      <c r="Z75" s="21">
        <v>25130.517014652847</v>
      </c>
      <c r="AA75" s="21">
        <v>25304.85592670933</v>
      </c>
      <c r="AB75" s="21">
        <v>24407.03698205229</v>
      </c>
      <c r="AC75" s="21">
        <v>25679.803908205235</v>
      </c>
      <c r="AD75" s="21">
        <v>25935.14594405461</v>
      </c>
      <c r="AE75" s="21">
        <v>24944.276967369409</v>
      </c>
      <c r="AF75" s="21">
        <v>23249.801068831042</v>
      </c>
      <c r="AG75" s="21">
        <v>23515.861940250066</v>
      </c>
    </row>
    <row r="76" spans="1:72" x14ac:dyDescent="0.25">
      <c r="E76" t="s">
        <v>733</v>
      </c>
      <c r="F76" s="21">
        <f>SUM(F74:F75)</f>
        <v>54330.214734850117</v>
      </c>
      <c r="G76" s="21">
        <f t="shared" ref="G76:AG76" si="71">SUM(G74:G75)</f>
        <v>56108.25699056351</v>
      </c>
      <c r="H76" s="21">
        <f t="shared" si="71"/>
        <v>54937.684568753597</v>
      </c>
      <c r="I76" s="21">
        <f t="shared" si="71"/>
        <v>53975.16003226491</v>
      </c>
      <c r="J76" s="21">
        <f t="shared" si="71"/>
        <v>52726.320881267267</v>
      </c>
      <c r="K76" s="21">
        <f t="shared" si="71"/>
        <v>53090.482237606382</v>
      </c>
      <c r="L76" s="21">
        <f t="shared" si="71"/>
        <v>54419.74098206887</v>
      </c>
      <c r="M76" s="21">
        <f t="shared" si="71"/>
        <v>55190.91340759836</v>
      </c>
      <c r="N76" s="21">
        <f t="shared" si="71"/>
        <v>56249.307677880242</v>
      </c>
      <c r="O76" s="21">
        <f t="shared" si="71"/>
        <v>56536.327610997498</v>
      </c>
      <c r="P76" s="21">
        <f t="shared" si="71"/>
        <v>56383.850582609288</v>
      </c>
      <c r="Q76" s="21">
        <f t="shared" si="71"/>
        <v>56342.669429682785</v>
      </c>
      <c r="R76" s="21">
        <f t="shared" si="71"/>
        <v>56393.354615468306</v>
      </c>
      <c r="S76" s="21">
        <f t="shared" si="71"/>
        <v>53763.757103364638</v>
      </c>
      <c r="T76" s="21">
        <f t="shared" si="71"/>
        <v>53152.73847890021</v>
      </c>
      <c r="U76" s="21">
        <f t="shared" si="71"/>
        <v>53413.216568302334</v>
      </c>
      <c r="V76" s="21">
        <f t="shared" si="71"/>
        <v>53392.214654849973</v>
      </c>
      <c r="W76" s="21">
        <f t="shared" si="71"/>
        <v>52324.451038408151</v>
      </c>
      <c r="X76" s="21">
        <f t="shared" si="71"/>
        <v>54488.726977188009</v>
      </c>
      <c r="Y76" s="21">
        <f t="shared" si="71"/>
        <v>53146.931477511214</v>
      </c>
      <c r="Z76" s="21">
        <f t="shared" si="71"/>
        <v>54596.80824805492</v>
      </c>
      <c r="AA76" s="21">
        <f t="shared" si="71"/>
        <v>54845.242915735187</v>
      </c>
      <c r="AB76" s="21">
        <f t="shared" si="71"/>
        <v>53172.760661087043</v>
      </c>
      <c r="AC76" s="21">
        <f t="shared" si="71"/>
        <v>55655.965915258603</v>
      </c>
      <c r="AD76" s="21">
        <f t="shared" si="71"/>
        <v>55789.405718230722</v>
      </c>
      <c r="AE76" s="21">
        <f t="shared" si="71"/>
        <v>54709.070976560521</v>
      </c>
      <c r="AF76" s="21">
        <f t="shared" si="71"/>
        <v>51743.269376184406</v>
      </c>
      <c r="AG76" s="21">
        <f t="shared" si="71"/>
        <v>51677.153378152754</v>
      </c>
    </row>
    <row r="77" spans="1:72" x14ac:dyDescent="0.25">
      <c r="E77" t="s">
        <v>734</v>
      </c>
      <c r="F77" s="57">
        <f>(F73-F76)/F76</f>
        <v>7.8534717131359E-3</v>
      </c>
      <c r="G77" s="57">
        <f t="shared" ref="G77:AG77" si="72">(G73-G76)/G76</f>
        <v>-2.2676382193641161E-2</v>
      </c>
      <c r="H77" s="57">
        <f t="shared" si="72"/>
        <v>-2.1904831048501064E-2</v>
      </c>
      <c r="I77" s="57">
        <f t="shared" si="72"/>
        <v>-1.7401088333326178E-2</v>
      </c>
      <c r="J77" s="57">
        <f t="shared" si="72"/>
        <v>-1.6060250042622543E-2</v>
      </c>
      <c r="K77" s="57">
        <f t="shared" si="72"/>
        <v>-2.9009183063811981E-2</v>
      </c>
      <c r="L77" s="57">
        <f t="shared" si="72"/>
        <v>-1.9614301314832137E-2</v>
      </c>
      <c r="M77" s="57">
        <f t="shared" si="72"/>
        <v>-1.9365277445802902E-2</v>
      </c>
      <c r="N77" s="57">
        <f t="shared" si="72"/>
        <v>-3.0384930392598229E-2</v>
      </c>
      <c r="O77" s="57">
        <f t="shared" si="72"/>
        <v>-3.569971666130263E-2</v>
      </c>
      <c r="P77" s="57">
        <f t="shared" si="72"/>
        <v>-2.8851999103090806E-2</v>
      </c>
      <c r="Q77" s="57">
        <f t="shared" si="72"/>
        <v>-3.6300261831208838E-2</v>
      </c>
      <c r="R77" s="57">
        <f t="shared" si="72"/>
        <v>-3.7675864466707523E-2</v>
      </c>
      <c r="S77" s="57">
        <f t="shared" si="72"/>
        <v>-1.2284420832782859E-2</v>
      </c>
      <c r="T77" s="57">
        <f t="shared" si="72"/>
        <v>-1.5941866350006127E-2</v>
      </c>
      <c r="U77" s="57">
        <f t="shared" si="72"/>
        <v>-1.0063015995874648E-2</v>
      </c>
      <c r="V77" s="57">
        <f t="shared" si="72"/>
        <v>-2.0275178316735004E-2</v>
      </c>
      <c r="W77" s="57">
        <f t="shared" si="72"/>
        <v>3.1404703119247687E-2</v>
      </c>
      <c r="X77" s="57">
        <f t="shared" si="72"/>
        <v>7.8110415638254728E-3</v>
      </c>
      <c r="Y77" s="57">
        <f t="shared" si="72"/>
        <v>2.2685651922488653E-2</v>
      </c>
      <c r="Z77" s="57">
        <f t="shared" si="72"/>
        <v>-1.080700607730699E-2</v>
      </c>
      <c r="AA77" s="57">
        <f t="shared" si="72"/>
        <v>-1.7481442275746807E-2</v>
      </c>
      <c r="AB77" s="57">
        <f t="shared" si="72"/>
        <v>4.9105118231184443E-3</v>
      </c>
      <c r="AC77" s="57">
        <f t="shared" si="72"/>
        <v>-3.8481467503698769E-2</v>
      </c>
      <c r="AD77" s="57">
        <f t="shared" si="72"/>
        <v>-4.0931832331276119E-2</v>
      </c>
      <c r="AE77" s="57">
        <f t="shared" si="72"/>
        <v>-2.1926748610721324E-2</v>
      </c>
      <c r="AF77" s="57">
        <f t="shared" si="72"/>
        <v>3.5139930112513443E-2</v>
      </c>
      <c r="AG77" s="57">
        <f t="shared" si="72"/>
        <v>3.7384890911614982E-2</v>
      </c>
    </row>
    <row r="99" spans="1:72" x14ac:dyDescent="0.25">
      <c r="R99" t="s">
        <v>735</v>
      </c>
    </row>
    <row r="110" spans="1:72" s="19" customFormat="1" ht="15.75" x14ac:dyDescent="0.25">
      <c r="A110" s="17" t="s">
        <v>722</v>
      </c>
      <c r="B110" s="17"/>
      <c r="C110" s="17"/>
      <c r="D110" s="17"/>
      <c r="E110" s="17"/>
      <c r="F110" s="17">
        <v>1990</v>
      </c>
      <c r="G110" s="17">
        <v>1991</v>
      </c>
      <c r="H110" s="17">
        <v>1992</v>
      </c>
      <c r="I110" s="17">
        <v>1993</v>
      </c>
      <c r="J110" s="17">
        <v>1994</v>
      </c>
      <c r="K110" s="17">
        <v>1995</v>
      </c>
      <c r="L110" s="17">
        <v>1996</v>
      </c>
      <c r="M110" s="17">
        <v>1997</v>
      </c>
      <c r="N110" s="17">
        <v>1998</v>
      </c>
      <c r="O110" s="17">
        <v>1999</v>
      </c>
      <c r="P110" s="17">
        <v>2000</v>
      </c>
      <c r="Q110" s="17">
        <v>2001</v>
      </c>
      <c r="R110" s="17">
        <v>2002</v>
      </c>
      <c r="S110" s="17">
        <v>2003</v>
      </c>
      <c r="T110" s="17">
        <v>2004</v>
      </c>
      <c r="U110" s="17">
        <v>2005</v>
      </c>
      <c r="V110" s="17">
        <v>2006</v>
      </c>
      <c r="W110" s="17">
        <v>2007</v>
      </c>
      <c r="X110" s="17">
        <v>2008</v>
      </c>
      <c r="Y110" s="17">
        <v>2009</v>
      </c>
      <c r="Z110" s="17">
        <v>2010</v>
      </c>
      <c r="AA110" s="17">
        <v>2011</v>
      </c>
      <c r="AB110" s="17">
        <v>2012</v>
      </c>
      <c r="AC110" s="17">
        <v>2013</v>
      </c>
      <c r="AD110" s="17">
        <v>2014</v>
      </c>
      <c r="AE110" s="17">
        <v>2015</v>
      </c>
      <c r="AF110" s="17">
        <v>2016</v>
      </c>
      <c r="AG110" s="17">
        <v>2017</v>
      </c>
      <c r="AH110" s="17">
        <v>2018</v>
      </c>
      <c r="AI110" s="17">
        <v>2019</v>
      </c>
      <c r="AJ110" s="17">
        <v>2020</v>
      </c>
      <c r="AK110" s="17">
        <v>2021</v>
      </c>
      <c r="AL110" s="17">
        <v>2022</v>
      </c>
      <c r="AM110" s="17">
        <v>2023</v>
      </c>
      <c r="AN110" s="17">
        <v>2024</v>
      </c>
      <c r="AO110" s="17">
        <v>2025</v>
      </c>
      <c r="AP110" s="17">
        <v>2026</v>
      </c>
      <c r="AQ110" s="17">
        <v>2027</v>
      </c>
      <c r="AR110" s="17">
        <v>2028</v>
      </c>
      <c r="AS110" s="17">
        <v>2029</v>
      </c>
      <c r="AT110" s="17">
        <v>2030</v>
      </c>
      <c r="AU110" s="17">
        <v>2031</v>
      </c>
      <c r="AV110" s="17">
        <v>2032</v>
      </c>
      <c r="AW110" s="17">
        <v>2033</v>
      </c>
      <c r="AX110" s="17">
        <v>2034</v>
      </c>
      <c r="AY110" s="17">
        <v>2035</v>
      </c>
      <c r="AZ110" s="17">
        <v>2036</v>
      </c>
      <c r="BA110" s="17">
        <v>2037</v>
      </c>
      <c r="BB110" s="17">
        <v>2038</v>
      </c>
      <c r="BC110" s="17">
        <v>2039</v>
      </c>
      <c r="BD110" s="17">
        <v>2040</v>
      </c>
      <c r="BE110" s="17">
        <v>2041</v>
      </c>
      <c r="BF110" s="17">
        <v>2042</v>
      </c>
      <c r="BG110" s="17">
        <v>2043</v>
      </c>
      <c r="BH110" s="17">
        <v>2044</v>
      </c>
      <c r="BI110" s="17">
        <v>2045</v>
      </c>
      <c r="BJ110" s="17">
        <v>2046</v>
      </c>
      <c r="BK110" s="17">
        <v>2047</v>
      </c>
      <c r="BL110" s="17">
        <v>2048</v>
      </c>
      <c r="BM110" s="17">
        <v>2049</v>
      </c>
      <c r="BN110" s="17">
        <v>2050</v>
      </c>
      <c r="BO110" s="17"/>
      <c r="BP110" s="17"/>
      <c r="BQ110" s="17"/>
      <c r="BR110" s="17"/>
      <c r="BS110" s="17"/>
      <c r="BT110" s="17"/>
    </row>
    <row r="111" spans="1:72" x14ac:dyDescent="0.25">
      <c r="E111" t="s">
        <v>640</v>
      </c>
      <c r="F111" s="22">
        <v>1113.9523335609101</v>
      </c>
      <c r="G111" s="22">
        <v>1113.9523335609101</v>
      </c>
      <c r="H111" s="22">
        <v>1113.9523335609101</v>
      </c>
      <c r="I111" s="22">
        <v>1113.9523335609101</v>
      </c>
      <c r="J111" s="22">
        <v>1113.9523335609101</v>
      </c>
      <c r="K111" s="22">
        <v>1113.9523335609101</v>
      </c>
      <c r="L111" s="22">
        <v>1113.9523335609101</v>
      </c>
      <c r="M111" s="22">
        <v>1113.9523335609101</v>
      </c>
      <c r="N111" s="22">
        <v>1113.9523335609101</v>
      </c>
      <c r="O111" s="22">
        <v>1113.9523335609101</v>
      </c>
      <c r="P111" s="22">
        <v>1103.4776992955053</v>
      </c>
      <c r="Q111" s="22">
        <v>1282.5517441798665</v>
      </c>
      <c r="R111" s="22">
        <v>1288.9176046937982</v>
      </c>
      <c r="S111" s="22">
        <v>1011.4345809085878</v>
      </c>
      <c r="T111" s="22">
        <v>883.38003872679235</v>
      </c>
      <c r="U111" s="22">
        <v>1412.334298727088</v>
      </c>
      <c r="V111" s="22">
        <v>1236.8838978672777</v>
      </c>
      <c r="W111" s="22">
        <v>1218.5771221263838</v>
      </c>
      <c r="X111" s="22">
        <v>1139.8644942847</v>
      </c>
      <c r="Y111" s="22">
        <v>1078.8713756473658</v>
      </c>
      <c r="Z111" s="22">
        <v>1107.055106514</v>
      </c>
      <c r="AA111" s="22">
        <v>1093.3943713178221</v>
      </c>
      <c r="AB111" s="22">
        <v>1003.5637069444559</v>
      </c>
      <c r="AC111" s="22">
        <v>949.58031288518987</v>
      </c>
      <c r="AD111" s="22">
        <v>1016.956735075512</v>
      </c>
      <c r="AE111" s="22">
        <v>737.86776841461585</v>
      </c>
      <c r="AF111" s="22">
        <v>446.18919850209591</v>
      </c>
      <c r="AG111" s="22">
        <v>416.70692080806589</v>
      </c>
      <c r="AH111" s="22">
        <v>953.41633153144642</v>
      </c>
      <c r="AI111" s="22">
        <v>949.15511278249028</v>
      </c>
      <c r="AJ111" s="22">
        <v>936.84581085219077</v>
      </c>
      <c r="AK111" s="22">
        <v>923.04801254060374</v>
      </c>
      <c r="AL111" s="22">
        <v>923.83086633988489</v>
      </c>
      <c r="AM111" s="22">
        <v>927.35133953171032</v>
      </c>
      <c r="AN111" s="22">
        <v>905.10328771083891</v>
      </c>
      <c r="AO111" s="22">
        <v>888.09961309554592</v>
      </c>
      <c r="AP111" s="22">
        <v>872.75163677437502</v>
      </c>
      <c r="AQ111" s="22">
        <v>857.75800408852626</v>
      </c>
      <c r="AR111" s="22">
        <v>850.61092272546864</v>
      </c>
      <c r="AS111" s="22">
        <v>840.04010457174638</v>
      </c>
      <c r="AT111" s="22">
        <v>828.99691103493274</v>
      </c>
      <c r="AU111" s="22">
        <v>823.86011211605364</v>
      </c>
      <c r="AV111" s="22">
        <v>820.57662159257097</v>
      </c>
      <c r="AW111" s="22">
        <v>817.40761700308474</v>
      </c>
      <c r="AX111" s="22">
        <v>825.66666083675238</v>
      </c>
      <c r="AY111" s="22">
        <v>847.83925712437895</v>
      </c>
      <c r="AZ111" s="22">
        <v>872.92498755693396</v>
      </c>
      <c r="BA111" s="22">
        <v>868.57139706063037</v>
      </c>
      <c r="BB111" s="22">
        <v>864.20568430768526</v>
      </c>
      <c r="BC111" s="22">
        <v>860.27723737280223</v>
      </c>
      <c r="BD111" s="22">
        <v>856.87697424917883</v>
      </c>
      <c r="BE111" s="22">
        <v>853.2172938983382</v>
      </c>
      <c r="BF111" s="22">
        <v>849.16257657644303</v>
      </c>
      <c r="BG111" s="22">
        <v>846.10063420939923</v>
      </c>
      <c r="BH111" s="22">
        <v>843.78828540199515</v>
      </c>
      <c r="BI111" s="22">
        <v>842.18087202380002</v>
      </c>
      <c r="BJ111" s="22">
        <v>841.31426607401693</v>
      </c>
      <c r="BK111" s="22">
        <v>840.76910455168797</v>
      </c>
      <c r="BL111" s="22">
        <v>840.78400975380032</v>
      </c>
      <c r="BM111" s="22">
        <v>841.40450616562623</v>
      </c>
      <c r="BN111" s="22">
        <v>842.3577371508793</v>
      </c>
    </row>
    <row r="112" spans="1:72" x14ac:dyDescent="0.25">
      <c r="E112" t="s">
        <v>641</v>
      </c>
      <c r="F112" s="22">
        <v>1149.3522600947301</v>
      </c>
      <c r="G112" s="22">
        <v>1149.3522600947301</v>
      </c>
      <c r="H112" s="22">
        <v>1149.3522600947301</v>
      </c>
      <c r="I112" s="22">
        <v>1149.3522600947301</v>
      </c>
      <c r="J112" s="22">
        <v>1149.3522600947301</v>
      </c>
      <c r="K112" s="22">
        <v>1149.3522600947301</v>
      </c>
      <c r="L112" s="22">
        <v>1149.3522600947301</v>
      </c>
      <c r="M112" s="22">
        <v>1149.3522600947301</v>
      </c>
      <c r="N112" s="22">
        <v>1149.3522600947301</v>
      </c>
      <c r="O112" s="22">
        <v>1149.3522600947301</v>
      </c>
      <c r="P112" s="22">
        <v>1138.2881924240246</v>
      </c>
      <c r="Q112" s="22">
        <v>1347.8625366593228</v>
      </c>
      <c r="R112" s="22">
        <v>1328.3690110437451</v>
      </c>
      <c r="S112" s="22">
        <v>1017.5651134275211</v>
      </c>
      <c r="T112" s="22">
        <v>914.67644691903695</v>
      </c>
      <c r="U112" s="22">
        <v>1447.9112474339306</v>
      </c>
      <c r="V112" s="22">
        <v>1263.4019893034997</v>
      </c>
      <c r="W112" s="22">
        <v>1217.4357899565925</v>
      </c>
      <c r="X112" s="22">
        <v>1180.1818937292605</v>
      </c>
      <c r="Y112" s="22">
        <v>1108.1395844539597</v>
      </c>
      <c r="Z112" s="22">
        <v>1121.7567904983002</v>
      </c>
      <c r="AA112" s="22">
        <v>1111.0832034573957</v>
      </c>
      <c r="AB112" s="22">
        <v>1002.2217969563279</v>
      </c>
      <c r="AC112" s="22">
        <v>980.55948658247996</v>
      </c>
      <c r="AD112" s="22">
        <v>1029.1314860411758</v>
      </c>
      <c r="AE112" s="22">
        <v>747.9095108761079</v>
      </c>
      <c r="AF112" s="22">
        <v>434.96704823788798</v>
      </c>
      <c r="AG112" s="22">
        <v>408.31943255002801</v>
      </c>
      <c r="AH112" s="22">
        <v>989.03967398644897</v>
      </c>
      <c r="AI112" s="22">
        <v>983.28512705702065</v>
      </c>
      <c r="AJ112" s="22">
        <v>967.27577435076694</v>
      </c>
      <c r="AK112" s="22">
        <v>951.32589869564811</v>
      </c>
      <c r="AL112" s="22">
        <v>951.82222399409432</v>
      </c>
      <c r="AM112" s="22">
        <v>954.41954409596531</v>
      </c>
      <c r="AN112" s="22">
        <v>930.44926853734853</v>
      </c>
      <c r="AO112" s="22">
        <v>912.78960790996337</v>
      </c>
      <c r="AP112" s="22">
        <v>898.22919868546933</v>
      </c>
      <c r="AQ112" s="22">
        <v>882.09325874190063</v>
      </c>
      <c r="AR112" s="22">
        <v>873.40235457932522</v>
      </c>
      <c r="AS112" s="22">
        <v>862.31073006877352</v>
      </c>
      <c r="AT112" s="22">
        <v>850.85907023504603</v>
      </c>
      <c r="AU112" s="22">
        <v>845.85323510737715</v>
      </c>
      <c r="AV112" s="22">
        <v>841.5016547924979</v>
      </c>
      <c r="AW112" s="22">
        <v>837.08693229819619</v>
      </c>
      <c r="AX112" s="22">
        <v>844.96547356760379</v>
      </c>
      <c r="AY112" s="22">
        <v>868.20013695114835</v>
      </c>
      <c r="AZ112" s="22">
        <v>894.24675120583186</v>
      </c>
      <c r="BA112" s="22">
        <v>889.12106883561182</v>
      </c>
      <c r="BB112" s="22">
        <v>884.02389968930368</v>
      </c>
      <c r="BC112" s="22">
        <v>879.52937488119107</v>
      </c>
      <c r="BD112" s="22">
        <v>875.64808458729772</v>
      </c>
      <c r="BE112" s="22">
        <v>871.49158854939481</v>
      </c>
      <c r="BF112" s="22">
        <v>866.96291161788429</v>
      </c>
      <c r="BG112" s="22">
        <v>863.4900838991623</v>
      </c>
      <c r="BH112" s="22">
        <v>860.78270440740164</v>
      </c>
      <c r="BI112" s="22">
        <v>858.70396634124506</v>
      </c>
      <c r="BJ112" s="22">
        <v>857.40507988521222</v>
      </c>
      <c r="BK112" s="22">
        <v>856.48577373147191</v>
      </c>
      <c r="BL112" s="22">
        <v>856.13590414360988</v>
      </c>
      <c r="BM112" s="22">
        <v>856.39584520938138</v>
      </c>
      <c r="BN112" s="22">
        <v>856.95995783585226</v>
      </c>
    </row>
    <row r="113" spans="5:66" x14ac:dyDescent="0.25">
      <c r="E113" t="s">
        <v>113</v>
      </c>
      <c r="F113" s="22">
        <v>357.5</v>
      </c>
      <c r="G113" s="22">
        <v>378.125</v>
      </c>
      <c r="H113" s="22">
        <v>261.25</v>
      </c>
      <c r="I113" s="22">
        <v>412.5</v>
      </c>
      <c r="J113" s="22">
        <v>595.58170833333327</v>
      </c>
      <c r="K113" s="22">
        <v>473.34145833333332</v>
      </c>
      <c r="L113" s="22">
        <v>579.13625000000002</v>
      </c>
      <c r="M113" s="22">
        <v>547.24312499999996</v>
      </c>
      <c r="N113" s="22">
        <v>570.31379166666659</v>
      </c>
      <c r="O113" s="22">
        <v>567.03808333333325</v>
      </c>
      <c r="P113" s="22">
        <v>378.2405</v>
      </c>
      <c r="Q113" s="22">
        <v>489.66362500000002</v>
      </c>
      <c r="R113" s="22">
        <v>672.79437500000006</v>
      </c>
      <c r="S113" s="22">
        <v>580.13175000000001</v>
      </c>
      <c r="T113" s="22">
        <v>579.7403333333333</v>
      </c>
      <c r="U113" s="22">
        <v>266.03683333333333</v>
      </c>
      <c r="V113" s="22">
        <v>441.42908333333332</v>
      </c>
      <c r="W113" s="22">
        <v>521.42108333333329</v>
      </c>
      <c r="X113" s="22">
        <v>655.32637499999998</v>
      </c>
      <c r="Y113" s="22">
        <v>695.56775237855516</v>
      </c>
      <c r="Z113" s="22">
        <v>653.23730656422072</v>
      </c>
      <c r="AA113" s="22">
        <v>722.61220387104663</v>
      </c>
      <c r="AB113" s="22">
        <v>829.6141641239476</v>
      </c>
      <c r="AC113" s="22">
        <v>749.65665536353811</v>
      </c>
      <c r="AD113" s="22">
        <v>773.17356970483502</v>
      </c>
      <c r="AE113" s="22">
        <v>780.22864400722403</v>
      </c>
      <c r="AF113" s="22">
        <v>982.47410734237747</v>
      </c>
      <c r="AG113" s="22">
        <v>1218.2311736138793</v>
      </c>
      <c r="AH113" s="22">
        <v>811.87988683203434</v>
      </c>
      <c r="AI113" s="22">
        <v>828.16067939806783</v>
      </c>
      <c r="AJ113" s="22">
        <v>843.63256429682531</v>
      </c>
      <c r="AK113" s="22">
        <v>859.17385233712901</v>
      </c>
      <c r="AL113" s="22">
        <v>874.71514028200966</v>
      </c>
      <c r="AM113" s="22">
        <v>890.25642822689031</v>
      </c>
      <c r="AN113" s="22">
        <v>905.79771617177096</v>
      </c>
      <c r="AO113" s="22">
        <v>921.33900421207466</v>
      </c>
      <c r="AP113" s="22">
        <v>937.31140020964233</v>
      </c>
      <c r="AQ113" s="22">
        <v>953.28379620720989</v>
      </c>
      <c r="AR113" s="22">
        <v>969.25619220477756</v>
      </c>
      <c r="AS113" s="22">
        <v>985.22858820234535</v>
      </c>
      <c r="AT113" s="22">
        <v>1001.2009841999131</v>
      </c>
      <c r="AU113" s="22">
        <v>1016.9832349872023</v>
      </c>
      <c r="AV113" s="22">
        <v>1032.7654856790691</v>
      </c>
      <c r="AW113" s="22">
        <v>1048.5477364663586</v>
      </c>
      <c r="AX113" s="22">
        <v>1064.3299871582253</v>
      </c>
      <c r="AY113" s="22">
        <v>1080.1122378500922</v>
      </c>
      <c r="AZ113" s="22">
        <v>1096.1072036429516</v>
      </c>
      <c r="BA113" s="22">
        <v>1112.1021694358108</v>
      </c>
      <c r="BB113" s="22">
        <v>1128.0971351332469</v>
      </c>
      <c r="BC113" s="22">
        <v>1144.092100926106</v>
      </c>
      <c r="BD113" s="22">
        <v>1160.0870667189654</v>
      </c>
      <c r="BE113" s="22">
        <v>1176.8778874608386</v>
      </c>
      <c r="BF113" s="22">
        <v>1193.6687081072885</v>
      </c>
      <c r="BG113" s="22">
        <v>1210.4595288491616</v>
      </c>
      <c r="BH113" s="22">
        <v>1227.2503495910348</v>
      </c>
      <c r="BI113" s="22">
        <v>1244.0411703329078</v>
      </c>
      <c r="BJ113" s="22">
        <v>1260.6054327894071</v>
      </c>
      <c r="BK113" s="22">
        <v>1277.169695245907</v>
      </c>
      <c r="BL113" s="22">
        <v>1293.7339577978294</v>
      </c>
      <c r="BM113" s="22">
        <v>1310.2982202543287</v>
      </c>
      <c r="BN113" s="22">
        <v>1326.8624827108285</v>
      </c>
    </row>
    <row r="114" spans="5:66" x14ac:dyDescent="0.25">
      <c r="E114" t="s">
        <v>642</v>
      </c>
      <c r="F114" s="22">
        <v>90.994567483487728</v>
      </c>
      <c r="G114" s="22">
        <v>111.62690198838213</v>
      </c>
      <c r="H114" s="22">
        <v>132.25923649327655</v>
      </c>
      <c r="I114" s="22">
        <v>152.89157099816552</v>
      </c>
      <c r="J114" s="22">
        <v>173.52390550305992</v>
      </c>
      <c r="K114" s="22">
        <v>194.15624000795432</v>
      </c>
      <c r="L114" s="22">
        <v>214.78857451284878</v>
      </c>
      <c r="M114" s="22">
        <v>235.42090901774316</v>
      </c>
      <c r="N114" s="22">
        <v>256.05324352263762</v>
      </c>
      <c r="O114" s="22">
        <v>276.68557802753202</v>
      </c>
      <c r="P114" s="22">
        <v>297.31791253242642</v>
      </c>
      <c r="Q114" s="22">
        <v>317.95024703732088</v>
      </c>
      <c r="R114" s="22">
        <v>338.58258154220977</v>
      </c>
      <c r="S114" s="22">
        <v>359.21491604710423</v>
      </c>
      <c r="T114" s="22">
        <v>435.89846666666671</v>
      </c>
      <c r="U114" s="22">
        <v>355.08659999999998</v>
      </c>
      <c r="V114" s="22">
        <v>393.08573333333334</v>
      </c>
      <c r="W114" s="22">
        <v>484.55366666666663</v>
      </c>
      <c r="X114" s="22">
        <v>480.19253333333336</v>
      </c>
      <c r="Y114" s="22">
        <v>380.54426666666666</v>
      </c>
      <c r="Z114" s="22">
        <v>501.48046666666664</v>
      </c>
      <c r="AA114" s="22">
        <v>571.19113333333337</v>
      </c>
      <c r="AB114" s="22">
        <v>587.22106666666662</v>
      </c>
      <c r="AC114" s="22">
        <v>533.06336966666674</v>
      </c>
      <c r="AD114" s="22">
        <v>663.77159200000006</v>
      </c>
      <c r="AE114" s="22">
        <v>486.09938600666663</v>
      </c>
      <c r="AF114" s="22">
        <v>643.60119999999995</v>
      </c>
      <c r="AG114" s="22">
        <v>679.61446666666666</v>
      </c>
      <c r="AH114" s="22">
        <v>581.01044193354528</v>
      </c>
      <c r="AI114" s="22">
        <v>596.09913131599728</v>
      </c>
      <c r="AJ114" s="22">
        <v>610.43814242074211</v>
      </c>
      <c r="AK114" s="22">
        <v>624.84147486861002</v>
      </c>
      <c r="AL114" s="22">
        <v>639.24480722804208</v>
      </c>
      <c r="AM114" s="22">
        <v>653.64813958747379</v>
      </c>
      <c r="AN114" s="22">
        <v>668.05147194690596</v>
      </c>
      <c r="AO114" s="22">
        <v>682.45480439477376</v>
      </c>
      <c r="AP114" s="22">
        <v>697.25767845163148</v>
      </c>
      <c r="AQ114" s="22">
        <v>712.06055250848885</v>
      </c>
      <c r="AR114" s="22">
        <v>726.86342656534669</v>
      </c>
      <c r="AS114" s="22">
        <v>741.66630062220418</v>
      </c>
      <c r="AT114" s="22">
        <v>756.46917467906189</v>
      </c>
      <c r="AU114" s="22">
        <v>771.09582623300321</v>
      </c>
      <c r="AV114" s="22">
        <v>785.72247769850878</v>
      </c>
      <c r="AW114" s="22">
        <v>800.34912925244987</v>
      </c>
      <c r="AX114" s="22">
        <v>814.97578071795544</v>
      </c>
      <c r="AY114" s="22">
        <v>829.60243218346091</v>
      </c>
      <c r="AZ114" s="22">
        <v>844.42622344254914</v>
      </c>
      <c r="BA114" s="22">
        <v>859.2500147016375</v>
      </c>
      <c r="BB114" s="22">
        <v>874.07380587229011</v>
      </c>
      <c r="BC114" s="22">
        <v>888.89759713137823</v>
      </c>
      <c r="BD114" s="22">
        <v>903.72138839046647</v>
      </c>
      <c r="BE114" s="22">
        <v>919.28276094791306</v>
      </c>
      <c r="BF114" s="22">
        <v>934.8441334169238</v>
      </c>
      <c r="BG114" s="22">
        <v>950.40550597437027</v>
      </c>
      <c r="BH114" s="22">
        <v>965.96687853181686</v>
      </c>
      <c r="BI114" s="22">
        <v>981.52825108926322</v>
      </c>
      <c r="BJ114" s="22">
        <v>996.87965428673249</v>
      </c>
      <c r="BK114" s="22">
        <v>1012.231057484201</v>
      </c>
      <c r="BL114" s="22">
        <v>1027.5824607701059</v>
      </c>
      <c r="BM114" s="22">
        <v>1042.9338639675743</v>
      </c>
      <c r="BN114" s="22">
        <v>1058.2852671650435</v>
      </c>
    </row>
    <row r="115" spans="5:66" x14ac:dyDescent="0.25">
      <c r="E115" t="s">
        <v>643</v>
      </c>
      <c r="F115" s="22">
        <v>19504.904423790304</v>
      </c>
      <c r="G115" s="22">
        <v>20660.917389673377</v>
      </c>
      <c r="H115" s="22">
        <v>20413.635505827424</v>
      </c>
      <c r="I115" s="22">
        <v>20401.840953256564</v>
      </c>
      <c r="J115" s="22">
        <v>20005.189321068094</v>
      </c>
      <c r="K115" s="22">
        <v>19413.178172066404</v>
      </c>
      <c r="L115" s="22">
        <v>20236.165839433314</v>
      </c>
      <c r="M115" s="22">
        <v>20567.076909773743</v>
      </c>
      <c r="N115" s="22">
        <v>20477.475675482336</v>
      </c>
      <c r="O115" s="22">
        <v>20440.765105122711</v>
      </c>
      <c r="P115" s="22">
        <v>20694.986539568359</v>
      </c>
      <c r="Q115" s="22">
        <v>19970.885013290266</v>
      </c>
      <c r="R115" s="22">
        <v>20364.171552574975</v>
      </c>
      <c r="S115" s="22">
        <v>20058.54412967978</v>
      </c>
      <c r="T115" s="22">
        <v>19708.290781864089</v>
      </c>
      <c r="U115" s="22">
        <v>19400.216324542769</v>
      </c>
      <c r="V115" s="22">
        <v>19051.161605532838</v>
      </c>
      <c r="W115" s="22">
        <v>19933.38774514115</v>
      </c>
      <c r="X115" s="22">
        <v>20282.655015129261</v>
      </c>
      <c r="Y115" s="22">
        <v>20068.349414068991</v>
      </c>
      <c r="Z115" s="22">
        <v>19848.964864156231</v>
      </c>
      <c r="AA115" s="22">
        <v>19725.318772611696</v>
      </c>
      <c r="AB115" s="22">
        <v>20225.965895215482</v>
      </c>
      <c r="AC115" s="22">
        <v>20168.260387452727</v>
      </c>
      <c r="AD115" s="22">
        <v>20134.219305294246</v>
      </c>
      <c r="AE115" s="22">
        <v>19667.183224832243</v>
      </c>
      <c r="AF115" s="22">
        <v>18969.40439195502</v>
      </c>
      <c r="AG115" s="22">
        <v>19186.386775060691</v>
      </c>
      <c r="AH115" s="22">
        <v>19753.029018517012</v>
      </c>
      <c r="AI115" s="22">
        <v>19783.906857628604</v>
      </c>
      <c r="AJ115" s="22">
        <v>19779.701574173283</v>
      </c>
      <c r="AK115" s="22">
        <v>19778.904215576487</v>
      </c>
      <c r="AL115" s="22">
        <v>19777.995181996146</v>
      </c>
      <c r="AM115" s="22">
        <v>19776.984421077901</v>
      </c>
      <c r="AN115" s="22">
        <v>19775.880594293696</v>
      </c>
      <c r="AO115" s="22">
        <v>19774.691289095183</v>
      </c>
      <c r="AP115" s="22">
        <v>19775.119562820179</v>
      </c>
      <c r="AQ115" s="22">
        <v>19775.477408932729</v>
      </c>
      <c r="AR115" s="22">
        <v>19775.769943136052</v>
      </c>
      <c r="AS115" s="22">
        <v>19776.001736032402</v>
      </c>
      <c r="AT115" s="22">
        <v>19776.176888033733</v>
      </c>
      <c r="AU115" s="22">
        <v>19775.548399840234</v>
      </c>
      <c r="AV115" s="22">
        <v>19774.869408512444</v>
      </c>
      <c r="AW115" s="22">
        <v>19774.142986120893</v>
      </c>
      <c r="AX115" s="22">
        <v>19773.371926377677</v>
      </c>
      <c r="AY115" s="22">
        <v>19772.558779923431</v>
      </c>
      <c r="AZ115" s="22">
        <v>19772.548026839973</v>
      </c>
      <c r="BA115" s="22">
        <v>19772.500515214859</v>
      </c>
      <c r="BB115" s="22">
        <v>19772.418179134187</v>
      </c>
      <c r="BC115" s="22">
        <v>19772.302803273826</v>
      </c>
      <c r="BD115" s="22">
        <v>19772.156036103148</v>
      </c>
      <c r="BE115" s="22">
        <v>19775.137703889606</v>
      </c>
      <c r="BF115" s="22">
        <v>19778.093650274055</v>
      </c>
      <c r="BG115" s="22">
        <v>19781.025091887313</v>
      </c>
      <c r="BH115" s="22">
        <v>19783.933160775436</v>
      </c>
      <c r="BI115" s="22">
        <v>19786.818913472423</v>
      </c>
      <c r="BJ115" s="22">
        <v>19788.782445242443</v>
      </c>
      <c r="BK115" s="22">
        <v>19790.724893801369</v>
      </c>
      <c r="BL115" s="22">
        <v>19792.647148841716</v>
      </c>
      <c r="BM115" s="22">
        <v>19794.550044580425</v>
      </c>
      <c r="BN115" s="22">
        <v>19796.434366442383</v>
      </c>
    </row>
    <row r="116" spans="5:66" x14ac:dyDescent="0.25">
      <c r="E116" t="s">
        <v>645</v>
      </c>
      <c r="F116" s="22">
        <v>2388.0102035123605</v>
      </c>
      <c r="G116" s="22">
        <v>2422.3649563517615</v>
      </c>
      <c r="H116" s="22">
        <v>2366.0160295258652</v>
      </c>
      <c r="I116" s="22">
        <v>2332.024314033295</v>
      </c>
      <c r="J116" s="22">
        <v>2269.8856393890724</v>
      </c>
      <c r="K116" s="22">
        <v>2257.3551747657566</v>
      </c>
      <c r="L116" s="22">
        <v>2332.8794219128258</v>
      </c>
      <c r="M116" s="22">
        <v>2353.4608848045295</v>
      </c>
      <c r="N116" s="22">
        <v>2375.1086873788704</v>
      </c>
      <c r="O116" s="22">
        <v>2369.8122167060246</v>
      </c>
      <c r="P116" s="22">
        <v>2379.1334621159244</v>
      </c>
      <c r="Q116" s="22">
        <v>2332.4757077458062</v>
      </c>
      <c r="R116" s="22">
        <v>2352.5031586422174</v>
      </c>
      <c r="S116" s="22">
        <v>2317.0522227606916</v>
      </c>
      <c r="T116" s="22">
        <v>2291.1004488983099</v>
      </c>
      <c r="U116" s="22">
        <v>2260.716684821874</v>
      </c>
      <c r="V116" s="22">
        <v>2276.1004128580194</v>
      </c>
      <c r="W116" s="22">
        <v>2334.5451499588221</v>
      </c>
      <c r="X116" s="22">
        <v>2364.8401504898161</v>
      </c>
      <c r="Y116" s="22">
        <v>2357.3087175615215</v>
      </c>
      <c r="Z116" s="22">
        <v>2316.7336232801035</v>
      </c>
      <c r="AA116" s="22">
        <v>2313.3914976011652</v>
      </c>
      <c r="AB116" s="22">
        <v>2334.0985551108756</v>
      </c>
      <c r="AC116" s="22">
        <v>2348.8400209329502</v>
      </c>
      <c r="AD116" s="22">
        <v>2344.4692750460258</v>
      </c>
      <c r="AE116" s="22">
        <v>2299.7650755104332</v>
      </c>
      <c r="AF116" s="22">
        <v>2252.6390591444524</v>
      </c>
      <c r="AG116" s="22">
        <v>2235.452591217253</v>
      </c>
      <c r="AH116" s="22">
        <v>2318.6708655488487</v>
      </c>
      <c r="AI116" s="22">
        <v>2326.0988391477244</v>
      </c>
      <c r="AJ116" s="22">
        <v>2329.177625426456</v>
      </c>
      <c r="AK116" s="22">
        <v>2333.0242915983672</v>
      </c>
      <c r="AL116" s="22">
        <v>2336.8440320658519</v>
      </c>
      <c r="AM116" s="22">
        <v>2340.639256805041</v>
      </c>
      <c r="AN116" s="22">
        <v>2344.4120677609794</v>
      </c>
      <c r="AO116" s="22">
        <v>2348.1643090770926</v>
      </c>
      <c r="AP116" s="22">
        <v>2352.2228962152631</v>
      </c>
      <c r="AQ116" s="22">
        <v>2356.2646437004828</v>
      </c>
      <c r="AR116" s="22">
        <v>2360.2907919866634</v>
      </c>
      <c r="AS116" s="22">
        <v>2364.3024503005117</v>
      </c>
      <c r="AT116" s="22">
        <v>2368.3006144703381</v>
      </c>
      <c r="AU116" s="22">
        <v>2372.1420454436102</v>
      </c>
      <c r="AV116" s="22">
        <v>2375.9714551742882</v>
      </c>
      <c r="AW116" s="22">
        <v>2379.7895929910815</v>
      </c>
      <c r="AX116" s="22">
        <v>2383.5971404881425</v>
      </c>
      <c r="AY116" s="22">
        <v>2387.3947198876349</v>
      </c>
      <c r="AZ116" s="22">
        <v>2391.3447618385985</v>
      </c>
      <c r="BA116" s="22">
        <v>2395.2861478850841</v>
      </c>
      <c r="BB116" s="22">
        <v>2399.2193476668131</v>
      </c>
      <c r="BC116" s="22">
        <v>2403.1447942638629</v>
      </c>
      <c r="BD116" s="22">
        <v>2407.0628875054431</v>
      </c>
      <c r="BE116" s="22">
        <v>2411.5815060623418</v>
      </c>
      <c r="BF116" s="22">
        <v>2416.0941731688263</v>
      </c>
      <c r="BG116" s="22">
        <v>2420.6011787744819</v>
      </c>
      <c r="BH116" s="22">
        <v>2425.1027925074882</v>
      </c>
      <c r="BI116" s="22">
        <v>2429.5992657799802</v>
      </c>
      <c r="BJ116" s="22">
        <v>2433.9174402150056</v>
      </c>
      <c r="BK116" s="22">
        <v>2438.2307601014945</v>
      </c>
      <c r="BL116" s="22">
        <v>2442.5394374527291</v>
      </c>
      <c r="BM116" s="22">
        <v>2446.8436708840272</v>
      </c>
      <c r="BN116" s="22">
        <v>2451.1436471198567</v>
      </c>
    </row>
    <row r="117" spans="5:66" x14ac:dyDescent="0.25">
      <c r="E117" t="s">
        <v>644</v>
      </c>
      <c r="F117" s="22">
        <v>343.10330161578099</v>
      </c>
      <c r="G117" s="22">
        <v>365.58614133033353</v>
      </c>
      <c r="H117" s="22">
        <v>339.91114682728761</v>
      </c>
      <c r="I117" s="22">
        <v>352.62601984444137</v>
      </c>
      <c r="J117" s="22">
        <v>336.24824053022888</v>
      </c>
      <c r="K117" s="22">
        <v>354.90652971327108</v>
      </c>
      <c r="L117" s="22">
        <v>370.7282945162878</v>
      </c>
      <c r="M117" s="22">
        <v>367.33263044382841</v>
      </c>
      <c r="N117" s="22">
        <v>376.31467332854538</v>
      </c>
      <c r="O117" s="22">
        <v>380.26274683162796</v>
      </c>
      <c r="P117" s="22">
        <v>420.72277135231604</v>
      </c>
      <c r="Q117" s="22">
        <v>418.37207720994593</v>
      </c>
      <c r="R117" s="22">
        <v>406.12517665445523</v>
      </c>
      <c r="S117" s="22">
        <v>385.62180744131297</v>
      </c>
      <c r="T117" s="22">
        <v>383.11027791084422</v>
      </c>
      <c r="U117" s="22">
        <v>402.62502084090437</v>
      </c>
      <c r="V117" s="22">
        <v>407.68948429226828</v>
      </c>
      <c r="W117" s="22">
        <v>415.77221135959962</v>
      </c>
      <c r="X117" s="22">
        <v>450.38785912632164</v>
      </c>
      <c r="Y117" s="22">
        <v>447.90280780802436</v>
      </c>
      <c r="Z117" s="22">
        <v>450.47531382738657</v>
      </c>
      <c r="AA117" s="22">
        <v>455.70252815125627</v>
      </c>
      <c r="AB117" s="22">
        <v>454.2990120208886</v>
      </c>
      <c r="AC117" s="22">
        <v>467.1027930484243</v>
      </c>
      <c r="AD117" s="22">
        <v>463.97224881283108</v>
      </c>
      <c r="AE117" s="22">
        <v>471.70799949786652</v>
      </c>
      <c r="AF117" s="22">
        <v>471.14622162385422</v>
      </c>
      <c r="AG117" s="22">
        <v>483.13167606001025</v>
      </c>
      <c r="AH117" s="22">
        <v>468.97422378872818</v>
      </c>
      <c r="AI117" s="22">
        <v>475.2249218374152</v>
      </c>
      <c r="AJ117" s="22">
        <v>478.65003949368145</v>
      </c>
      <c r="AK117" s="22">
        <v>483.65498664992003</v>
      </c>
      <c r="AL117" s="22">
        <v>488.60759728253828</v>
      </c>
      <c r="AM117" s="22">
        <v>493.5128571299885</v>
      </c>
      <c r="AN117" s="22">
        <v>498.37510389742414</v>
      </c>
      <c r="AO117" s="22">
        <v>503.19813309399137</v>
      </c>
      <c r="AP117" s="22">
        <v>508.15424956126054</v>
      </c>
      <c r="AQ117" s="22">
        <v>513.07909238907621</v>
      </c>
      <c r="AR117" s="22">
        <v>517.97517053522256</v>
      </c>
      <c r="AS117" s="22">
        <v>522.84471928557002</v>
      </c>
      <c r="AT117" s="22">
        <v>527.6897377871494</v>
      </c>
      <c r="AU117" s="22">
        <v>532.43584846049509</v>
      </c>
      <c r="AV117" s="22">
        <v>537.16025527304782</v>
      </c>
      <c r="AW117" s="22">
        <v>541.86445238147269</v>
      </c>
      <c r="AX117" s="22">
        <v>546.54979385461331</v>
      </c>
      <c r="AY117" s="22">
        <v>551.21751045982899</v>
      </c>
      <c r="AZ117" s="22">
        <v>555.95546154582189</v>
      </c>
      <c r="BA117" s="22">
        <v>560.67847366596118</v>
      </c>
      <c r="BB117" s="22">
        <v>565.38745674669474</v>
      </c>
      <c r="BC117" s="22">
        <v>570.0832456614994</v>
      </c>
      <c r="BD117" s="22">
        <v>574.76660781803753</v>
      </c>
      <c r="BE117" s="22">
        <v>579.76740432819008</v>
      </c>
      <c r="BF117" s="22">
        <v>584.75875710576554</v>
      </c>
      <c r="BG117" s="22">
        <v>589.74119153472066</v>
      </c>
      <c r="BH117" s="22">
        <v>594.71519356554461</v>
      </c>
      <c r="BI117" s="22">
        <v>599.68121356374206</v>
      </c>
      <c r="BJ117" s="22">
        <v>604.54493484405009</v>
      </c>
      <c r="BK117" s="22">
        <v>609.40109743030723</v>
      </c>
      <c r="BL117" s="22">
        <v>614.25008012470573</v>
      </c>
      <c r="BM117" s="22">
        <v>619.09223605574277</v>
      </c>
      <c r="BN117" s="22">
        <v>623.92789508309704</v>
      </c>
    </row>
    <row r="118" spans="5:66" x14ac:dyDescent="0.25">
      <c r="E118" t="s">
        <v>748</v>
      </c>
      <c r="F118">
        <v>1114.2730572677472</v>
      </c>
      <c r="G118">
        <v>1114.2730572677472</v>
      </c>
      <c r="H118">
        <v>1114.2730572677472</v>
      </c>
      <c r="I118">
        <v>1114.2730572677472</v>
      </c>
      <c r="J118">
        <v>1114.2730572677472</v>
      </c>
      <c r="K118">
        <v>1114.2730572677472</v>
      </c>
      <c r="L118">
        <v>1114.2730572677472</v>
      </c>
      <c r="M118">
        <v>1114.2730572677472</v>
      </c>
      <c r="N118">
        <v>1114.2730572677472</v>
      </c>
      <c r="O118">
        <v>1114.2730572677472</v>
      </c>
      <c r="P118">
        <v>1103.7473247333526</v>
      </c>
      <c r="Q118">
        <v>1295.1615779672622</v>
      </c>
      <c r="R118">
        <v>1300.4179901779976</v>
      </c>
      <c r="S118">
        <v>1021.2239026078485</v>
      </c>
      <c r="T118">
        <v>890.95637702591955</v>
      </c>
      <c r="U118">
        <v>1429.3697355873492</v>
      </c>
      <c r="V118">
        <v>1251.7694565972624</v>
      </c>
      <c r="W118">
        <v>1234.9730242836924</v>
      </c>
      <c r="X118">
        <v>1150.1284038185643</v>
      </c>
      <c r="Y118">
        <v>1091.261696265384</v>
      </c>
      <c r="Z118">
        <v>1116.957250242162</v>
      </c>
      <c r="AA118">
        <v>1100.5811063069254</v>
      </c>
      <c r="AB118">
        <v>1010.9312887182766</v>
      </c>
      <c r="AC118">
        <v>956.65662263461502</v>
      </c>
      <c r="AD118">
        <v>1024.1532025090505</v>
      </c>
      <c r="AE118">
        <v>742.78507159014475</v>
      </c>
      <c r="AF118">
        <v>448.47103409650083</v>
      </c>
      <c r="AG118">
        <v>418.78097085765791</v>
      </c>
    </row>
    <row r="119" spans="5:66" x14ac:dyDescent="0.25">
      <c r="E119" t="s">
        <v>749</v>
      </c>
      <c r="F119">
        <v>1149.6141682079121</v>
      </c>
      <c r="G119">
        <v>1149.6141682079121</v>
      </c>
      <c r="H119">
        <v>1149.6141682079121</v>
      </c>
      <c r="I119">
        <v>1149.6141682079121</v>
      </c>
      <c r="J119">
        <v>1149.6141682079121</v>
      </c>
      <c r="K119">
        <v>1149.6141682079121</v>
      </c>
      <c r="L119">
        <v>1149.6141682079121</v>
      </c>
      <c r="M119">
        <v>1149.6141682079121</v>
      </c>
      <c r="N119">
        <v>1149.6141682079121</v>
      </c>
      <c r="O119">
        <v>1149.6141682079121</v>
      </c>
      <c r="P119">
        <v>1138.5083728727629</v>
      </c>
      <c r="Q119">
        <v>1348.0477860975932</v>
      </c>
      <c r="R119">
        <v>1328.8199324792706</v>
      </c>
      <c r="S119">
        <v>1017.846389296701</v>
      </c>
      <c r="T119">
        <v>914.84836029323264</v>
      </c>
      <c r="U119">
        <v>1448.2029822975244</v>
      </c>
      <c r="V119">
        <v>1263.6284316097351</v>
      </c>
      <c r="W119">
        <v>1217.6306521923173</v>
      </c>
      <c r="X119">
        <v>1180.4178811371937</v>
      </c>
      <c r="Y119">
        <v>1108.455283615433</v>
      </c>
      <c r="Z119">
        <v>1122.512590663056</v>
      </c>
      <c r="AA119">
        <v>1111.8425729905728</v>
      </c>
      <c r="AB119">
        <v>1003.2623700366383</v>
      </c>
      <c r="AC119">
        <v>980.98785105992999</v>
      </c>
      <c r="AD119">
        <v>1029.413853897383</v>
      </c>
      <c r="AE119">
        <v>748.29527463252236</v>
      </c>
      <c r="AF119">
        <v>435.50232253439043</v>
      </c>
      <c r="AG119">
        <v>408.72643283393637</v>
      </c>
    </row>
    <row r="120" spans="5:66" x14ac:dyDescent="0.25">
      <c r="E120" t="s">
        <v>750</v>
      </c>
      <c r="F120">
        <v>363.73333333333335</v>
      </c>
      <c r="G120">
        <v>386.1</v>
      </c>
      <c r="H120">
        <v>266.2</v>
      </c>
      <c r="I120">
        <v>413.6</v>
      </c>
      <c r="J120">
        <v>603.75919999999996</v>
      </c>
      <c r="K120">
        <v>481.52980333333335</v>
      </c>
      <c r="L120">
        <v>588.48859666666669</v>
      </c>
      <c r="M120">
        <v>556.65125999999998</v>
      </c>
      <c r="N120">
        <v>581.37815999999998</v>
      </c>
      <c r="O120">
        <v>577.08170666666672</v>
      </c>
      <c r="P120">
        <v>384.05253333333332</v>
      </c>
      <c r="Q120">
        <v>497.15031666666664</v>
      </c>
      <c r="R120">
        <v>683.69223999999997</v>
      </c>
      <c r="S120">
        <v>585.99346666666668</v>
      </c>
      <c r="T120">
        <v>585.5420633333332</v>
      </c>
      <c r="U120">
        <v>267.37941999999998</v>
      </c>
      <c r="V120">
        <v>445.96068000000002</v>
      </c>
      <c r="W120">
        <v>524.87031666666667</v>
      </c>
      <c r="X120">
        <v>658.9218166666667</v>
      </c>
      <c r="Y120">
        <v>701.39039489690549</v>
      </c>
      <c r="Z120">
        <v>659.21936851962221</v>
      </c>
      <c r="AA120">
        <v>728.33299508239213</v>
      </c>
      <c r="AB120">
        <v>834.93197842496943</v>
      </c>
      <c r="AC120">
        <v>755.27559526787866</v>
      </c>
      <c r="AD120">
        <v>778.70394325525831</v>
      </c>
      <c r="AE120">
        <v>785.73244765147194</v>
      </c>
      <c r="AF120">
        <v>987.21624034293666</v>
      </c>
      <c r="AG120">
        <v>1222.085428916417</v>
      </c>
    </row>
    <row r="121" spans="5:66" x14ac:dyDescent="0.25">
      <c r="E121" t="s">
        <v>751</v>
      </c>
      <c r="F121">
        <v>90.994567483487728</v>
      </c>
      <c r="G121">
        <v>111.62690198838213</v>
      </c>
      <c r="H121">
        <v>132.25923649327655</v>
      </c>
      <c r="I121">
        <v>152.89157099816552</v>
      </c>
      <c r="J121">
        <v>173.52390550305992</v>
      </c>
      <c r="K121">
        <v>194.15624000795432</v>
      </c>
      <c r="L121">
        <v>214.78857451284878</v>
      </c>
      <c r="M121">
        <v>235.42090901774316</v>
      </c>
      <c r="N121">
        <v>256.05324352263756</v>
      </c>
      <c r="O121">
        <v>276.68557802753202</v>
      </c>
      <c r="P121">
        <v>297.31791253242642</v>
      </c>
      <c r="Q121">
        <v>317.95024703732088</v>
      </c>
      <c r="R121">
        <v>338.58258154220977</v>
      </c>
      <c r="S121">
        <v>359.21491604710423</v>
      </c>
      <c r="T121">
        <v>435.89846666666665</v>
      </c>
      <c r="U121">
        <v>355.08659999999998</v>
      </c>
      <c r="V121">
        <v>393.08573333333334</v>
      </c>
      <c r="W121">
        <v>484.55366666666663</v>
      </c>
      <c r="X121">
        <v>480.1925333333333</v>
      </c>
      <c r="Y121">
        <v>380.54426666666666</v>
      </c>
      <c r="Z121">
        <v>501.48046666666664</v>
      </c>
      <c r="AA121">
        <v>571.19113333333325</v>
      </c>
      <c r="AB121">
        <v>587.22106666666662</v>
      </c>
      <c r="AC121">
        <v>533.06336966666674</v>
      </c>
      <c r="AD121">
        <v>663.77159200000006</v>
      </c>
      <c r="AE121">
        <v>486.09938600666663</v>
      </c>
      <c r="AF121">
        <v>643.60119999999995</v>
      </c>
      <c r="AG121">
        <v>679.61446666666666</v>
      </c>
    </row>
    <row r="122" spans="5:66" x14ac:dyDescent="0.25">
      <c r="E122" t="s">
        <v>752</v>
      </c>
      <c r="F122">
        <v>18467.2344176074</v>
      </c>
      <c r="G122">
        <v>19894.379979012047</v>
      </c>
      <c r="H122">
        <v>19508.057170250366</v>
      </c>
      <c r="I122">
        <v>19296.286149483876</v>
      </c>
      <c r="J122">
        <v>18829.799299341739</v>
      </c>
      <c r="K122">
        <v>18816.693751205934</v>
      </c>
      <c r="L122">
        <v>19386.372113208152</v>
      </c>
      <c r="M122">
        <v>19675.368284891847</v>
      </c>
      <c r="N122">
        <v>19967.155293555603</v>
      </c>
      <c r="O122">
        <v>20038.391547786159</v>
      </c>
      <c r="P122">
        <v>20072.524975980316</v>
      </c>
      <c r="Q122">
        <v>19701.088061992123</v>
      </c>
      <c r="R122">
        <v>20023.216099759749</v>
      </c>
      <c r="S122">
        <v>19072.340993484708</v>
      </c>
      <c r="T122">
        <v>18849.389549512067</v>
      </c>
      <c r="U122">
        <v>18446.259485586925</v>
      </c>
      <c r="V122">
        <v>18589.571736189206</v>
      </c>
      <c r="W122">
        <v>18224.734436942501</v>
      </c>
      <c r="X122">
        <v>19088.198147813157</v>
      </c>
      <c r="Y122">
        <v>18553.028011451712</v>
      </c>
      <c r="Z122">
        <v>18939.805460502525</v>
      </c>
      <c r="AA122">
        <v>18994.993526805851</v>
      </c>
      <c r="AB122">
        <v>18278.302953548075</v>
      </c>
      <c r="AC122">
        <v>19582.342769355033</v>
      </c>
      <c r="AD122">
        <v>19570.475186144038</v>
      </c>
      <c r="AE122">
        <v>19327.673861761683</v>
      </c>
      <c r="AF122">
        <v>18029.075027657447</v>
      </c>
      <c r="AG122">
        <v>18081.049004423898</v>
      </c>
    </row>
    <row r="123" spans="5:66" x14ac:dyDescent="0.25">
      <c r="E123" t="s">
        <v>753</v>
      </c>
      <c r="F123">
        <v>2447.8863951470803</v>
      </c>
      <c r="G123">
        <v>2496.9018451868697</v>
      </c>
      <c r="H123">
        <v>2435.3630625952328</v>
      </c>
      <c r="I123">
        <v>2396.995208451192</v>
      </c>
      <c r="J123">
        <v>2325.2582722477832</v>
      </c>
      <c r="K123">
        <v>2349.1668279124592</v>
      </c>
      <c r="L123">
        <v>2406.4403578126485</v>
      </c>
      <c r="M123">
        <v>2433.097951693017</v>
      </c>
      <c r="N123">
        <v>2471.2628832175142</v>
      </c>
      <c r="O123">
        <v>2472.2132034057472</v>
      </c>
      <c r="P123">
        <v>2480.4922407158388</v>
      </c>
      <c r="Q123">
        <v>2454.0922943343203</v>
      </c>
      <c r="R123">
        <v>2476.3439129367157</v>
      </c>
      <c r="S123">
        <v>2359.3324950161041</v>
      </c>
      <c r="T123">
        <v>2347.4845744803165</v>
      </c>
      <c r="U123">
        <v>2284.6952992295182</v>
      </c>
      <c r="V123">
        <v>2357.5665947783837</v>
      </c>
      <c r="W123">
        <v>2297.5662221729922</v>
      </c>
      <c r="X123">
        <v>2380.9463845396517</v>
      </c>
      <c r="Y123">
        <v>2329.35287655092</v>
      </c>
      <c r="Z123">
        <v>2369.3465541862302</v>
      </c>
      <c r="AA123">
        <v>2370.4305491547971</v>
      </c>
      <c r="AB123">
        <v>2269.153208313021</v>
      </c>
      <c r="AC123">
        <v>2431.7524623901409</v>
      </c>
      <c r="AD123">
        <v>2430.5768400701409</v>
      </c>
      <c r="AE123">
        <v>2407.0023766672321</v>
      </c>
      <c r="AF123">
        <v>2265.174978621726</v>
      </c>
      <c r="AG123">
        <v>2253.2585636522972</v>
      </c>
    </row>
    <row r="124" spans="5:66" x14ac:dyDescent="0.25">
      <c r="E124" t="s">
        <v>754</v>
      </c>
      <c r="F124">
        <v>332.77730613860399</v>
      </c>
      <c r="G124">
        <v>353.03457691007083</v>
      </c>
      <c r="H124">
        <v>329.75336223257443</v>
      </c>
      <c r="I124">
        <v>341.70939722274608</v>
      </c>
      <c r="J124">
        <v>326.52853902593881</v>
      </c>
      <c r="K124">
        <v>344.58323593662567</v>
      </c>
      <c r="L124">
        <v>360.27670046049241</v>
      </c>
      <c r="M124">
        <v>357.64284080532752</v>
      </c>
      <c r="N124">
        <v>367.73848791261435</v>
      </c>
      <c r="O124">
        <v>372.0452384281258</v>
      </c>
      <c r="P124">
        <v>408.94308689508148</v>
      </c>
      <c r="Q124">
        <v>406.68937516322404</v>
      </c>
      <c r="R124">
        <v>397.06973777083419</v>
      </c>
      <c r="S124">
        <v>376.09010924780205</v>
      </c>
      <c r="T124">
        <v>374.09743931517124</v>
      </c>
      <c r="U124">
        <v>392.69820864834276</v>
      </c>
      <c r="V124">
        <v>398.35557315486267</v>
      </c>
      <c r="W124">
        <v>404.14478384272525</v>
      </c>
      <c r="X124">
        <v>438.4751035531649</v>
      </c>
      <c r="Y124">
        <v>433.26067452840772</v>
      </c>
      <c r="Z124">
        <v>438.54251424027257</v>
      </c>
      <c r="AA124">
        <v>444.74604882624305</v>
      </c>
      <c r="AB124">
        <v>440.60780254144959</v>
      </c>
      <c r="AC124">
        <v>456.58226294187887</v>
      </c>
      <c r="AD124">
        <v>454.87268271519412</v>
      </c>
      <c r="AE124">
        <v>463.54275866618883</v>
      </c>
      <c r="AF124">
        <v>458.22071963845576</v>
      </c>
      <c r="AG124">
        <v>469.34598780544559</v>
      </c>
    </row>
  </sheetData>
  <pageMargins left="0.7" right="0.7" top="0.75" bottom="0.75" header="0.3" footer="0.3"/>
  <pageSetup paperSize="9" orientation="portrait" r:id="rId1"/>
  <drawing r:id="rId2"/>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'Emissions summary'!F5:AG5</xm:f>
              <xm:sqref>BP5</xm:sqref>
            </x14:sparkline>
          </x14:sparklines>
        </x14:sparklineGroup>
      </x14:sparklineGroup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E66F2049731D4C8B4BE33A6B873590" ma:contentTypeVersion="7" ma:contentTypeDescription="Create a new document." ma:contentTypeScope="" ma:versionID="e0ed1ea337bec2590f97fde472945193">
  <xsd:schema xmlns:xsd="http://www.w3.org/2001/XMLSchema" xmlns:xs="http://www.w3.org/2001/XMLSchema" xmlns:p="http://schemas.microsoft.com/office/2006/metadata/properties" xmlns:ns2="4aa0aade-5a71-4415-8847-ee8404131378" xmlns:ns3="43193f7e-cc5e-4e8f-af15-505b2f732e4d" targetNamespace="http://schemas.microsoft.com/office/2006/metadata/properties" ma:root="true" ma:fieldsID="2bf92951eb61e3a55fd158f44bc60684" ns2:_="" ns3:_="">
    <xsd:import namespace="4aa0aade-5a71-4415-8847-ee8404131378"/>
    <xsd:import namespace="43193f7e-cc5e-4e8f-af15-505b2f732e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0aade-5a71-4415-8847-ee84041313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3193f7e-cc5e-4e8f-af15-505b2f732e4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3800147-0D0D-498D-9F86-60A14C59B4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a0aade-5a71-4415-8847-ee8404131378"/>
    <ds:schemaRef ds:uri="43193f7e-cc5e-4e8f-af15-505b2f732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5410DEF-99BC-418A-A8F6-60AAAC61D781}">
  <ds:schemaRefs>
    <ds:schemaRef ds:uri="http://schemas.microsoft.com/sharepoint/v3/contenttype/forms"/>
  </ds:schemaRefs>
</ds:datastoreItem>
</file>

<file path=customXml/itemProps3.xml><?xml version="1.0" encoding="utf-8"?>
<ds:datastoreItem xmlns:ds="http://schemas.openxmlformats.org/officeDocument/2006/customXml" ds:itemID="{CC075F93-2FFF-4204-8A47-BF4DE26969B4}">
  <ds:schemaRefs>
    <ds:schemaRef ds:uri="43193f7e-cc5e-4e8f-af15-505b2f732e4d"/>
    <ds:schemaRef ds:uri="http://schemas.openxmlformats.org/package/2006/metadata/core-properties"/>
    <ds:schemaRef ds:uri="http://schemas.microsoft.com/office/2006/documentManagement/types"/>
    <ds:schemaRef ds:uri="http://schemas.microsoft.com/office/2006/metadata/properties"/>
    <ds:schemaRef ds:uri="4aa0aade-5a71-4415-8847-ee8404131378"/>
    <ds:schemaRef ds:uri="http://schemas.microsoft.com/office/infopath/2007/PartnerControls"/>
    <ds:schemaRef ds:uri="http://purl.org/dc/terms/"/>
    <ds:schemaRef ds:uri="http://www.w3.org/XML/1998/namespace"/>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36</vt:i4>
      </vt:variant>
    </vt:vector>
  </HeadingPairs>
  <TitlesOfParts>
    <vt:vector size="49" baseType="lpstr">
      <vt:lpstr>Notes</vt:lpstr>
      <vt:lpstr>IPCC Categories</vt:lpstr>
      <vt:lpstr>Drivers</vt:lpstr>
      <vt:lpstr>Intermediate calculations</vt:lpstr>
      <vt:lpstr>Relationships</vt:lpstr>
      <vt:lpstr>Constants</vt:lpstr>
      <vt:lpstr>BFAP verification</vt:lpstr>
      <vt:lpstr>Mitigation drivers</vt:lpstr>
      <vt:lpstr>Activity data</vt:lpstr>
      <vt:lpstr>EF</vt:lpstr>
      <vt:lpstr>Aggregated EF</vt:lpstr>
      <vt:lpstr>Emissions</vt:lpstr>
      <vt:lpstr>Emissions summary</vt:lpstr>
      <vt:lpstr>CH4GWP</vt:lpstr>
      <vt:lpstr>CO2toC</vt:lpstr>
      <vt:lpstr>CompostN2O</vt:lpstr>
      <vt:lpstr>CREF</vt:lpstr>
      <vt:lpstr>CtoCO2</vt:lpstr>
      <vt:lpstr>DailyspreadN2O</vt:lpstr>
      <vt:lpstr>DigesterN2OEF</vt:lpstr>
      <vt:lpstr>DrylotN2O</vt:lpstr>
      <vt:lpstr>FracGASF</vt:lpstr>
      <vt:lpstr>FracGASM</vt:lpstr>
      <vt:lpstr>FracLEACH</vt:lpstr>
      <vt:lpstr>FracLEACHMM</vt:lpstr>
      <vt:lpstr>FracLEACHUD</vt:lpstr>
      <vt:lpstr>FSOMEF</vt:lpstr>
      <vt:lpstr>Ggtot</vt:lpstr>
      <vt:lpstr>kgtoGg</vt:lpstr>
      <vt:lpstr>kgtot</vt:lpstr>
      <vt:lpstr>LagoonN2O</vt:lpstr>
      <vt:lpstr>LiquidN2O</vt:lpstr>
      <vt:lpstr>ManureNEF</vt:lpstr>
      <vt:lpstr>ManwithbedN2O</vt:lpstr>
      <vt:lpstr>MMLeachEF</vt:lpstr>
      <vt:lpstr>MMVolatEF</vt:lpstr>
      <vt:lpstr>MSLeachEF</vt:lpstr>
      <vt:lpstr>MSVolatEF</vt:lpstr>
      <vt:lpstr>N2OGWP</vt:lpstr>
      <vt:lpstr>NtoN2O</vt:lpstr>
      <vt:lpstr>ONEF</vt:lpstr>
      <vt:lpstr>PMwithlitterN2O</vt:lpstr>
      <vt:lpstr>PMwithoutlitterN2O</vt:lpstr>
      <vt:lpstr>SNEF</vt:lpstr>
      <vt:lpstr>SolidStorageN2O</vt:lpstr>
      <vt:lpstr>ttoGg</vt:lpstr>
      <vt:lpstr>ttokg</vt:lpstr>
      <vt:lpstr>UDCPPEF</vt:lpstr>
      <vt:lpstr>UDSOEF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Glancy</dc:creator>
  <cp:keywords/>
  <dc:description/>
  <cp:lastModifiedBy>luanne</cp:lastModifiedBy>
  <cp:revision/>
  <dcterms:created xsi:type="dcterms:W3CDTF">2017-04-05T21:08:35Z</dcterms:created>
  <dcterms:modified xsi:type="dcterms:W3CDTF">2020-07-12T03:20:22Z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0x01010006E66F2049731D4C8B4BE33A6B873590</vt:lpwstr>
  </property>
</Properties>
</file>